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345"/>
  </bookViews>
  <sheets>
    <sheet name="Plan1" sheetId="1" r:id="rId1"/>
    <sheet name="Plan2" sheetId="2" r:id="rId2"/>
    <sheet name="Plan3" sheetId="3" r:id="rId3"/>
  </sheets>
  <calcPr calcId="144525"/>
</workbook>
</file>

<file path=xl/calcChain.xml><?xml version="1.0" encoding="utf-8"?>
<calcChain xmlns="http://schemas.openxmlformats.org/spreadsheetml/2006/main">
  <c r="D30" i="1" l="1"/>
  <c r="E30" i="1"/>
  <c r="F30" i="1"/>
  <c r="F31" i="1" s="1"/>
  <c r="G30" i="1"/>
  <c r="G31" i="1" s="1"/>
  <c r="H30" i="1"/>
  <c r="H31" i="1" s="1"/>
  <c r="I30" i="1"/>
  <c r="I31" i="1" s="1"/>
  <c r="J30" i="1"/>
  <c r="K30" i="1"/>
  <c r="L30" i="1"/>
  <c r="L31" i="1" s="1"/>
  <c r="M30" i="1"/>
  <c r="M31" i="1" s="1"/>
  <c r="C30" i="1"/>
  <c r="C31" i="1" s="1"/>
  <c r="C9" i="1"/>
  <c r="D9" i="1" s="1"/>
  <c r="E9" i="1" s="1"/>
  <c r="F9" i="1" s="1"/>
  <c r="G9" i="1" s="1"/>
  <c r="H9" i="1" s="1"/>
  <c r="I9" i="1" s="1"/>
  <c r="J9" i="1" s="1"/>
  <c r="K9" i="1" s="1"/>
  <c r="L9" i="1" s="1"/>
  <c r="M9" i="1" s="1"/>
  <c r="B7" i="1"/>
  <c r="B6" i="1"/>
  <c r="B38" i="1"/>
  <c r="K31" i="1"/>
  <c r="J31" i="1"/>
  <c r="E31" i="1"/>
  <c r="D31" i="1"/>
  <c r="C8" i="1"/>
  <c r="C7" i="1"/>
  <c r="C6" i="1"/>
  <c r="D6" i="1" l="1"/>
  <c r="C11" i="1"/>
  <c r="D8" i="1"/>
  <c r="C10" i="1"/>
  <c r="C12" i="1" s="1"/>
  <c r="C13" i="1" s="1"/>
  <c r="D7" i="1"/>
  <c r="B10" i="1"/>
  <c r="E7" i="1" l="1"/>
  <c r="E8" i="1"/>
  <c r="D10" i="1"/>
  <c r="E6" i="1"/>
  <c r="D11" i="1"/>
  <c r="D12" i="1" l="1"/>
  <c r="D13" i="1" s="1"/>
  <c r="E10" i="1"/>
  <c r="F8" i="1"/>
  <c r="F6" i="1"/>
  <c r="E11" i="1"/>
  <c r="E12" i="1" s="1"/>
  <c r="E13" i="1" s="1"/>
  <c r="F7" i="1"/>
  <c r="G8" i="1" l="1"/>
  <c r="F10" i="1"/>
  <c r="G6" i="1"/>
  <c r="F11" i="1"/>
  <c r="G7" i="1"/>
  <c r="F12" i="1" l="1"/>
  <c r="F13" i="1" s="1"/>
  <c r="H7" i="1"/>
  <c r="H6" i="1"/>
  <c r="G11" i="1"/>
  <c r="G10" i="1"/>
  <c r="H8" i="1"/>
  <c r="G12" i="1" l="1"/>
  <c r="G13" i="1" s="1"/>
  <c r="H11" i="1"/>
  <c r="I6" i="1"/>
  <c r="H10" i="1"/>
  <c r="I8" i="1"/>
  <c r="H12" i="1"/>
  <c r="H13" i="1" s="1"/>
  <c r="I7" i="1"/>
  <c r="I11" i="1" l="1"/>
  <c r="J6" i="1"/>
  <c r="J7" i="1"/>
  <c r="J8" i="1"/>
  <c r="I10" i="1"/>
  <c r="I12" i="1" s="1"/>
  <c r="I13" i="1" s="1"/>
  <c r="K8" i="1" l="1"/>
  <c r="J10" i="1"/>
  <c r="K7" i="1"/>
  <c r="K6" i="1"/>
  <c r="J11" i="1"/>
  <c r="J12" i="1" l="1"/>
  <c r="J13" i="1" s="1"/>
  <c r="L6" i="1"/>
  <c r="K11" i="1"/>
  <c r="L7" i="1"/>
  <c r="K10" i="1"/>
  <c r="K12" i="1" s="1"/>
  <c r="K13" i="1" s="1"/>
  <c r="L8" i="1"/>
  <c r="M8" i="1" l="1"/>
  <c r="M10" i="1" s="1"/>
  <c r="L10" i="1"/>
  <c r="M7" i="1"/>
  <c r="M6" i="1"/>
  <c r="M11" i="1" s="1"/>
  <c r="L11" i="1"/>
  <c r="L12" i="1" s="1"/>
  <c r="L13" i="1" s="1"/>
  <c r="M12" i="1" l="1"/>
  <c r="M13" i="1" s="1"/>
  <c r="B16" i="1" s="1"/>
  <c r="B18" i="1" s="1"/>
  <c r="B20" i="1" s="1"/>
  <c r="B23" i="1" l="1"/>
  <c r="C20" i="1"/>
  <c r="C23" i="1" s="1"/>
</calcChain>
</file>

<file path=xl/sharedStrings.xml><?xml version="1.0" encoding="utf-8"?>
<sst xmlns="http://schemas.openxmlformats.org/spreadsheetml/2006/main" count="44" uniqueCount="44">
  <si>
    <t>Inputs</t>
  </si>
  <si>
    <t>Ano 0</t>
  </si>
  <si>
    <t>Ano 1</t>
  </si>
  <si>
    <t>Ano 2</t>
  </si>
  <si>
    <t>Ano 3</t>
  </si>
  <si>
    <t>Ano 4</t>
  </si>
  <si>
    <t>Ano 5</t>
  </si>
  <si>
    <t>Ano 6</t>
  </si>
  <si>
    <t>Ano 7</t>
  </si>
  <si>
    <t>Ano 8</t>
  </si>
  <si>
    <t>Ano 9</t>
  </si>
  <si>
    <t>Ano 10</t>
  </si>
  <si>
    <t>Perpetuidade</t>
  </si>
  <si>
    <t>Receita Líquida</t>
  </si>
  <si>
    <t>Lucro Operacional após impostos (Ebit 1-T)</t>
  </si>
  <si>
    <t>Investimentos Fisicos</t>
  </si>
  <si>
    <t>Depreciação</t>
  </si>
  <si>
    <t>Investimento Líquido</t>
  </si>
  <si>
    <t>Var. Capital de Giro (10% da Variação da Receita)</t>
  </si>
  <si>
    <t>Fluxo de Caixa para a Firma (FCFF)</t>
  </si>
  <si>
    <t>Fluxo de caixa descontado (FCFF)</t>
  </si>
  <si>
    <t>Valor justo da Firma</t>
  </si>
  <si>
    <t>Dívida</t>
  </si>
  <si>
    <t>Valor de Mercado Justo</t>
  </si>
  <si>
    <t>Quantidade de ações</t>
  </si>
  <si>
    <t>Valor justo da ação</t>
  </si>
  <si>
    <t>Valor atual da ação</t>
  </si>
  <si>
    <t>Potencial upside/downside</t>
  </si>
  <si>
    <t>Margem Operacional após impostos</t>
  </si>
  <si>
    <t>Dados para a projeção</t>
  </si>
  <si>
    <t>Crescimento da Receita (%ao ano)</t>
  </si>
  <si>
    <t>Crescimento do Lucro (% ao ano)</t>
  </si>
  <si>
    <t>Taxa de desconto para o acionista</t>
  </si>
  <si>
    <t>desconto auxiliar</t>
  </si>
  <si>
    <t>Investimentos</t>
  </si>
  <si>
    <t>Livre de risco</t>
  </si>
  <si>
    <t>taxa de risco</t>
  </si>
  <si>
    <t>Beta</t>
  </si>
  <si>
    <t>Taxa de desconto</t>
  </si>
  <si>
    <t>Custo do capital de Terceiros</t>
  </si>
  <si>
    <t>Estrutura de Capital</t>
  </si>
  <si>
    <t>AES Tiete</t>
  </si>
  <si>
    <t>depreciação</t>
  </si>
  <si>
    <t>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</si>
</sst>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_-&quot;R$&quot;\ * #,##0.0000_-;\-&quot;R$&quot;\ * #,##0.0000_-;_-&quot;R$&quot;\ * &quot;-&quot;??_-;_-@_-"/>
    <numFmt numFmtId="165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">
    <xf numFmtId="0" fontId="0" fillId="0" borderId="0" xfId="0"/>
    <xf numFmtId="44" fontId="0" fillId="0" borderId="0" xfId="1" applyFont="1"/>
    <xf numFmtId="44" fontId="0" fillId="0" borderId="0" xfId="0" applyNumberFormat="1"/>
    <xf numFmtId="164" fontId="0" fillId="0" borderId="0" xfId="1" applyNumberFormat="1" applyFont="1"/>
    <xf numFmtId="0" fontId="2" fillId="2" borderId="0" xfId="0" applyFont="1" applyFill="1"/>
    <xf numFmtId="44" fontId="2" fillId="2" borderId="0" xfId="0" applyNumberFormat="1" applyFont="1" applyFill="1"/>
    <xf numFmtId="0" fontId="2" fillId="3" borderId="0" xfId="0" applyFont="1" applyFill="1"/>
    <xf numFmtId="10" fontId="2" fillId="3" borderId="0" xfId="2" applyNumberFormat="1" applyFont="1" applyFill="1"/>
    <xf numFmtId="9" fontId="0" fillId="0" borderId="0" xfId="0" applyNumberFormat="1"/>
    <xf numFmtId="10" fontId="0" fillId="0" borderId="0" xfId="0" applyNumberFormat="1"/>
    <xf numFmtId="10" fontId="0" fillId="0" borderId="0" xfId="2" applyNumberFormat="1" applyFont="1"/>
    <xf numFmtId="165" fontId="0" fillId="0" borderId="0" xfId="0" applyNumberFormat="1"/>
    <xf numFmtId="0" fontId="3" fillId="2" borderId="0" xfId="0" applyFont="1" applyFill="1"/>
    <xf numFmtId="44" fontId="3" fillId="2" borderId="0" xfId="0" applyNumberFormat="1" applyFont="1" applyFill="1"/>
    <xf numFmtId="44" fontId="2" fillId="2" borderId="0" xfId="1" applyFont="1" applyFill="1"/>
    <xf numFmtId="0" fontId="2" fillId="0" borderId="0" xfId="0" applyFont="1"/>
    <xf numFmtId="44" fontId="2" fillId="0" borderId="0" xfId="1" applyFont="1"/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42"/>
  <sheetViews>
    <sheetView tabSelected="1" topLeftCell="A4" workbookViewId="0">
      <selection activeCell="C20" sqref="C20"/>
    </sheetView>
  </sheetViews>
  <sheetFormatPr defaultRowHeight="15" x14ac:dyDescent="0.25"/>
  <cols>
    <col min="1" max="1" width="44.7109375" bestFit="1" customWidth="1"/>
    <col min="2" max="13" width="19.5703125" bestFit="1" customWidth="1"/>
  </cols>
  <sheetData>
    <row r="3" spans="1:13" x14ac:dyDescent="0.25">
      <c r="A3" t="s">
        <v>41</v>
      </c>
    </row>
    <row r="5" spans="1:13" x14ac:dyDescent="0.25">
      <c r="A5" t="s">
        <v>0</v>
      </c>
      <c r="B5" t="s">
        <v>1</v>
      </c>
      <c r="C5" t="s">
        <v>2</v>
      </c>
      <c r="D5" t="s">
        <v>3</v>
      </c>
      <c r="E5" t="s">
        <v>4</v>
      </c>
      <c r="F5" t="s">
        <v>5</v>
      </c>
      <c r="G5" t="s">
        <v>6</v>
      </c>
      <c r="H5" t="s">
        <v>7</v>
      </c>
      <c r="I5" t="s">
        <v>8</v>
      </c>
      <c r="J5" t="s">
        <v>9</v>
      </c>
      <c r="K5" t="s">
        <v>10</v>
      </c>
      <c r="L5" t="s">
        <v>11</v>
      </c>
      <c r="M5" t="s">
        <v>12</v>
      </c>
    </row>
    <row r="6" spans="1:13" x14ac:dyDescent="0.25">
      <c r="A6" t="s">
        <v>13</v>
      </c>
      <c r="B6" s="1">
        <f>1625691</f>
        <v>1625691</v>
      </c>
      <c r="C6" s="1">
        <f>B6*(1+C28)</f>
        <v>1950829.2</v>
      </c>
      <c r="D6" s="1">
        <f t="shared" ref="D6:M7" si="0">C6*(1+D28)</f>
        <v>2243453.5799999996</v>
      </c>
      <c r="E6" s="1">
        <f t="shared" si="0"/>
        <v>2579971.6169999992</v>
      </c>
      <c r="F6" s="1">
        <f t="shared" si="0"/>
        <v>2747669.7721049991</v>
      </c>
      <c r="G6" s="1">
        <f t="shared" si="0"/>
        <v>2926268.3072918239</v>
      </c>
      <c r="H6" s="1">
        <f t="shared" si="0"/>
        <v>3116475.7472657925</v>
      </c>
      <c r="I6" s="1">
        <f t="shared" si="0"/>
        <v>3319046.6708380687</v>
      </c>
      <c r="J6" s="1">
        <f t="shared" si="0"/>
        <v>3534784.704442543</v>
      </c>
      <c r="K6" s="1">
        <f t="shared" si="0"/>
        <v>3764545.7102313079</v>
      </c>
      <c r="L6" s="1">
        <f t="shared" si="0"/>
        <v>4009241.1813963428</v>
      </c>
      <c r="M6" s="1">
        <f t="shared" si="0"/>
        <v>4169610.8286521966</v>
      </c>
    </row>
    <row r="7" spans="1:13" x14ac:dyDescent="0.25">
      <c r="A7" t="s">
        <v>14</v>
      </c>
      <c r="B7" s="1">
        <f>624887*0.76</f>
        <v>474914.12</v>
      </c>
      <c r="C7" s="1">
        <f>B7*(1+C29)</f>
        <v>474914.12</v>
      </c>
      <c r="D7" s="1">
        <f t="shared" si="0"/>
        <v>474914.12</v>
      </c>
      <c r="E7" s="1">
        <f t="shared" si="0"/>
        <v>505783.53779999999</v>
      </c>
      <c r="F7" s="1">
        <f t="shared" si="0"/>
        <v>538659.46775700001</v>
      </c>
      <c r="G7" s="1">
        <f t="shared" si="0"/>
        <v>573672.33316120494</v>
      </c>
      <c r="H7" s="1">
        <f t="shared" si="0"/>
        <v>610961.03481668327</v>
      </c>
      <c r="I7" s="1">
        <f t="shared" si="0"/>
        <v>650673.50207976764</v>
      </c>
      <c r="J7" s="1">
        <f t="shared" si="0"/>
        <v>692967.27971495246</v>
      </c>
      <c r="K7" s="1">
        <f t="shared" si="0"/>
        <v>738010.15289642429</v>
      </c>
      <c r="L7" s="1">
        <f t="shared" si="0"/>
        <v>785980.81283469184</v>
      </c>
      <c r="M7" s="1">
        <f t="shared" si="0"/>
        <v>817420.04534807953</v>
      </c>
    </row>
    <row r="8" spans="1:13" s="15" customFormat="1" ht="18.75" x14ac:dyDescent="0.3">
      <c r="A8" s="15" t="s">
        <v>15</v>
      </c>
      <c r="B8" s="16">
        <v>602097</v>
      </c>
      <c r="C8" s="16">
        <f>B8*(1+C32)</f>
        <v>650264.76</v>
      </c>
      <c r="D8" s="16">
        <f t="shared" ref="D8:M8" si="1">C8*(1+D32)</f>
        <v>390158.85599999997</v>
      </c>
      <c r="E8" s="16">
        <f t="shared" si="1"/>
        <v>273111.19919999997</v>
      </c>
      <c r="F8" s="16">
        <f t="shared" si="1"/>
        <v>300422.31912</v>
      </c>
      <c r="G8" s="16">
        <f t="shared" si="1"/>
        <v>330464.55103200005</v>
      </c>
      <c r="H8" s="16">
        <f t="shared" si="1"/>
        <v>363511.00613520009</v>
      </c>
      <c r="I8" s="16">
        <f t="shared" si="1"/>
        <v>399862.10674872011</v>
      </c>
      <c r="J8" s="16">
        <f t="shared" si="1"/>
        <v>439848.31742359215</v>
      </c>
      <c r="K8" s="16">
        <f t="shared" si="1"/>
        <v>483833.14916595141</v>
      </c>
      <c r="L8" s="16">
        <f t="shared" si="1"/>
        <v>532216.46408254665</v>
      </c>
      <c r="M8" s="16">
        <f t="shared" si="1"/>
        <v>566810.53424791212</v>
      </c>
    </row>
    <row r="9" spans="1:13" s="15" customFormat="1" ht="18.75" x14ac:dyDescent="0.3">
      <c r="A9" s="15" t="s">
        <v>16</v>
      </c>
      <c r="B9" s="16">
        <v>141971</v>
      </c>
      <c r="C9" s="16">
        <f>B9*(1+C33)</f>
        <v>153328.68000000002</v>
      </c>
      <c r="D9" s="16">
        <f t="shared" ref="D9:M9" si="2">C9*(1+D33)</f>
        <v>165594.97440000004</v>
      </c>
      <c r="E9" s="16">
        <f t="shared" si="2"/>
        <v>178842.57235200005</v>
      </c>
      <c r="F9" s="16">
        <f t="shared" si="2"/>
        <v>193149.97814016006</v>
      </c>
      <c r="G9" s="16">
        <f t="shared" si="2"/>
        <v>208601.97639137288</v>
      </c>
      <c r="H9" s="16">
        <f t="shared" si="2"/>
        <v>225290.13450268272</v>
      </c>
      <c r="I9" s="16">
        <f t="shared" si="2"/>
        <v>243313.34526289735</v>
      </c>
      <c r="J9" s="16">
        <f t="shared" si="2"/>
        <v>262778.41288392915</v>
      </c>
      <c r="K9" s="16">
        <f t="shared" si="2"/>
        <v>283800.68591464352</v>
      </c>
      <c r="L9" s="16">
        <f t="shared" si="2"/>
        <v>306504.74078781501</v>
      </c>
      <c r="M9" s="16">
        <f t="shared" si="2"/>
        <v>326427.54893902299</v>
      </c>
    </row>
    <row r="10" spans="1:13" s="15" customFormat="1" ht="18.75" x14ac:dyDescent="0.3">
      <c r="A10" s="15" t="s">
        <v>17</v>
      </c>
      <c r="B10" s="16">
        <f>B8-B9</f>
        <v>460126</v>
      </c>
      <c r="C10" s="16">
        <f t="shared" ref="C10:M10" si="3">C8-C9</f>
        <v>496936.07999999996</v>
      </c>
      <c r="D10" s="16">
        <f t="shared" si="3"/>
        <v>224563.88159999994</v>
      </c>
      <c r="E10" s="16">
        <f t="shared" si="3"/>
        <v>94268.626847999927</v>
      </c>
      <c r="F10" s="16">
        <f t="shared" si="3"/>
        <v>107272.34097983994</v>
      </c>
      <c r="G10" s="16">
        <f t="shared" si="3"/>
        <v>121862.57464062716</v>
      </c>
      <c r="H10" s="16">
        <f t="shared" si="3"/>
        <v>138220.87163251737</v>
      </c>
      <c r="I10" s="16">
        <f t="shared" si="3"/>
        <v>156548.76148582276</v>
      </c>
      <c r="J10" s="16">
        <f t="shared" si="3"/>
        <v>177069.904539663</v>
      </c>
      <c r="K10" s="16">
        <f t="shared" si="3"/>
        <v>200032.4632513079</v>
      </c>
      <c r="L10" s="16">
        <f t="shared" si="3"/>
        <v>225711.72329473164</v>
      </c>
      <c r="M10" s="16">
        <f t="shared" si="3"/>
        <v>240382.98530888913</v>
      </c>
    </row>
    <row r="11" spans="1:13" x14ac:dyDescent="0.25">
      <c r="A11" t="s">
        <v>18</v>
      </c>
      <c r="C11" s="1">
        <f>(C6-B6)*0.1</f>
        <v>32513.819999999996</v>
      </c>
      <c r="D11" s="1">
        <f t="shared" ref="D11:M11" si="4">(D6-C6)*0.1</f>
        <v>29262.437999999966</v>
      </c>
      <c r="E11" s="1">
        <f t="shared" si="4"/>
        <v>33651.803699999953</v>
      </c>
      <c r="F11" s="1">
        <f t="shared" si="4"/>
        <v>16769.81551049999</v>
      </c>
      <c r="G11" s="1">
        <f t="shared" si="4"/>
        <v>17859.853518682485</v>
      </c>
      <c r="H11" s="1">
        <f t="shared" si="4"/>
        <v>19020.743997396854</v>
      </c>
      <c r="I11" s="1">
        <f t="shared" si="4"/>
        <v>20257.092357227626</v>
      </c>
      <c r="J11" s="1">
        <f t="shared" si="4"/>
        <v>21573.803360447429</v>
      </c>
      <c r="K11" s="1">
        <f t="shared" si="4"/>
        <v>22976.100578876492</v>
      </c>
      <c r="L11" s="1">
        <f t="shared" si="4"/>
        <v>24469.547116503494</v>
      </c>
      <c r="M11" s="1">
        <f t="shared" si="4"/>
        <v>16036.964725585376</v>
      </c>
    </row>
    <row r="12" spans="1:13" x14ac:dyDescent="0.25">
      <c r="A12" t="s">
        <v>19</v>
      </c>
      <c r="C12" s="2">
        <f>C7-C10-C11</f>
        <v>-54535.779999999955</v>
      </c>
      <c r="D12" s="2">
        <f t="shared" ref="D12:M12" si="5">D7-D10-D11</f>
        <v>221087.80040000009</v>
      </c>
      <c r="E12" s="2">
        <f t="shared" si="5"/>
        <v>377863.10725200013</v>
      </c>
      <c r="F12" s="2">
        <f t="shared" si="5"/>
        <v>414617.31126666011</v>
      </c>
      <c r="G12" s="2">
        <f t="shared" si="5"/>
        <v>433949.90500189533</v>
      </c>
      <c r="H12" s="2">
        <f t="shared" si="5"/>
        <v>453719.41918676905</v>
      </c>
      <c r="I12" s="2">
        <f t="shared" si="5"/>
        <v>473867.64823671727</v>
      </c>
      <c r="J12" s="2">
        <f t="shared" si="5"/>
        <v>494323.57181484206</v>
      </c>
      <c r="K12" s="2">
        <f t="shared" si="5"/>
        <v>515001.58906623995</v>
      </c>
      <c r="L12" s="2">
        <f t="shared" si="5"/>
        <v>535799.54242345679</v>
      </c>
      <c r="M12" s="2">
        <f t="shared" si="5"/>
        <v>561000.09531360492</v>
      </c>
    </row>
    <row r="13" spans="1:13" x14ac:dyDescent="0.25">
      <c r="A13" t="s">
        <v>20</v>
      </c>
      <c r="C13" s="3">
        <f>C12/PRODUCT($C$31:C31)-1</f>
        <v>-49696.466418564938</v>
      </c>
      <c r="D13" s="3">
        <f>D12/PRODUCT($C$31:D31)-1</f>
        <v>183583.18377466628</v>
      </c>
      <c r="E13" s="3">
        <f>E12/PRODUCT($C$31:E31)-1</f>
        <v>285916.15752001462</v>
      </c>
      <c r="F13" s="3">
        <f>F12/PRODUCT($C$31:F31)-1</f>
        <v>285882.04487770435</v>
      </c>
      <c r="G13" s="3">
        <f>G12/PRODUCT($C$31:G31)-1</f>
        <v>272655.46998002246</v>
      </c>
      <c r="H13" s="3">
        <f>H12/PRODUCT($C$31:H31)-1</f>
        <v>259774.87692810217</v>
      </c>
      <c r="I13" s="3">
        <f>I12/PRODUCT($C$31:I31)-1</f>
        <v>247230.47151500822</v>
      </c>
      <c r="J13" s="3">
        <f>J12/PRODUCT($C$31:J31)-1</f>
        <v>235012.7413532809</v>
      </c>
      <c r="K13" s="3">
        <f>K12/PRODUCT($C$31:K31)-1</f>
        <v>223112.4476693616</v>
      </c>
      <c r="L13" s="3">
        <f>L12/PRODUCT($C$31:L31)-1</f>
        <v>211520.61733845389</v>
      </c>
      <c r="M13" s="3">
        <f>(M12/PRODUCT($C$31:M31)-1)/(M30-M29)</f>
        <v>3515930.9387467671</v>
      </c>
    </row>
    <row r="16" spans="1:13" x14ac:dyDescent="0.25">
      <c r="A16" t="s">
        <v>21</v>
      </c>
      <c r="B16" s="2">
        <f>SUM(C13:M13)</f>
        <v>5670922.4832848161</v>
      </c>
    </row>
    <row r="17" spans="1:13" x14ac:dyDescent="0.25">
      <c r="A17" t="s">
        <v>22</v>
      </c>
      <c r="B17">
        <v>3603949</v>
      </c>
    </row>
    <row r="18" spans="1:13" x14ac:dyDescent="0.25">
      <c r="A18" t="s">
        <v>23</v>
      </c>
      <c r="B18" s="2">
        <f>B16-B17</f>
        <v>2066973.4832848161</v>
      </c>
    </row>
    <row r="19" spans="1:13" ht="21" x14ac:dyDescent="0.35">
      <c r="A19" t="s">
        <v>24</v>
      </c>
      <c r="B19">
        <v>1967233</v>
      </c>
      <c r="C19" s="12" t="s">
        <v>43</v>
      </c>
    </row>
    <row r="20" spans="1:13" ht="21" x14ac:dyDescent="0.35">
      <c r="A20" s="4" t="s">
        <v>25</v>
      </c>
      <c r="B20" s="5">
        <f>B18/B19</f>
        <v>1.0507008998348524</v>
      </c>
      <c r="C20" s="13">
        <f>B20*5</f>
        <v>5.2535044991742623</v>
      </c>
    </row>
    <row r="21" spans="1:13" ht="18.75" x14ac:dyDescent="0.3">
      <c r="A21" s="4" t="s">
        <v>26</v>
      </c>
      <c r="B21" s="14">
        <v>2.36</v>
      </c>
      <c r="C21" s="14">
        <v>11.69</v>
      </c>
    </row>
    <row r="23" spans="1:13" ht="18.75" x14ac:dyDescent="0.3">
      <c r="A23" s="6" t="s">
        <v>27</v>
      </c>
      <c r="B23" s="7">
        <f>B20/B21-1</f>
        <v>-0.5547877543072659</v>
      </c>
      <c r="C23" s="7">
        <f>C20/C21-1</f>
        <v>-0.55059841752144889</v>
      </c>
    </row>
    <row r="26" spans="1:13" x14ac:dyDescent="0.25">
      <c r="A26" t="s">
        <v>28</v>
      </c>
    </row>
    <row r="27" spans="1:13" x14ac:dyDescent="0.25">
      <c r="A27" t="s">
        <v>29</v>
      </c>
    </row>
    <row r="28" spans="1:13" x14ac:dyDescent="0.25">
      <c r="A28" t="s">
        <v>30</v>
      </c>
      <c r="C28" s="8">
        <v>0.2</v>
      </c>
      <c r="D28" s="8">
        <v>0.15</v>
      </c>
      <c r="E28" s="8">
        <v>0.15</v>
      </c>
      <c r="F28" s="11">
        <v>6.5000000000000002E-2</v>
      </c>
      <c r="G28" s="11">
        <v>6.5000000000000002E-2</v>
      </c>
      <c r="H28" s="11">
        <v>6.5000000000000002E-2</v>
      </c>
      <c r="I28" s="11">
        <v>6.5000000000000002E-2</v>
      </c>
      <c r="J28" s="11">
        <v>6.5000000000000002E-2</v>
      </c>
      <c r="K28" s="11">
        <v>6.5000000000000002E-2</v>
      </c>
      <c r="L28" s="11">
        <v>6.5000000000000002E-2</v>
      </c>
      <c r="M28" s="11">
        <v>0.04</v>
      </c>
    </row>
    <row r="29" spans="1:13" x14ac:dyDescent="0.25">
      <c r="A29" t="s">
        <v>31</v>
      </c>
      <c r="C29" s="8">
        <v>0</v>
      </c>
      <c r="D29" s="8">
        <v>0</v>
      </c>
      <c r="E29" s="8">
        <v>6.5000000000000002E-2</v>
      </c>
      <c r="F29" s="11">
        <v>6.5000000000000002E-2</v>
      </c>
      <c r="G29" s="11">
        <v>6.5000000000000002E-2</v>
      </c>
      <c r="H29" s="11">
        <v>6.5000000000000002E-2</v>
      </c>
      <c r="I29" s="11">
        <v>6.5000000000000002E-2</v>
      </c>
      <c r="J29" s="11">
        <v>6.5000000000000002E-2</v>
      </c>
      <c r="K29" s="11">
        <v>6.5000000000000002E-2</v>
      </c>
      <c r="L29" s="11">
        <v>6.5000000000000002E-2</v>
      </c>
      <c r="M29" s="11">
        <v>0.04</v>
      </c>
    </row>
    <row r="30" spans="1:13" x14ac:dyDescent="0.25">
      <c r="A30" t="s">
        <v>32</v>
      </c>
      <c r="C30" s="10">
        <f>$B$38*$B$42+$B$40*(1-$B$42)</f>
        <v>9.73995E-2</v>
      </c>
      <c r="D30" s="10">
        <f t="shared" ref="D30:M30" si="6">$B$38*$B$42+$B$40*(1-$B$42)</f>
        <v>9.73995E-2</v>
      </c>
      <c r="E30" s="10">
        <f t="shared" si="6"/>
        <v>9.73995E-2</v>
      </c>
      <c r="F30" s="10">
        <f t="shared" si="6"/>
        <v>9.73995E-2</v>
      </c>
      <c r="G30" s="10">
        <f t="shared" si="6"/>
        <v>9.73995E-2</v>
      </c>
      <c r="H30" s="10">
        <f t="shared" si="6"/>
        <v>9.73995E-2</v>
      </c>
      <c r="I30" s="10">
        <f t="shared" si="6"/>
        <v>9.73995E-2</v>
      </c>
      <c r="J30" s="10">
        <f t="shared" si="6"/>
        <v>9.73995E-2</v>
      </c>
      <c r="K30" s="10">
        <f t="shared" si="6"/>
        <v>9.73995E-2</v>
      </c>
      <c r="L30" s="10">
        <f t="shared" si="6"/>
        <v>9.73995E-2</v>
      </c>
      <c r="M30" s="10">
        <f t="shared" si="6"/>
        <v>9.73995E-2</v>
      </c>
    </row>
    <row r="31" spans="1:13" x14ac:dyDescent="0.25">
      <c r="A31" t="s">
        <v>33</v>
      </c>
      <c r="C31" s="10">
        <f>1+C30</f>
        <v>1.0973995000000001</v>
      </c>
      <c r="D31" s="10">
        <f t="shared" ref="D31:M31" si="7">1+D30</f>
        <v>1.0973995000000001</v>
      </c>
      <c r="E31" s="10">
        <f t="shared" si="7"/>
        <v>1.0973995000000001</v>
      </c>
      <c r="F31" s="10">
        <f t="shared" si="7"/>
        <v>1.0973995000000001</v>
      </c>
      <c r="G31" s="10">
        <f t="shared" si="7"/>
        <v>1.0973995000000001</v>
      </c>
      <c r="H31" s="10">
        <f t="shared" si="7"/>
        <v>1.0973995000000001</v>
      </c>
      <c r="I31" s="10">
        <f t="shared" si="7"/>
        <v>1.0973995000000001</v>
      </c>
      <c r="J31" s="10">
        <f t="shared" si="7"/>
        <v>1.0973995000000001</v>
      </c>
      <c r="K31" s="10">
        <f t="shared" si="7"/>
        <v>1.0973995000000001</v>
      </c>
      <c r="L31" s="10">
        <f t="shared" si="7"/>
        <v>1.0973995000000001</v>
      </c>
      <c r="M31" s="10">
        <f t="shared" si="7"/>
        <v>1.0973995000000001</v>
      </c>
    </row>
    <row r="32" spans="1:13" x14ac:dyDescent="0.25">
      <c r="A32" t="s">
        <v>34</v>
      </c>
      <c r="C32" s="8">
        <v>0.08</v>
      </c>
      <c r="D32" s="8">
        <v>-0.4</v>
      </c>
      <c r="E32" s="8">
        <v>-0.3</v>
      </c>
      <c r="F32" s="8">
        <v>0.1</v>
      </c>
      <c r="G32" s="8">
        <v>0.1</v>
      </c>
      <c r="H32" s="8">
        <v>0.1</v>
      </c>
      <c r="I32" s="8">
        <v>0.1</v>
      </c>
      <c r="J32" s="8">
        <v>0.1</v>
      </c>
      <c r="K32" s="8">
        <v>0.1</v>
      </c>
      <c r="L32" s="8">
        <v>0.1</v>
      </c>
      <c r="M32" s="9">
        <v>6.5000000000000002E-2</v>
      </c>
    </row>
    <row r="33" spans="1:13" x14ac:dyDescent="0.25">
      <c r="A33" t="s">
        <v>42</v>
      </c>
      <c r="C33" s="8">
        <v>0.08</v>
      </c>
      <c r="D33" s="8">
        <v>0.08</v>
      </c>
      <c r="E33" s="8">
        <v>0.08</v>
      </c>
      <c r="F33" s="8">
        <v>0.08</v>
      </c>
      <c r="G33" s="8">
        <v>0.08</v>
      </c>
      <c r="H33" s="8">
        <v>0.08</v>
      </c>
      <c r="I33" s="8">
        <v>0.08</v>
      </c>
      <c r="J33" s="8">
        <v>0.08</v>
      </c>
      <c r="K33" s="8">
        <v>0.08</v>
      </c>
      <c r="L33" s="8">
        <v>0.08</v>
      </c>
      <c r="M33" s="9">
        <v>6.5000000000000002E-2</v>
      </c>
    </row>
    <row r="35" spans="1:13" x14ac:dyDescent="0.25">
      <c r="A35" t="s">
        <v>35</v>
      </c>
      <c r="B35" s="8">
        <v>9.8500000000000004E-2</v>
      </c>
    </row>
    <row r="36" spans="1:13" x14ac:dyDescent="0.25">
      <c r="A36" t="s">
        <v>36</v>
      </c>
      <c r="B36" s="9">
        <v>6.5000000000000002E-2</v>
      </c>
    </row>
    <row r="37" spans="1:13" x14ac:dyDescent="0.25">
      <c r="A37" t="s">
        <v>37</v>
      </c>
      <c r="B37">
        <v>0.6</v>
      </c>
    </row>
    <row r="38" spans="1:13" x14ac:dyDescent="0.25">
      <c r="A38" t="s">
        <v>38</v>
      </c>
      <c r="B38" s="9">
        <f>B35+B36*B37</f>
        <v>0.13750000000000001</v>
      </c>
    </row>
    <row r="40" spans="1:13" x14ac:dyDescent="0.25">
      <c r="A40" t="s">
        <v>39</v>
      </c>
      <c r="B40" s="8">
        <v>0.08</v>
      </c>
    </row>
    <row r="42" spans="1:13" x14ac:dyDescent="0.25">
      <c r="A42" t="s">
        <v>40</v>
      </c>
      <c r="B42" s="9">
        <v>0.30259999999999998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Daniel</cp:lastModifiedBy>
  <dcterms:created xsi:type="dcterms:W3CDTF">2018-02-13T13:19:24Z</dcterms:created>
  <dcterms:modified xsi:type="dcterms:W3CDTF">2018-02-14T04:09:06Z</dcterms:modified>
</cp:coreProperties>
</file>