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15" windowWidth="24435" windowHeight="12285"/>
  </bookViews>
  <sheets>
    <sheet name="otimista" sheetId="1" r:id="rId1"/>
    <sheet name="médio" sheetId="2" r:id="rId2"/>
    <sheet name="pessimista" sheetId="3" r:id="rId3"/>
  </sheets>
  <calcPr calcId="144525"/>
</workbook>
</file>

<file path=xl/calcChain.xml><?xml version="1.0" encoding="utf-8"?>
<calcChain xmlns="http://schemas.openxmlformats.org/spreadsheetml/2006/main">
  <c r="H40" i="1" l="1"/>
  <c r="B38" i="3"/>
  <c r="L30" i="3" s="1"/>
  <c r="L31" i="3" s="1"/>
  <c r="M30" i="3"/>
  <c r="M31" i="3" s="1"/>
  <c r="K30" i="3"/>
  <c r="K31" i="3" s="1"/>
  <c r="J30" i="3"/>
  <c r="J31" i="3" s="1"/>
  <c r="I30" i="3"/>
  <c r="I31" i="3" s="1"/>
  <c r="H30" i="3"/>
  <c r="H31" i="3" s="1"/>
  <c r="G30" i="3"/>
  <c r="G31" i="3" s="1"/>
  <c r="E30" i="3"/>
  <c r="E31" i="3" s="1"/>
  <c r="D30" i="3"/>
  <c r="D31" i="3" s="1"/>
  <c r="C30" i="3"/>
  <c r="C31" i="3" s="1"/>
  <c r="B10" i="3"/>
  <c r="C9" i="3"/>
  <c r="D9" i="3" s="1"/>
  <c r="E9" i="3" s="1"/>
  <c r="F9" i="3" s="1"/>
  <c r="G9" i="3" s="1"/>
  <c r="H9" i="3" s="1"/>
  <c r="I9" i="3" s="1"/>
  <c r="J9" i="3" s="1"/>
  <c r="K9" i="3" s="1"/>
  <c r="L9" i="3" s="1"/>
  <c r="M9" i="3" s="1"/>
  <c r="C8" i="3"/>
  <c r="D8" i="3" s="1"/>
  <c r="E8" i="3" s="1"/>
  <c r="C7" i="3"/>
  <c r="B7" i="3"/>
  <c r="C6" i="3"/>
  <c r="D6" i="3" s="1"/>
  <c r="B7" i="1"/>
  <c r="B7" i="2"/>
  <c r="B38" i="2"/>
  <c r="L30" i="2" s="1"/>
  <c r="L31" i="2" s="1"/>
  <c r="C11" i="2"/>
  <c r="B10" i="2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C7" i="2"/>
  <c r="C6" i="2"/>
  <c r="D6" i="2" s="1"/>
  <c r="B38" i="1"/>
  <c r="K30" i="1" s="1"/>
  <c r="K31" i="1" s="1"/>
  <c r="L30" i="1"/>
  <c r="L31" i="1" s="1"/>
  <c r="F30" i="1"/>
  <c r="F31" i="1" s="1"/>
  <c r="B10" i="1"/>
  <c r="C9" i="1"/>
  <c r="D9" i="1" s="1"/>
  <c r="E9" i="1" s="1"/>
  <c r="F9" i="1" s="1"/>
  <c r="G9" i="1" s="1"/>
  <c r="H9" i="1" s="1"/>
  <c r="I9" i="1" s="1"/>
  <c r="J9" i="1" s="1"/>
  <c r="K9" i="1" s="1"/>
  <c r="L9" i="1" s="1"/>
  <c r="M9" i="1" s="1"/>
  <c r="C8" i="1"/>
  <c r="D8" i="1" s="1"/>
  <c r="C7" i="1"/>
  <c r="C6" i="1"/>
  <c r="D6" i="1" s="1"/>
  <c r="E6" i="1" s="1"/>
  <c r="E6" i="3" l="1"/>
  <c r="D11" i="3"/>
  <c r="C12" i="3"/>
  <c r="C13" i="3" s="1"/>
  <c r="F8" i="3"/>
  <c r="E10" i="3"/>
  <c r="C11" i="3"/>
  <c r="C10" i="3"/>
  <c r="D10" i="3"/>
  <c r="D7" i="3"/>
  <c r="F30" i="3"/>
  <c r="F31" i="3" s="1"/>
  <c r="E6" i="2"/>
  <c r="D11" i="2"/>
  <c r="D7" i="2"/>
  <c r="C12" i="2"/>
  <c r="C13" i="2" s="1"/>
  <c r="E8" i="2"/>
  <c r="D10" i="2"/>
  <c r="C10" i="2"/>
  <c r="C30" i="2"/>
  <c r="C31" i="2" s="1"/>
  <c r="I30" i="2"/>
  <c r="I31" i="2" s="1"/>
  <c r="M30" i="2"/>
  <c r="M31" i="2" s="1"/>
  <c r="D30" i="2"/>
  <c r="D31" i="2" s="1"/>
  <c r="J30" i="2"/>
  <c r="J31" i="2" s="1"/>
  <c r="H30" i="2"/>
  <c r="H31" i="2" s="1"/>
  <c r="E30" i="2"/>
  <c r="E31" i="2" s="1"/>
  <c r="K30" i="2"/>
  <c r="K31" i="2" s="1"/>
  <c r="G30" i="2"/>
  <c r="G31" i="2" s="1"/>
  <c r="F30" i="2"/>
  <c r="F31" i="2" s="1"/>
  <c r="C11" i="1"/>
  <c r="D7" i="1"/>
  <c r="D10" i="1"/>
  <c r="E8" i="1"/>
  <c r="F6" i="1"/>
  <c r="E11" i="1"/>
  <c r="M30" i="1"/>
  <c r="M31" i="1" s="1"/>
  <c r="C10" i="1"/>
  <c r="D11" i="1"/>
  <c r="C30" i="1"/>
  <c r="C31" i="1" s="1"/>
  <c r="I30" i="1"/>
  <c r="I31" i="1" s="1"/>
  <c r="H30" i="1"/>
  <c r="H31" i="1" s="1"/>
  <c r="D30" i="1"/>
  <c r="D31" i="1" s="1"/>
  <c r="J30" i="1"/>
  <c r="J31" i="1" s="1"/>
  <c r="G30" i="1"/>
  <c r="G31" i="1" s="1"/>
  <c r="E30" i="1"/>
  <c r="E31" i="1" s="1"/>
  <c r="E7" i="3" l="1"/>
  <c r="D12" i="3"/>
  <c r="D13" i="3" s="1"/>
  <c r="F10" i="3"/>
  <c r="G8" i="3"/>
  <c r="E11" i="3"/>
  <c r="F6" i="3"/>
  <c r="D12" i="2"/>
  <c r="D13" i="2" s="1"/>
  <c r="E7" i="2"/>
  <c r="E10" i="2"/>
  <c r="F8" i="2"/>
  <c r="F6" i="2"/>
  <c r="E11" i="2"/>
  <c r="C12" i="1"/>
  <c r="C13" i="1" s="1"/>
  <c r="F11" i="1"/>
  <c r="G6" i="1"/>
  <c r="E10" i="1"/>
  <c r="F8" i="1"/>
  <c r="D12" i="1"/>
  <c r="D13" i="1" s="1"/>
  <c r="E7" i="1"/>
  <c r="G10" i="3" l="1"/>
  <c r="H8" i="3"/>
  <c r="F11" i="3"/>
  <c r="G6" i="3"/>
  <c r="E12" i="3"/>
  <c r="E13" i="3" s="1"/>
  <c r="F7" i="3"/>
  <c r="F11" i="2"/>
  <c r="G6" i="2"/>
  <c r="F10" i="2"/>
  <c r="G8" i="2"/>
  <c r="E12" i="2"/>
  <c r="E13" i="2" s="1"/>
  <c r="F7" i="2"/>
  <c r="G8" i="1"/>
  <c r="F10" i="1"/>
  <c r="G11" i="1"/>
  <c r="H6" i="1"/>
  <c r="E12" i="1"/>
  <c r="E13" i="1" s="1"/>
  <c r="F7" i="1"/>
  <c r="F12" i="3" l="1"/>
  <c r="F13" i="3" s="1"/>
  <c r="G7" i="3"/>
  <c r="G11" i="3"/>
  <c r="H6" i="3"/>
  <c r="I8" i="3"/>
  <c r="H10" i="3"/>
  <c r="G10" i="2"/>
  <c r="H8" i="2"/>
  <c r="G11" i="2"/>
  <c r="H6" i="2"/>
  <c r="F12" i="2"/>
  <c r="F13" i="2" s="1"/>
  <c r="G7" i="2"/>
  <c r="I6" i="1"/>
  <c r="H11" i="1"/>
  <c r="G10" i="1"/>
  <c r="H8" i="1"/>
  <c r="F12" i="1"/>
  <c r="F13" i="1" s="1"/>
  <c r="G7" i="1"/>
  <c r="J8" i="3" l="1"/>
  <c r="I10" i="3"/>
  <c r="H11" i="3"/>
  <c r="I6" i="3"/>
  <c r="G12" i="3"/>
  <c r="G13" i="3" s="1"/>
  <c r="H7" i="3"/>
  <c r="I6" i="2"/>
  <c r="H11" i="2"/>
  <c r="I8" i="2"/>
  <c r="H10" i="2"/>
  <c r="G12" i="2"/>
  <c r="G13" i="2" s="1"/>
  <c r="H7" i="2"/>
  <c r="I8" i="1"/>
  <c r="H10" i="1"/>
  <c r="I11" i="1"/>
  <c r="J6" i="1"/>
  <c r="G12" i="1"/>
  <c r="G13" i="1" s="1"/>
  <c r="H7" i="1"/>
  <c r="H12" i="3" l="1"/>
  <c r="H13" i="3" s="1"/>
  <c r="I7" i="3"/>
  <c r="J6" i="3"/>
  <c r="I11" i="3"/>
  <c r="K8" i="3"/>
  <c r="J10" i="3"/>
  <c r="H12" i="2"/>
  <c r="H13" i="2" s="1"/>
  <c r="I7" i="2"/>
  <c r="J8" i="2"/>
  <c r="I10" i="2"/>
  <c r="J6" i="2"/>
  <c r="I11" i="2"/>
  <c r="J11" i="1"/>
  <c r="K6" i="1"/>
  <c r="I7" i="1"/>
  <c r="H12" i="1"/>
  <c r="H13" i="1" s="1"/>
  <c r="J8" i="1"/>
  <c r="I10" i="1"/>
  <c r="L8" i="3" l="1"/>
  <c r="K10" i="3"/>
  <c r="K6" i="3"/>
  <c r="J11" i="3"/>
  <c r="I12" i="3"/>
  <c r="I13" i="3" s="1"/>
  <c r="J7" i="3"/>
  <c r="K8" i="2"/>
  <c r="J10" i="2"/>
  <c r="K6" i="2"/>
  <c r="J11" i="2"/>
  <c r="J7" i="2"/>
  <c r="I12" i="2"/>
  <c r="I13" i="2" s="1"/>
  <c r="J7" i="1"/>
  <c r="I12" i="1"/>
  <c r="I13" i="1" s="1"/>
  <c r="J10" i="1"/>
  <c r="K8" i="1"/>
  <c r="K11" i="1"/>
  <c r="L6" i="1"/>
  <c r="K7" i="3" l="1"/>
  <c r="J12" i="3"/>
  <c r="J13" i="3" s="1"/>
  <c r="K11" i="3"/>
  <c r="L6" i="3"/>
  <c r="L10" i="3"/>
  <c r="M8" i="3"/>
  <c r="M10" i="3" s="1"/>
  <c r="K11" i="2"/>
  <c r="L6" i="2"/>
  <c r="K7" i="2"/>
  <c r="J12" i="2"/>
  <c r="J13" i="2" s="1"/>
  <c r="K10" i="2"/>
  <c r="L8" i="2"/>
  <c r="L11" i="1"/>
  <c r="M6" i="1"/>
  <c r="M11" i="1" s="1"/>
  <c r="K10" i="1"/>
  <c r="L8" i="1"/>
  <c r="J12" i="1"/>
  <c r="J13" i="1" s="1"/>
  <c r="K7" i="1"/>
  <c r="L11" i="3" l="1"/>
  <c r="M6" i="3"/>
  <c r="M11" i="3" s="1"/>
  <c r="K12" i="3"/>
  <c r="K13" i="3" s="1"/>
  <c r="L7" i="3"/>
  <c r="L10" i="2"/>
  <c r="M8" i="2"/>
  <c r="M10" i="2" s="1"/>
  <c r="L7" i="2"/>
  <c r="K12" i="2"/>
  <c r="K13" i="2" s="1"/>
  <c r="L11" i="2"/>
  <c r="M6" i="2"/>
  <c r="M11" i="2" s="1"/>
  <c r="L7" i="1"/>
  <c r="K12" i="1"/>
  <c r="K13" i="1" s="1"/>
  <c r="M8" i="1"/>
  <c r="M10" i="1" s="1"/>
  <c r="L10" i="1"/>
  <c r="L12" i="3" l="1"/>
  <c r="L13" i="3" s="1"/>
  <c r="M7" i="3"/>
  <c r="M12" i="3" s="1"/>
  <c r="M13" i="3" s="1"/>
  <c r="L12" i="2"/>
  <c r="L13" i="2" s="1"/>
  <c r="M7" i="2"/>
  <c r="M12" i="2" s="1"/>
  <c r="M13" i="2" s="1"/>
  <c r="B16" i="2" s="1"/>
  <c r="B18" i="2" s="1"/>
  <c r="B20" i="2" s="1"/>
  <c r="L12" i="1"/>
  <c r="L13" i="1" s="1"/>
  <c r="M7" i="1"/>
  <c r="M12" i="1" s="1"/>
  <c r="M13" i="1" s="1"/>
  <c r="B16" i="3" l="1"/>
  <c r="B18" i="3" s="1"/>
  <c r="B20" i="3" s="1"/>
  <c r="B23" i="2"/>
  <c r="B16" i="1"/>
  <c r="B18" i="1" s="1"/>
  <c r="B20" i="1" s="1"/>
  <c r="H39" i="1" s="1"/>
  <c r="B23" i="3" l="1"/>
  <c r="H41" i="1"/>
  <c r="H43" i="1" s="1"/>
  <c r="H46" i="1" s="1"/>
  <c r="B23" i="1"/>
</calcChain>
</file>

<file path=xl/sharedStrings.xml><?xml version="1.0" encoding="utf-8"?>
<sst xmlns="http://schemas.openxmlformats.org/spreadsheetml/2006/main" count="138" uniqueCount="51">
  <si>
    <t>Inputs</t>
  </si>
  <si>
    <t>Ano 0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</si>
  <si>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</si>
  <si>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</si>
  <si>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</si>
  <si>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</si>
  <si>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</si>
  <si>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</si>
  <si>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</si>
  <si>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</si>
  <si>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</si>
  <si>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</si>
  <si>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Perpetuidade</t>
  </si>
  <si>
    <t>Receita Líquida</t>
  </si>
  <si>
    <t>Lucro Operacional após impostos (Ebit 1-T)</t>
  </si>
  <si>
    <t>Investimentos Fisicos</t>
  </si>
  <si>
    <t>Depreciação</t>
  </si>
  <si>
    <t>Investimento Líquido</t>
  </si>
  <si>
    <t>Var. Capital de Giro (10% da Variação da Receita)</t>
  </si>
  <si>
    <t>Fluxo de Caixa para a Firma (FCFF)</t>
  </si>
  <si>
    <t>Fluxo de caixa descontado (FCFF)</t>
  </si>
  <si>
    <t>Valor justo da Firma</t>
  </si>
  <si>
    <t>Dívida</t>
  </si>
  <si>
    <t>Valor de Mercado Justo</t>
  </si>
  <si>
    <t>Quantidade de ações</t>
  </si>
  <si>
    <t>Valor justo da ação</t>
  </si>
  <si>
    <t>Valor atual da ação</t>
  </si>
  <si>
    <t>Potencial upside/downside</t>
  </si>
  <si>
    <t>Margem Operacional após impostos</t>
  </si>
  <si>
    <t>Dados para a projeção</t>
  </si>
  <si>
    <t>Crescimento da Receita (%ao ano)</t>
  </si>
  <si>
    <t>Crescimento do Lucro (% ao ano)</t>
  </si>
  <si>
    <t>Taxa de desconto para o acionista</t>
  </si>
  <si>
    <t>desconto auxiliar</t>
  </si>
  <si>
    <t>Investimentos</t>
  </si>
  <si>
    <t>depreciação</t>
  </si>
  <si>
    <t>Livre de risco</t>
  </si>
  <si>
    <t>taxa de risco</t>
  </si>
  <si>
    <t>Beta</t>
  </si>
  <si>
    <t>Cenarios</t>
  </si>
  <si>
    <t>Taxa de desconto</t>
  </si>
  <si>
    <t>Percentual</t>
  </si>
  <si>
    <t>Valor</t>
  </si>
  <si>
    <t>Otimista</t>
  </si>
  <si>
    <t>Custo do capital de Terceiros</t>
  </si>
  <si>
    <t>Médio</t>
  </si>
  <si>
    <t>Pessimista</t>
  </si>
  <si>
    <t>Estrutura de Capital</t>
  </si>
  <si>
    <t>Preço justo final</t>
  </si>
  <si>
    <t>Preço atual da ação</t>
  </si>
  <si>
    <t>Sonae Sierra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</si>
</sst>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\ * #,##0.0000_-;\-&quot;R$&quot;\ * #,##0.00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44" fontId="0" fillId="0" borderId="0" xfId="1" applyFont="1"/>
    <xf numFmtId="4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4" fontId="2" fillId="2" borderId="0" xfId="0" applyNumberFormat="1" applyFont="1" applyFill="1"/>
    <xf numFmtId="0" fontId="2" fillId="3" borderId="0" xfId="0" applyFont="1" applyFill="1"/>
    <xf numFmtId="10" fontId="2" fillId="3" borderId="0" xfId="2" applyNumberFormat="1" applyFont="1" applyFill="1"/>
    <xf numFmtId="9" fontId="0" fillId="0" borderId="0" xfId="0" applyNumberFormat="1"/>
    <xf numFmtId="10" fontId="0" fillId="0" borderId="0" xfId="0" applyNumberFormat="1"/>
    <xf numFmtId="10" fontId="0" fillId="0" borderId="0" xfId="2" applyNumberFormat="1" applyFont="1"/>
    <xf numFmtId="9" fontId="0" fillId="0" borderId="0" xfId="2" applyFont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9" fontId="3" fillId="4" borderId="0" xfId="0" applyNumberFormat="1" applyFont="1" applyFill="1"/>
    <xf numFmtId="44" fontId="3" fillId="4" borderId="0" xfId="0" applyNumberFormat="1" applyFont="1" applyFill="1"/>
    <xf numFmtId="0" fontId="4" fillId="2" borderId="0" xfId="0" applyFont="1" applyFill="1"/>
    <xf numFmtId="44" fontId="4" fillId="2" borderId="0" xfId="0" applyNumberFormat="1" applyFont="1" applyFill="1"/>
    <xf numFmtId="44" fontId="4" fillId="2" borderId="0" xfId="1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9" fontId="3" fillId="0" borderId="0" xfId="0" applyNumberFormat="1" applyFont="1" applyFill="1"/>
    <xf numFmtId="44" fontId="3" fillId="0" borderId="0" xfId="0" applyNumberFormat="1" applyFont="1" applyFill="1"/>
    <xf numFmtId="0" fontId="4" fillId="0" borderId="0" xfId="0" applyFont="1" applyFill="1"/>
    <xf numFmtId="44" fontId="4" fillId="0" borderId="0" xfId="0" applyNumberFormat="1" applyFont="1" applyFill="1"/>
    <xf numFmtId="44" fontId="4" fillId="0" borderId="0" xfId="1" applyFont="1" applyFill="1"/>
    <xf numFmtId="0" fontId="0" fillId="0" borderId="0" xfId="0" applyFill="1"/>
    <xf numFmtId="0" fontId="2" fillId="0" borderId="0" xfId="0" applyFont="1" applyFill="1"/>
    <xf numFmtId="10" fontId="2" fillId="0" borderId="0" xfId="2" applyNumberFormat="1" applyFont="1" applyFill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6"/>
  <sheetViews>
    <sheetView tabSelected="1" workbookViewId="0">
      <selection activeCell="E29" sqref="E29"/>
    </sheetView>
  </sheetViews>
  <sheetFormatPr defaultRowHeight="15" x14ac:dyDescent="0.25"/>
  <cols>
    <col min="1" max="1" width="44.7109375" bestFit="1" customWidth="1"/>
    <col min="2" max="2" width="18" bestFit="1" customWidth="1"/>
    <col min="3" max="3" width="19" bestFit="1" customWidth="1"/>
    <col min="4" max="4" width="19.7109375" customWidth="1"/>
    <col min="5" max="5" width="19" bestFit="1" customWidth="1"/>
    <col min="6" max="6" width="31.5703125" bestFit="1" customWidth="1"/>
    <col min="7" max="10" width="19" bestFit="1" customWidth="1"/>
    <col min="11" max="12" width="18" bestFit="1" customWidth="1"/>
    <col min="13" max="13" width="19" bestFit="1" customWidth="1"/>
  </cols>
  <sheetData>
    <row r="3" spans="1:13" x14ac:dyDescent="0.25">
      <c r="A3" t="s">
        <v>50</v>
      </c>
    </row>
    <row r="5" spans="1:13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 t="s">
        <v>11</v>
      </c>
      <c r="M5" t="s">
        <v>12</v>
      </c>
    </row>
    <row r="6" spans="1:13" x14ac:dyDescent="0.25">
      <c r="A6" t="s">
        <v>13</v>
      </c>
      <c r="B6" s="1">
        <v>342294</v>
      </c>
      <c r="C6" s="1">
        <f>B6*(1+C28)</f>
        <v>376523.4</v>
      </c>
      <c r="D6" s="1">
        <f t="shared" ref="D6:M7" si="0">C6*(1+D28)</f>
        <v>451828.08</v>
      </c>
      <c r="E6" s="1">
        <f t="shared" si="0"/>
        <v>542193.696</v>
      </c>
      <c r="F6" s="1">
        <f t="shared" si="0"/>
        <v>623522.7503999999</v>
      </c>
      <c r="G6" s="1">
        <f t="shared" si="0"/>
        <v>717051.16295999987</v>
      </c>
      <c r="H6" s="1">
        <f t="shared" si="0"/>
        <v>803097.30251519987</v>
      </c>
      <c r="I6" s="1">
        <f t="shared" si="0"/>
        <v>899468.97881702392</v>
      </c>
      <c r="J6" s="1">
        <f t="shared" si="0"/>
        <v>989415.87669872644</v>
      </c>
      <c r="K6" s="1">
        <f t="shared" si="0"/>
        <v>1088357.4643685992</v>
      </c>
      <c r="L6" s="1">
        <f t="shared" si="0"/>
        <v>1197193.2108054592</v>
      </c>
      <c r="M6" s="1">
        <f t="shared" si="0"/>
        <v>1275010.769507814</v>
      </c>
    </row>
    <row r="7" spans="1:13" x14ac:dyDescent="0.25">
      <c r="A7" t="s">
        <v>14</v>
      </c>
      <c r="B7" s="1">
        <f>238445*0.75</f>
        <v>178833.75</v>
      </c>
      <c r="C7" s="1">
        <f>B7*(1+C29)</f>
        <v>196717.12500000003</v>
      </c>
      <c r="D7" s="1">
        <f>C7*(1+D29)</f>
        <v>236060.55000000002</v>
      </c>
      <c r="E7" s="1">
        <f t="shared" si="0"/>
        <v>283272.66000000003</v>
      </c>
      <c r="F7" s="1">
        <f t="shared" si="0"/>
        <v>325763.55900000001</v>
      </c>
      <c r="G7" s="1">
        <f t="shared" si="0"/>
        <v>374628.09284999996</v>
      </c>
      <c r="H7" s="1">
        <f t="shared" si="0"/>
        <v>419583.46399199998</v>
      </c>
      <c r="I7" s="1">
        <f t="shared" si="0"/>
        <v>469933.47967104003</v>
      </c>
      <c r="J7" s="1">
        <f t="shared" si="0"/>
        <v>516926.82763814408</v>
      </c>
      <c r="K7" s="1">
        <f t="shared" si="0"/>
        <v>568619.51040195848</v>
      </c>
      <c r="L7" s="1">
        <f t="shared" si="0"/>
        <v>625481.46144215437</v>
      </c>
      <c r="M7" s="1">
        <f t="shared" si="0"/>
        <v>666137.75643589441</v>
      </c>
    </row>
    <row r="8" spans="1:13" x14ac:dyDescent="0.25">
      <c r="A8" t="s">
        <v>15</v>
      </c>
      <c r="B8" s="1">
        <v>26815</v>
      </c>
      <c r="C8" s="1">
        <f>B8*(1+C32)</f>
        <v>30837.249999999996</v>
      </c>
      <c r="D8" s="1">
        <f t="shared" ref="D8:M9" si="1">C8*(1+D32)</f>
        <v>35462.837499999994</v>
      </c>
      <c r="E8" s="1">
        <f t="shared" si="1"/>
        <v>40782.26312499999</v>
      </c>
      <c r="F8" s="1">
        <f t="shared" si="1"/>
        <v>46899.602593749987</v>
      </c>
      <c r="G8" s="1">
        <f t="shared" si="1"/>
        <v>53934.542982812483</v>
      </c>
      <c r="H8" s="1">
        <f t="shared" si="1"/>
        <v>62024.724430234353</v>
      </c>
      <c r="I8" s="1">
        <f t="shared" si="1"/>
        <v>68227.196873257795</v>
      </c>
      <c r="J8" s="1">
        <f t="shared" si="1"/>
        <v>75049.916560583588</v>
      </c>
      <c r="K8" s="1">
        <f t="shared" si="1"/>
        <v>82554.908216641954</v>
      </c>
      <c r="L8" s="1">
        <f t="shared" si="1"/>
        <v>90810.399038306161</v>
      </c>
      <c r="M8" s="1">
        <f t="shared" si="1"/>
        <v>96713.074975796058</v>
      </c>
    </row>
    <row r="9" spans="1:13" x14ac:dyDescent="0.25">
      <c r="A9" t="s">
        <v>16</v>
      </c>
      <c r="B9" s="1">
        <v>2649</v>
      </c>
      <c r="C9" s="1">
        <f>B9*(1+C33)</f>
        <v>3046.35</v>
      </c>
      <c r="D9" s="1">
        <f t="shared" si="1"/>
        <v>3503.3024999999998</v>
      </c>
      <c r="E9" s="1">
        <f t="shared" si="1"/>
        <v>4028.7978749999993</v>
      </c>
      <c r="F9" s="1">
        <f t="shared" si="1"/>
        <v>4633.1175562499984</v>
      </c>
      <c r="G9" s="1">
        <f t="shared" si="1"/>
        <v>5328.0851896874974</v>
      </c>
      <c r="H9" s="1">
        <f t="shared" si="1"/>
        <v>6127.2979681406214</v>
      </c>
      <c r="I9" s="1">
        <f t="shared" si="1"/>
        <v>6740.0277649546842</v>
      </c>
      <c r="J9" s="1">
        <f t="shared" si="1"/>
        <v>7414.0305414501536</v>
      </c>
      <c r="K9" s="1">
        <f t="shared" si="1"/>
        <v>8155.4335955951692</v>
      </c>
      <c r="L9" s="1">
        <f t="shared" si="1"/>
        <v>8970.9769551546869</v>
      </c>
      <c r="M9" s="1">
        <f t="shared" si="1"/>
        <v>9554.0904572397412</v>
      </c>
    </row>
    <row r="10" spans="1:13" x14ac:dyDescent="0.25">
      <c r="A10" t="s">
        <v>17</v>
      </c>
      <c r="B10" s="1">
        <f>B8-B9</f>
        <v>24166</v>
      </c>
      <c r="C10" s="1">
        <f t="shared" ref="C10:M10" si="2">C8-C9</f>
        <v>27790.899999999998</v>
      </c>
      <c r="D10" s="1">
        <f t="shared" si="2"/>
        <v>31959.534999999996</v>
      </c>
      <c r="E10" s="1">
        <f t="shared" si="2"/>
        <v>36753.465249999994</v>
      </c>
      <c r="F10" s="1">
        <f t="shared" si="2"/>
        <v>42266.485037499988</v>
      </c>
      <c r="G10" s="1">
        <f t="shared" si="2"/>
        <v>48606.457793124988</v>
      </c>
      <c r="H10" s="1">
        <f t="shared" si="2"/>
        <v>55897.426462093732</v>
      </c>
      <c r="I10" s="1">
        <f t="shared" si="2"/>
        <v>61487.169108303111</v>
      </c>
      <c r="J10" s="1">
        <f t="shared" si="2"/>
        <v>67635.886019133439</v>
      </c>
      <c r="K10" s="1">
        <f t="shared" si="2"/>
        <v>74399.474621046786</v>
      </c>
      <c r="L10" s="1">
        <f t="shared" si="2"/>
        <v>81839.422083151469</v>
      </c>
      <c r="M10" s="1">
        <f t="shared" si="2"/>
        <v>87158.984518556317</v>
      </c>
    </row>
    <row r="11" spans="1:13" x14ac:dyDescent="0.25">
      <c r="A11" t="s">
        <v>18</v>
      </c>
      <c r="C11" s="1">
        <f>(C6-B6)*0.1</f>
        <v>3422.9400000000023</v>
      </c>
      <c r="D11" s="1">
        <f t="shared" ref="D11:M11" si="3">(D6-C6)*0.1</f>
        <v>7530.4679999999998</v>
      </c>
      <c r="E11" s="1">
        <f t="shared" si="3"/>
        <v>9036.5615999999991</v>
      </c>
      <c r="F11" s="1">
        <f t="shared" si="3"/>
        <v>8132.9054399999914</v>
      </c>
      <c r="G11" s="1">
        <f t="shared" si="3"/>
        <v>9352.8412559999979</v>
      </c>
      <c r="H11" s="1">
        <f t="shared" si="3"/>
        <v>8604.6139555200007</v>
      </c>
      <c r="I11" s="1">
        <f t="shared" si="3"/>
        <v>9637.1676301824045</v>
      </c>
      <c r="J11" s="1">
        <f t="shared" si="3"/>
        <v>8994.6897881702516</v>
      </c>
      <c r="K11" s="1">
        <f t="shared" si="3"/>
        <v>9894.1587669872806</v>
      </c>
      <c r="L11" s="1">
        <f t="shared" si="3"/>
        <v>10883.574643685995</v>
      </c>
      <c r="M11" s="1">
        <f t="shared" si="3"/>
        <v>7781.7558702354791</v>
      </c>
    </row>
    <row r="12" spans="1:13" x14ac:dyDescent="0.25">
      <c r="A12" t="s">
        <v>19</v>
      </c>
      <c r="C12" s="2">
        <f>C7-C10-C11</f>
        <v>165503.28500000003</v>
      </c>
      <c r="D12" s="2">
        <f t="shared" ref="D12:M12" si="4">D7-D10-D11</f>
        <v>196570.54700000002</v>
      </c>
      <c r="E12" s="2">
        <f t="shared" si="4"/>
        <v>237482.63315000004</v>
      </c>
      <c r="F12" s="2">
        <f t="shared" si="4"/>
        <v>275364.16852250003</v>
      </c>
      <c r="G12" s="2">
        <f t="shared" si="4"/>
        <v>316668.79380087496</v>
      </c>
      <c r="H12" s="2">
        <f t="shared" si="4"/>
        <v>355081.42357438628</v>
      </c>
      <c r="I12" s="2">
        <f t="shared" si="4"/>
        <v>398809.14293255453</v>
      </c>
      <c r="J12" s="2">
        <f t="shared" si="4"/>
        <v>440296.25183084037</v>
      </c>
      <c r="K12" s="2">
        <f t="shared" si="4"/>
        <v>484325.87701392442</v>
      </c>
      <c r="L12" s="2">
        <f t="shared" si="4"/>
        <v>532758.46471531689</v>
      </c>
      <c r="M12" s="2">
        <f t="shared" si="4"/>
        <v>571197.01604710263</v>
      </c>
    </row>
    <row r="13" spans="1:13" x14ac:dyDescent="0.25">
      <c r="A13" t="s">
        <v>20</v>
      </c>
      <c r="C13" s="3">
        <f>C12/PRODUCT($C$31:C31)-1</f>
        <v>146421.47062392248</v>
      </c>
      <c r="D13" s="3">
        <f>D12/PRODUCT($C$31:D31)-1</f>
        <v>153857.20827507621</v>
      </c>
      <c r="E13" s="3">
        <f>E12/PRODUCT($C$31:E31)-1</f>
        <v>164449.49774999922</v>
      </c>
      <c r="F13" s="3">
        <f>F12/PRODUCT($C$31:F31)-1</f>
        <v>168697.75457039409</v>
      </c>
      <c r="G13" s="3">
        <f>G12/PRODUCT($C$31:G31)-1</f>
        <v>171635.96600150384</v>
      </c>
      <c r="H13" s="3">
        <f>H12/PRODUCT($C$31:H31)-1</f>
        <v>170267.62375627062</v>
      </c>
      <c r="I13" s="3">
        <f>I12/PRODUCT($C$31:I31)-1</f>
        <v>169188.29930903995</v>
      </c>
      <c r="J13" s="3">
        <f>J12/PRODUCT($C$31:J31)-1</f>
        <v>165253.72517144729</v>
      </c>
      <c r="K13" s="3">
        <f>K12/PRODUCT($C$31:K31)-1</f>
        <v>160821.82388575355</v>
      </c>
      <c r="L13" s="3">
        <f>L12/PRODUCT($C$31:L31)-1</f>
        <v>156508.78001237137</v>
      </c>
      <c r="M13" s="3">
        <f>(M12/PRODUCT($C$31:M31)-1)/(M30-M29)</f>
        <v>2272964.9947631606</v>
      </c>
    </row>
    <row r="16" spans="1:13" x14ac:dyDescent="0.25">
      <c r="A16" t="s">
        <v>21</v>
      </c>
      <c r="B16" s="2">
        <f>SUM(C13:M13)</f>
        <v>3900067.1441189391</v>
      </c>
    </row>
    <row r="17" spans="1:13" x14ac:dyDescent="0.25">
      <c r="A17" t="s">
        <v>22</v>
      </c>
      <c r="B17" s="1">
        <v>814411</v>
      </c>
    </row>
    <row r="18" spans="1:13" x14ac:dyDescent="0.25">
      <c r="A18" t="s">
        <v>23</v>
      </c>
      <c r="B18" s="2">
        <f>B16-B17</f>
        <v>3085656.1441189391</v>
      </c>
    </row>
    <row r="19" spans="1:13" x14ac:dyDescent="0.25">
      <c r="A19" t="s">
        <v>24</v>
      </c>
      <c r="B19">
        <v>76420</v>
      </c>
    </row>
    <row r="20" spans="1:13" ht="18.75" x14ac:dyDescent="0.3">
      <c r="A20" s="4" t="s">
        <v>25</v>
      </c>
      <c r="B20" s="5">
        <f>B18/B19</f>
        <v>40.377599373448561</v>
      </c>
    </row>
    <row r="21" spans="1:13" ht="18.75" x14ac:dyDescent="0.3">
      <c r="A21" s="4" t="s">
        <v>26</v>
      </c>
      <c r="B21" s="4">
        <v>22.11</v>
      </c>
    </row>
    <row r="23" spans="1:13" ht="18.75" x14ac:dyDescent="0.3">
      <c r="A23" s="6" t="s">
        <v>27</v>
      </c>
      <c r="B23" s="7">
        <f>B20/B21-1</f>
        <v>0.82621435429437184</v>
      </c>
    </row>
    <row r="26" spans="1:13" x14ac:dyDescent="0.25">
      <c r="A26" t="s">
        <v>28</v>
      </c>
    </row>
    <row r="27" spans="1:13" x14ac:dyDescent="0.25">
      <c r="A27" t="s">
        <v>29</v>
      </c>
    </row>
    <row r="28" spans="1:13" x14ac:dyDescent="0.25">
      <c r="A28" t="s">
        <v>30</v>
      </c>
      <c r="C28" s="8">
        <v>0.1</v>
      </c>
      <c r="D28" s="8">
        <v>0.2</v>
      </c>
      <c r="E28" s="8">
        <v>0.2</v>
      </c>
      <c r="F28" s="8">
        <v>0.15</v>
      </c>
      <c r="G28" s="9">
        <v>0.15</v>
      </c>
      <c r="H28" s="9">
        <v>0.12</v>
      </c>
      <c r="I28" s="9">
        <v>0.12</v>
      </c>
      <c r="J28" s="9">
        <v>0.1</v>
      </c>
      <c r="K28" s="9">
        <v>0.1</v>
      </c>
      <c r="L28" s="9">
        <v>0.1</v>
      </c>
      <c r="M28" s="9">
        <v>6.5000000000000002E-2</v>
      </c>
    </row>
    <row r="29" spans="1:13" x14ac:dyDescent="0.25">
      <c r="A29" t="s">
        <v>31</v>
      </c>
      <c r="C29" s="8">
        <v>0.1</v>
      </c>
      <c r="D29" s="8">
        <v>0.2</v>
      </c>
      <c r="E29" s="8">
        <v>0.2</v>
      </c>
      <c r="F29" s="8">
        <v>0.15</v>
      </c>
      <c r="G29" s="8">
        <v>0.15</v>
      </c>
      <c r="H29" s="8">
        <v>0.12</v>
      </c>
      <c r="I29" s="8">
        <v>0.12</v>
      </c>
      <c r="J29" s="8">
        <v>0.1</v>
      </c>
      <c r="K29" s="8">
        <v>0.1</v>
      </c>
      <c r="L29" s="8">
        <v>0.1</v>
      </c>
      <c r="M29" s="9">
        <v>6.5000000000000002E-2</v>
      </c>
    </row>
    <row r="30" spans="1:13" x14ac:dyDescent="0.25">
      <c r="A30" t="s">
        <v>32</v>
      </c>
      <c r="C30" s="10">
        <f>$B$38*$B$42+$B$40*(1-$B$42)</f>
        <v>0.13031343000000001</v>
      </c>
      <c r="D30" s="10">
        <f t="shared" ref="D30:M30" si="5">$B$38*$B$42+$B$40*(1-$B$42)</f>
        <v>0.13031343000000001</v>
      </c>
      <c r="E30" s="10">
        <f t="shared" si="5"/>
        <v>0.13031343000000001</v>
      </c>
      <c r="F30" s="10">
        <f t="shared" si="5"/>
        <v>0.13031343000000001</v>
      </c>
      <c r="G30" s="10">
        <f t="shared" si="5"/>
        <v>0.13031343000000001</v>
      </c>
      <c r="H30" s="10">
        <f t="shared" si="5"/>
        <v>0.13031343000000001</v>
      </c>
      <c r="I30" s="10">
        <f t="shared" si="5"/>
        <v>0.13031343000000001</v>
      </c>
      <c r="J30" s="10">
        <f t="shared" si="5"/>
        <v>0.13031343000000001</v>
      </c>
      <c r="K30" s="10">
        <f t="shared" si="5"/>
        <v>0.13031343000000001</v>
      </c>
      <c r="L30" s="10">
        <f t="shared" si="5"/>
        <v>0.13031343000000001</v>
      </c>
      <c r="M30" s="10">
        <f t="shared" si="5"/>
        <v>0.13031343000000001</v>
      </c>
    </row>
    <row r="31" spans="1:13" x14ac:dyDescent="0.25">
      <c r="A31" t="s">
        <v>33</v>
      </c>
      <c r="C31" s="10">
        <f>1+C30</f>
        <v>1.13031343</v>
      </c>
      <c r="D31" s="10">
        <f t="shared" ref="D31:M31" si="6">1+D30</f>
        <v>1.13031343</v>
      </c>
      <c r="E31" s="10">
        <f t="shared" si="6"/>
        <v>1.13031343</v>
      </c>
      <c r="F31" s="10">
        <f t="shared" si="6"/>
        <v>1.13031343</v>
      </c>
      <c r="G31" s="10">
        <f t="shared" si="6"/>
        <v>1.13031343</v>
      </c>
      <c r="H31" s="10">
        <f t="shared" si="6"/>
        <v>1.13031343</v>
      </c>
      <c r="I31" s="10">
        <f t="shared" si="6"/>
        <v>1.13031343</v>
      </c>
      <c r="J31" s="10">
        <f t="shared" si="6"/>
        <v>1.13031343</v>
      </c>
      <c r="K31" s="10">
        <f t="shared" si="6"/>
        <v>1.13031343</v>
      </c>
      <c r="L31" s="10">
        <f t="shared" si="6"/>
        <v>1.13031343</v>
      </c>
      <c r="M31" s="10">
        <f t="shared" si="6"/>
        <v>1.13031343</v>
      </c>
    </row>
    <row r="32" spans="1:13" x14ac:dyDescent="0.25">
      <c r="A32" t="s">
        <v>34</v>
      </c>
      <c r="C32" s="8">
        <v>0.15</v>
      </c>
      <c r="D32" s="8">
        <v>0.15</v>
      </c>
      <c r="E32" s="8">
        <v>0.15</v>
      </c>
      <c r="F32" s="8">
        <v>0.15</v>
      </c>
      <c r="G32" s="8">
        <v>0.15</v>
      </c>
      <c r="H32" s="8">
        <v>0.15</v>
      </c>
      <c r="I32" s="8">
        <v>0.1</v>
      </c>
      <c r="J32" s="8">
        <v>0.1</v>
      </c>
      <c r="K32" s="8">
        <v>0.1</v>
      </c>
      <c r="L32" s="8">
        <v>0.1</v>
      </c>
      <c r="M32" s="9">
        <v>6.5000000000000002E-2</v>
      </c>
    </row>
    <row r="33" spans="1:13" x14ac:dyDescent="0.25">
      <c r="A33" t="s">
        <v>35</v>
      </c>
      <c r="C33" s="11">
        <v>0.15</v>
      </c>
      <c r="D33" s="8">
        <v>0.15</v>
      </c>
      <c r="E33" s="8">
        <v>0.15</v>
      </c>
      <c r="F33" s="8">
        <v>0.15</v>
      </c>
      <c r="G33" s="10">
        <v>0.15</v>
      </c>
      <c r="H33" s="10">
        <v>0.15</v>
      </c>
      <c r="I33" s="10">
        <v>0.1</v>
      </c>
      <c r="J33" s="10">
        <v>0.1</v>
      </c>
      <c r="K33" s="10">
        <v>0.1</v>
      </c>
      <c r="L33" s="10">
        <v>0.1</v>
      </c>
      <c r="M33" s="9">
        <v>6.5000000000000002E-2</v>
      </c>
    </row>
    <row r="35" spans="1:13" x14ac:dyDescent="0.25">
      <c r="A35" t="s">
        <v>36</v>
      </c>
      <c r="B35" s="8">
        <v>0.1</v>
      </c>
    </row>
    <row r="36" spans="1:13" x14ac:dyDescent="0.25">
      <c r="A36" t="s">
        <v>37</v>
      </c>
      <c r="B36" s="9">
        <v>6.5000000000000002E-2</v>
      </c>
    </row>
    <row r="37" spans="1:13" ht="15.75" x14ac:dyDescent="0.25">
      <c r="A37" t="s">
        <v>38</v>
      </c>
      <c r="B37">
        <v>0.54</v>
      </c>
      <c r="F37" s="12" t="s">
        <v>39</v>
      </c>
      <c r="G37" s="12"/>
      <c r="H37" s="12"/>
    </row>
    <row r="38" spans="1:13" ht="15.75" x14ac:dyDescent="0.25">
      <c r="A38" t="s">
        <v>40</v>
      </c>
      <c r="B38" s="9">
        <f>B35+B36*B37</f>
        <v>0.1351</v>
      </c>
      <c r="F38" s="13"/>
      <c r="G38" s="13" t="s">
        <v>41</v>
      </c>
      <c r="H38" s="13" t="s">
        <v>42</v>
      </c>
    </row>
    <row r="39" spans="1:13" ht="15.75" x14ac:dyDescent="0.25">
      <c r="F39" s="13" t="s">
        <v>43</v>
      </c>
      <c r="G39" s="14">
        <v>0.25</v>
      </c>
      <c r="H39" s="15">
        <f>B20*G39</f>
        <v>10.09439984336214</v>
      </c>
    </row>
    <row r="40" spans="1:13" ht="15.75" x14ac:dyDescent="0.25">
      <c r="A40" t="s">
        <v>44</v>
      </c>
      <c r="B40" s="8">
        <v>0.11</v>
      </c>
      <c r="F40" s="13" t="s">
        <v>45</v>
      </c>
      <c r="G40" s="14">
        <v>0.55000000000000004</v>
      </c>
      <c r="H40" s="15">
        <f>médio!B20*otimista!G40</f>
        <v>15.809705227907131</v>
      </c>
    </row>
    <row r="41" spans="1:13" ht="15.75" x14ac:dyDescent="0.25">
      <c r="F41" s="13" t="s">
        <v>46</v>
      </c>
      <c r="G41" s="14">
        <v>0.2</v>
      </c>
      <c r="H41" s="15">
        <f>pessimista!B20*otimista!G41</f>
        <v>3.4067218224191365</v>
      </c>
    </row>
    <row r="42" spans="1:13" ht="15.75" x14ac:dyDescent="0.25">
      <c r="A42" t="s">
        <v>47</v>
      </c>
      <c r="B42" s="9">
        <v>0.80930000000000002</v>
      </c>
      <c r="F42" s="13"/>
      <c r="G42" s="13"/>
      <c r="H42" s="13"/>
    </row>
    <row r="43" spans="1:13" ht="21" x14ac:dyDescent="0.35">
      <c r="F43" s="16" t="s">
        <v>48</v>
      </c>
      <c r="G43" s="16"/>
      <c r="H43" s="17">
        <f>SUM(H39:H41)</f>
        <v>29.310826893688407</v>
      </c>
    </row>
    <row r="44" spans="1:13" ht="21" x14ac:dyDescent="0.35">
      <c r="F44" s="16" t="s">
        <v>49</v>
      </c>
      <c r="G44" s="16"/>
      <c r="H44" s="18">
        <v>22.11</v>
      </c>
    </row>
    <row r="46" spans="1:13" ht="18.75" x14ac:dyDescent="0.3">
      <c r="F46" s="6" t="s">
        <v>27</v>
      </c>
      <c r="G46" s="6"/>
      <c r="H46" s="7">
        <f>H43/H44-1</f>
        <v>0.32568190383032158</v>
      </c>
    </row>
  </sheetData>
  <mergeCells count="1">
    <mergeCell ref="F37:H3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6"/>
  <sheetViews>
    <sheetView topLeftCell="A4" workbookViewId="0">
      <selection activeCell="B23" sqref="B23"/>
    </sheetView>
  </sheetViews>
  <sheetFormatPr defaultRowHeight="15" x14ac:dyDescent="0.25"/>
  <cols>
    <col min="1" max="1" width="44.7109375" bestFit="1" customWidth="1"/>
    <col min="2" max="2" width="18" bestFit="1" customWidth="1"/>
    <col min="3" max="3" width="19" bestFit="1" customWidth="1"/>
    <col min="4" max="4" width="19.7109375" customWidth="1"/>
    <col min="5" max="5" width="19" bestFit="1" customWidth="1"/>
    <col min="6" max="6" width="31.5703125" bestFit="1" customWidth="1"/>
    <col min="7" max="10" width="19" bestFit="1" customWidth="1"/>
    <col min="11" max="12" width="18" bestFit="1" customWidth="1"/>
    <col min="13" max="13" width="19" bestFit="1" customWidth="1"/>
  </cols>
  <sheetData>
    <row r="3" spans="1:13" x14ac:dyDescent="0.25">
      <c r="A3" t="s">
        <v>50</v>
      </c>
    </row>
    <row r="5" spans="1:13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 t="s">
        <v>11</v>
      </c>
      <c r="M5" t="s">
        <v>12</v>
      </c>
    </row>
    <row r="6" spans="1:13" x14ac:dyDescent="0.25">
      <c r="A6" t="s">
        <v>13</v>
      </c>
      <c r="B6" s="1">
        <v>342294</v>
      </c>
      <c r="C6" s="1">
        <f>B6*(1+C28)</f>
        <v>359408.7</v>
      </c>
      <c r="D6" s="1">
        <f t="shared" ref="D6:M7" si="0">C6*(1+D28)</f>
        <v>413320.005</v>
      </c>
      <c r="E6" s="1">
        <f t="shared" si="0"/>
        <v>475318.00574999995</v>
      </c>
      <c r="F6" s="1">
        <f t="shared" si="0"/>
        <v>532356.16643999994</v>
      </c>
      <c r="G6" s="1">
        <f t="shared" si="0"/>
        <v>596238.90641279996</v>
      </c>
      <c r="H6" s="1">
        <f t="shared" si="0"/>
        <v>667787.57518233603</v>
      </c>
      <c r="I6" s="1">
        <f t="shared" si="0"/>
        <v>734566.33270056965</v>
      </c>
      <c r="J6" s="1">
        <f t="shared" si="0"/>
        <v>808022.96597062668</v>
      </c>
      <c r="K6" s="1">
        <f t="shared" si="0"/>
        <v>888825.26256768941</v>
      </c>
      <c r="L6" s="1">
        <f t="shared" si="0"/>
        <v>977707.78882445837</v>
      </c>
      <c r="M6" s="1">
        <f t="shared" si="0"/>
        <v>1036370.2561539259</v>
      </c>
    </row>
    <row r="7" spans="1:13" x14ac:dyDescent="0.25">
      <c r="A7" t="s">
        <v>14</v>
      </c>
      <c r="B7" s="1">
        <f>238445*0.75</f>
        <v>178833.75</v>
      </c>
      <c r="C7" s="1">
        <f>B7*(1+C29)</f>
        <v>187775.4375</v>
      </c>
      <c r="D7" s="1">
        <f>C7*(1+D29)</f>
        <v>215941.75312499999</v>
      </c>
      <c r="E7" s="1">
        <f t="shared" si="0"/>
        <v>248333.01609374996</v>
      </c>
      <c r="F7" s="1">
        <f t="shared" si="0"/>
        <v>278132.97802499996</v>
      </c>
      <c r="G7" s="1">
        <f t="shared" si="0"/>
        <v>311508.93538799998</v>
      </c>
      <c r="H7" s="1">
        <f t="shared" si="0"/>
        <v>348890.00763456</v>
      </c>
      <c r="I7" s="1">
        <f t="shared" si="0"/>
        <v>383779.00839801604</v>
      </c>
      <c r="J7" s="1">
        <f t="shared" si="0"/>
        <v>422156.90923781769</v>
      </c>
      <c r="K7" s="1">
        <f t="shared" si="0"/>
        <v>464372.60016159952</v>
      </c>
      <c r="L7" s="1">
        <f t="shared" si="0"/>
        <v>510809.86017775949</v>
      </c>
      <c r="M7" s="1">
        <f t="shared" si="0"/>
        <v>541458.4517884251</v>
      </c>
    </row>
    <row r="8" spans="1:13" x14ac:dyDescent="0.25">
      <c r="A8" t="s">
        <v>15</v>
      </c>
      <c r="B8" s="1">
        <v>26815</v>
      </c>
      <c r="C8" s="1">
        <f>B8*(1+C32)</f>
        <v>30837.249999999996</v>
      </c>
      <c r="D8" s="1">
        <f t="shared" ref="D8:M9" si="1">C8*(1+D32)</f>
        <v>35462.837499999994</v>
      </c>
      <c r="E8" s="1">
        <f t="shared" si="1"/>
        <v>40782.26312499999</v>
      </c>
      <c r="F8" s="1">
        <f t="shared" si="1"/>
        <v>46899.602593749987</v>
      </c>
      <c r="G8" s="1">
        <f t="shared" si="1"/>
        <v>53934.542982812483</v>
      </c>
      <c r="H8" s="1">
        <f t="shared" si="1"/>
        <v>62024.724430234353</v>
      </c>
      <c r="I8" s="1">
        <f t="shared" si="1"/>
        <v>68227.196873257795</v>
      </c>
      <c r="J8" s="1">
        <f t="shared" si="1"/>
        <v>75049.916560583588</v>
      </c>
      <c r="K8" s="1">
        <f t="shared" si="1"/>
        <v>82554.908216641954</v>
      </c>
      <c r="L8" s="1">
        <f t="shared" si="1"/>
        <v>90810.399038306161</v>
      </c>
      <c r="M8" s="1">
        <f t="shared" si="1"/>
        <v>96713.074975796058</v>
      </c>
    </row>
    <row r="9" spans="1:13" x14ac:dyDescent="0.25">
      <c r="A9" t="s">
        <v>16</v>
      </c>
      <c r="B9" s="1">
        <v>2649</v>
      </c>
      <c r="C9" s="1">
        <f>B9*(1+C33)</f>
        <v>3046.35</v>
      </c>
      <c r="D9" s="1">
        <f t="shared" si="1"/>
        <v>3503.3024999999998</v>
      </c>
      <c r="E9" s="1">
        <f t="shared" si="1"/>
        <v>4028.7978749999993</v>
      </c>
      <c r="F9" s="1">
        <f t="shared" si="1"/>
        <v>4633.1175562499984</v>
      </c>
      <c r="G9" s="1">
        <f t="shared" si="1"/>
        <v>5328.0851896874974</v>
      </c>
      <c r="H9" s="1">
        <f t="shared" si="1"/>
        <v>6127.2979681406214</v>
      </c>
      <c r="I9" s="1">
        <f t="shared" si="1"/>
        <v>6740.0277649546842</v>
      </c>
      <c r="J9" s="1">
        <f t="shared" si="1"/>
        <v>7414.0305414501536</v>
      </c>
      <c r="K9" s="1">
        <f t="shared" si="1"/>
        <v>8155.4335955951692</v>
      </c>
      <c r="L9" s="1">
        <f t="shared" si="1"/>
        <v>8970.9769551546869</v>
      </c>
      <c r="M9" s="1">
        <f t="shared" si="1"/>
        <v>9554.0904572397412</v>
      </c>
    </row>
    <row r="10" spans="1:13" x14ac:dyDescent="0.25">
      <c r="A10" t="s">
        <v>17</v>
      </c>
      <c r="B10" s="1">
        <f>B8-B9</f>
        <v>24166</v>
      </c>
      <c r="C10" s="1">
        <f t="shared" ref="C10:M10" si="2">C8-C9</f>
        <v>27790.899999999998</v>
      </c>
      <c r="D10" s="1">
        <f t="shared" si="2"/>
        <v>31959.534999999996</v>
      </c>
      <c r="E10" s="1">
        <f t="shared" si="2"/>
        <v>36753.465249999994</v>
      </c>
      <c r="F10" s="1">
        <f t="shared" si="2"/>
        <v>42266.485037499988</v>
      </c>
      <c r="G10" s="1">
        <f t="shared" si="2"/>
        <v>48606.457793124988</v>
      </c>
      <c r="H10" s="1">
        <f t="shared" si="2"/>
        <v>55897.426462093732</v>
      </c>
      <c r="I10" s="1">
        <f t="shared" si="2"/>
        <v>61487.169108303111</v>
      </c>
      <c r="J10" s="1">
        <f t="shared" si="2"/>
        <v>67635.886019133439</v>
      </c>
      <c r="K10" s="1">
        <f t="shared" si="2"/>
        <v>74399.474621046786</v>
      </c>
      <c r="L10" s="1">
        <f t="shared" si="2"/>
        <v>81839.422083151469</v>
      </c>
      <c r="M10" s="1">
        <f t="shared" si="2"/>
        <v>87158.984518556317</v>
      </c>
    </row>
    <row r="11" spans="1:13" x14ac:dyDescent="0.25">
      <c r="A11" t="s">
        <v>18</v>
      </c>
      <c r="C11" s="1">
        <f>(C6-B6)*0.1</f>
        <v>1711.4700000000012</v>
      </c>
      <c r="D11" s="1">
        <f t="shared" ref="D11:M11" si="3">(D6-C6)*0.1</f>
        <v>5391.1304999999993</v>
      </c>
      <c r="E11" s="1">
        <f t="shared" si="3"/>
        <v>6199.8000749999956</v>
      </c>
      <c r="F11" s="1">
        <f t="shared" si="3"/>
        <v>5703.8160689999995</v>
      </c>
      <c r="G11" s="1">
        <f t="shared" si="3"/>
        <v>6388.2739972800018</v>
      </c>
      <c r="H11" s="1">
        <f t="shared" si="3"/>
        <v>7154.866876953608</v>
      </c>
      <c r="I11" s="1">
        <f t="shared" si="3"/>
        <v>6677.8757518233615</v>
      </c>
      <c r="J11" s="1">
        <f t="shared" si="3"/>
        <v>7345.6633270057036</v>
      </c>
      <c r="K11" s="1">
        <f t="shared" si="3"/>
        <v>8080.2296597062732</v>
      </c>
      <c r="L11" s="1">
        <f t="shared" si="3"/>
        <v>8888.2526256768961</v>
      </c>
      <c r="M11" s="1">
        <f t="shared" si="3"/>
        <v>5866.2467329467536</v>
      </c>
    </row>
    <row r="12" spans="1:13" x14ac:dyDescent="0.25">
      <c r="A12" t="s">
        <v>19</v>
      </c>
      <c r="C12" s="2">
        <f>C7-C10-C11</f>
        <v>158273.0675</v>
      </c>
      <c r="D12" s="2">
        <f t="shared" ref="D12:M12" si="4">D7-D10-D11</f>
        <v>178591.08762499999</v>
      </c>
      <c r="E12" s="2">
        <f t="shared" si="4"/>
        <v>205379.75076874995</v>
      </c>
      <c r="F12" s="2">
        <f t="shared" si="4"/>
        <v>230162.67691849999</v>
      </c>
      <c r="G12" s="2">
        <f t="shared" si="4"/>
        <v>256514.20359759498</v>
      </c>
      <c r="H12" s="2">
        <f t="shared" si="4"/>
        <v>285837.71429551265</v>
      </c>
      <c r="I12" s="2">
        <f t="shared" si="4"/>
        <v>315613.96353788959</v>
      </c>
      <c r="J12" s="2">
        <f t="shared" si="4"/>
        <v>347175.35989167856</v>
      </c>
      <c r="K12" s="2">
        <f t="shared" si="4"/>
        <v>381892.89588084642</v>
      </c>
      <c r="L12" s="2">
        <f t="shared" si="4"/>
        <v>420082.1854689311</v>
      </c>
      <c r="M12" s="2">
        <f t="shared" si="4"/>
        <v>448433.22053692199</v>
      </c>
    </row>
    <row r="13" spans="1:13" x14ac:dyDescent="0.25">
      <c r="A13" t="s">
        <v>20</v>
      </c>
      <c r="C13" s="3">
        <f>C12/PRODUCT($C$31:C31)-1</f>
        <v>140024.82230664993</v>
      </c>
      <c r="D13" s="3">
        <f>D12/PRODUCT($C$31:D31)-1</f>
        <v>139784.46214189264</v>
      </c>
      <c r="E13" s="3">
        <f>E12/PRODUCT($C$31:E31)-1</f>
        <v>142219.09329144793</v>
      </c>
      <c r="F13" s="3">
        <f>F12/PRODUCT($C$31:F31)-1</f>
        <v>141005.57014700258</v>
      </c>
      <c r="G13" s="3">
        <f>G12/PRODUCT($C$31:G31)-1</f>
        <v>139031.70705438734</v>
      </c>
      <c r="H13" s="3">
        <f>H12/PRODUCT($C$31:H31)-1</f>
        <v>137063.88427587165</v>
      </c>
      <c r="I13" s="3">
        <f>I12/PRODUCT($C$31:I31)-1</f>
        <v>133893.88754061746</v>
      </c>
      <c r="J13" s="3">
        <f>J12/PRODUCT($C$31:J31)-1</f>
        <v>130303.01336970685</v>
      </c>
      <c r="K13" s="3">
        <f>K12/PRODUCT($C$31:K31)-1</f>
        <v>126808.44143667968</v>
      </c>
      <c r="L13" s="3">
        <f>L12/PRODUCT($C$31:L31)-1</f>
        <v>123407.58904980689</v>
      </c>
      <c r="M13" s="3">
        <f>(M12/PRODUCT($C$31:M31)-1)/(M30-M29)</f>
        <v>1657555.208507142</v>
      </c>
    </row>
    <row r="16" spans="1:13" x14ac:dyDescent="0.25">
      <c r="A16" t="s">
        <v>21</v>
      </c>
      <c r="B16" s="2">
        <f>SUM(C13:M13)</f>
        <v>3011097.6791212051</v>
      </c>
    </row>
    <row r="17" spans="1:13" x14ac:dyDescent="0.25">
      <c r="A17" t="s">
        <v>22</v>
      </c>
      <c r="B17" s="1">
        <v>814411</v>
      </c>
    </row>
    <row r="18" spans="1:13" x14ac:dyDescent="0.25">
      <c r="A18" t="s">
        <v>23</v>
      </c>
      <c r="B18" s="2">
        <f>B16-B17</f>
        <v>2196686.6791212051</v>
      </c>
    </row>
    <row r="19" spans="1:13" x14ac:dyDescent="0.25">
      <c r="A19" t="s">
        <v>24</v>
      </c>
      <c r="B19">
        <v>76420</v>
      </c>
    </row>
    <row r="20" spans="1:13" ht="18.75" x14ac:dyDescent="0.3">
      <c r="A20" s="4" t="s">
        <v>25</v>
      </c>
      <c r="B20" s="5">
        <f>B18/B19</f>
        <v>28.744918596194779</v>
      </c>
    </row>
    <row r="21" spans="1:13" ht="18.75" x14ac:dyDescent="0.3">
      <c r="A21" s="4" t="s">
        <v>26</v>
      </c>
      <c r="B21" s="4">
        <v>22.11</v>
      </c>
    </row>
    <row r="23" spans="1:13" ht="18.75" x14ac:dyDescent="0.3">
      <c r="A23" s="6" t="s">
        <v>27</v>
      </c>
      <c r="B23" s="7">
        <f>B20/B21-1</f>
        <v>0.30008677504273096</v>
      </c>
    </row>
    <row r="26" spans="1:13" x14ac:dyDescent="0.25">
      <c r="A26" t="s">
        <v>28</v>
      </c>
    </row>
    <row r="27" spans="1:13" x14ac:dyDescent="0.25">
      <c r="A27" t="s">
        <v>29</v>
      </c>
    </row>
    <row r="28" spans="1:13" x14ac:dyDescent="0.25">
      <c r="A28" t="s">
        <v>30</v>
      </c>
      <c r="C28" s="8">
        <v>0.05</v>
      </c>
      <c r="D28" s="8">
        <v>0.15</v>
      </c>
      <c r="E28" s="8">
        <v>0.15</v>
      </c>
      <c r="F28" s="8">
        <v>0.12</v>
      </c>
      <c r="G28" s="9">
        <v>0.12</v>
      </c>
      <c r="H28" s="9">
        <v>0.12</v>
      </c>
      <c r="I28" s="9">
        <v>0.1</v>
      </c>
      <c r="J28" s="9">
        <v>0.1</v>
      </c>
      <c r="K28" s="9">
        <v>0.1</v>
      </c>
      <c r="L28" s="9">
        <v>0.1</v>
      </c>
      <c r="M28" s="9">
        <v>0.06</v>
      </c>
    </row>
    <row r="29" spans="1:13" x14ac:dyDescent="0.25">
      <c r="A29" t="s">
        <v>31</v>
      </c>
      <c r="C29" s="8">
        <v>0.05</v>
      </c>
      <c r="D29" s="8">
        <v>0.15</v>
      </c>
      <c r="E29" s="8">
        <v>0.15</v>
      </c>
      <c r="F29" s="8">
        <v>0.12</v>
      </c>
      <c r="G29" s="8">
        <v>0.12</v>
      </c>
      <c r="H29" s="8">
        <v>0.12</v>
      </c>
      <c r="I29" s="8">
        <v>0.1</v>
      </c>
      <c r="J29" s="8">
        <v>0.1</v>
      </c>
      <c r="K29" s="8">
        <v>0.1</v>
      </c>
      <c r="L29" s="8">
        <v>0.1</v>
      </c>
      <c r="M29" s="9">
        <v>0.06</v>
      </c>
    </row>
    <row r="30" spans="1:13" x14ac:dyDescent="0.25">
      <c r="A30" t="s">
        <v>32</v>
      </c>
      <c r="C30" s="10">
        <f>$B$38*$B$42+$B$40*(1-$B$42)</f>
        <v>0.13031343000000001</v>
      </c>
      <c r="D30" s="10">
        <f t="shared" ref="D30:M30" si="5">$B$38*$B$42+$B$40*(1-$B$42)</f>
        <v>0.13031343000000001</v>
      </c>
      <c r="E30" s="10">
        <f t="shared" si="5"/>
        <v>0.13031343000000001</v>
      </c>
      <c r="F30" s="10">
        <f t="shared" si="5"/>
        <v>0.13031343000000001</v>
      </c>
      <c r="G30" s="10">
        <f t="shared" si="5"/>
        <v>0.13031343000000001</v>
      </c>
      <c r="H30" s="10">
        <f t="shared" si="5"/>
        <v>0.13031343000000001</v>
      </c>
      <c r="I30" s="10">
        <f t="shared" si="5"/>
        <v>0.13031343000000001</v>
      </c>
      <c r="J30" s="10">
        <f t="shared" si="5"/>
        <v>0.13031343000000001</v>
      </c>
      <c r="K30" s="10">
        <f t="shared" si="5"/>
        <v>0.13031343000000001</v>
      </c>
      <c r="L30" s="10">
        <f t="shared" si="5"/>
        <v>0.13031343000000001</v>
      </c>
      <c r="M30" s="10">
        <f t="shared" si="5"/>
        <v>0.13031343000000001</v>
      </c>
    </row>
    <row r="31" spans="1:13" x14ac:dyDescent="0.25">
      <c r="A31" t="s">
        <v>33</v>
      </c>
      <c r="C31" s="10">
        <f>1+C30</f>
        <v>1.13031343</v>
      </c>
      <c r="D31" s="10">
        <f t="shared" ref="D31:M31" si="6">1+D30</f>
        <v>1.13031343</v>
      </c>
      <c r="E31" s="10">
        <f t="shared" si="6"/>
        <v>1.13031343</v>
      </c>
      <c r="F31" s="10">
        <f t="shared" si="6"/>
        <v>1.13031343</v>
      </c>
      <c r="G31" s="10">
        <f t="shared" si="6"/>
        <v>1.13031343</v>
      </c>
      <c r="H31" s="10">
        <f t="shared" si="6"/>
        <v>1.13031343</v>
      </c>
      <c r="I31" s="10">
        <f t="shared" si="6"/>
        <v>1.13031343</v>
      </c>
      <c r="J31" s="10">
        <f t="shared" si="6"/>
        <v>1.13031343</v>
      </c>
      <c r="K31" s="10">
        <f t="shared" si="6"/>
        <v>1.13031343</v>
      </c>
      <c r="L31" s="10">
        <f t="shared" si="6"/>
        <v>1.13031343</v>
      </c>
      <c r="M31" s="10">
        <f t="shared" si="6"/>
        <v>1.13031343</v>
      </c>
    </row>
    <row r="32" spans="1:13" x14ac:dyDescent="0.25">
      <c r="A32" t="s">
        <v>34</v>
      </c>
      <c r="C32" s="8">
        <v>0.15</v>
      </c>
      <c r="D32" s="8">
        <v>0.15</v>
      </c>
      <c r="E32" s="8">
        <v>0.15</v>
      </c>
      <c r="F32" s="8">
        <v>0.15</v>
      </c>
      <c r="G32" s="8">
        <v>0.15</v>
      </c>
      <c r="H32" s="8">
        <v>0.15</v>
      </c>
      <c r="I32" s="8">
        <v>0.1</v>
      </c>
      <c r="J32" s="8">
        <v>0.1</v>
      </c>
      <c r="K32" s="8">
        <v>0.1</v>
      </c>
      <c r="L32" s="8">
        <v>0.1</v>
      </c>
      <c r="M32" s="9">
        <v>6.5000000000000002E-2</v>
      </c>
    </row>
    <row r="33" spans="1:13" x14ac:dyDescent="0.25">
      <c r="A33" t="s">
        <v>35</v>
      </c>
      <c r="C33" s="11">
        <v>0.15</v>
      </c>
      <c r="D33" s="8">
        <v>0.15</v>
      </c>
      <c r="E33" s="8">
        <v>0.15</v>
      </c>
      <c r="F33" s="8">
        <v>0.15</v>
      </c>
      <c r="G33" s="10">
        <v>0.15</v>
      </c>
      <c r="H33" s="10">
        <v>0.15</v>
      </c>
      <c r="I33" s="10">
        <v>0.1</v>
      </c>
      <c r="J33" s="10">
        <v>0.1</v>
      </c>
      <c r="K33" s="10">
        <v>0.1</v>
      </c>
      <c r="L33" s="10">
        <v>0.1</v>
      </c>
      <c r="M33" s="9">
        <v>6.5000000000000002E-2</v>
      </c>
    </row>
    <row r="35" spans="1:13" x14ac:dyDescent="0.25">
      <c r="A35" t="s">
        <v>36</v>
      </c>
      <c r="B35" s="8">
        <v>0.1</v>
      </c>
    </row>
    <row r="36" spans="1:13" x14ac:dyDescent="0.25">
      <c r="A36" t="s">
        <v>37</v>
      </c>
      <c r="B36" s="9">
        <v>6.5000000000000002E-2</v>
      </c>
    </row>
    <row r="37" spans="1:13" ht="15.75" x14ac:dyDescent="0.25">
      <c r="A37" t="s">
        <v>38</v>
      </c>
      <c r="B37">
        <v>0.54</v>
      </c>
      <c r="F37" s="19"/>
      <c r="G37" s="19"/>
      <c r="H37" s="19"/>
    </row>
    <row r="38" spans="1:13" ht="15.75" x14ac:dyDescent="0.25">
      <c r="A38" t="s">
        <v>40</v>
      </c>
      <c r="B38" s="9">
        <f>B35+B36*B37</f>
        <v>0.1351</v>
      </c>
      <c r="F38" s="20"/>
      <c r="G38" s="20"/>
      <c r="H38" s="20"/>
    </row>
    <row r="39" spans="1:13" ht="15.75" x14ac:dyDescent="0.25">
      <c r="F39" s="20"/>
      <c r="G39" s="21"/>
      <c r="H39" s="22"/>
    </row>
    <row r="40" spans="1:13" ht="15.75" x14ac:dyDescent="0.25">
      <c r="A40" t="s">
        <v>44</v>
      </c>
      <c r="B40" s="8">
        <v>0.11</v>
      </c>
      <c r="F40" s="20"/>
      <c r="G40" s="21"/>
      <c r="H40" s="22"/>
    </row>
    <row r="41" spans="1:13" ht="15.75" x14ac:dyDescent="0.25">
      <c r="F41" s="20"/>
      <c r="G41" s="21"/>
      <c r="H41" s="22"/>
    </row>
    <row r="42" spans="1:13" ht="15.75" x14ac:dyDescent="0.25">
      <c r="A42" t="s">
        <v>47</v>
      </c>
      <c r="B42" s="9">
        <v>0.80930000000000002</v>
      </c>
      <c r="F42" s="20"/>
      <c r="G42" s="20"/>
      <c r="H42" s="20"/>
    </row>
    <row r="43" spans="1:13" ht="21" x14ac:dyDescent="0.35">
      <c r="F43" s="23"/>
      <c r="G43" s="23"/>
      <c r="H43" s="24"/>
    </row>
    <row r="44" spans="1:13" ht="21" x14ac:dyDescent="0.35">
      <c r="F44" s="23"/>
      <c r="G44" s="23"/>
      <c r="H44" s="25"/>
    </row>
    <row r="45" spans="1:13" x14ac:dyDescent="0.25">
      <c r="F45" s="26"/>
      <c r="G45" s="26"/>
      <c r="H45" s="26"/>
    </row>
    <row r="46" spans="1:13" ht="18.75" x14ac:dyDescent="0.3">
      <c r="F46" s="27"/>
      <c r="G46" s="27"/>
      <c r="H46" s="28"/>
    </row>
  </sheetData>
  <mergeCells count="1">
    <mergeCell ref="F37:H3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6"/>
  <sheetViews>
    <sheetView workbookViewId="0">
      <selection activeCell="B22" sqref="B22"/>
    </sheetView>
  </sheetViews>
  <sheetFormatPr defaultRowHeight="15" x14ac:dyDescent="0.25"/>
  <cols>
    <col min="1" max="1" width="44.7109375" bestFit="1" customWidth="1"/>
    <col min="2" max="2" width="18" bestFit="1" customWidth="1"/>
    <col min="3" max="3" width="19" bestFit="1" customWidth="1"/>
    <col min="4" max="4" width="19.7109375" customWidth="1"/>
    <col min="5" max="5" width="19" bestFit="1" customWidth="1"/>
    <col min="6" max="6" width="31.5703125" bestFit="1" customWidth="1"/>
    <col min="7" max="10" width="19" bestFit="1" customWidth="1"/>
    <col min="11" max="12" width="18" bestFit="1" customWidth="1"/>
    <col min="13" max="13" width="19" bestFit="1" customWidth="1"/>
  </cols>
  <sheetData>
    <row r="3" spans="1:13" x14ac:dyDescent="0.25">
      <c r="A3" t="s">
        <v>50</v>
      </c>
    </row>
    <row r="5" spans="1:13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 t="s">
        <v>11</v>
      </c>
      <c r="M5" t="s">
        <v>12</v>
      </c>
    </row>
    <row r="6" spans="1:13" x14ac:dyDescent="0.25">
      <c r="A6" t="s">
        <v>13</v>
      </c>
      <c r="B6" s="1">
        <v>342294</v>
      </c>
      <c r="C6" s="1">
        <f>B6*(1+C28)</f>
        <v>359408.7</v>
      </c>
      <c r="D6" s="1">
        <f t="shared" ref="D6:M7" si="0">C6*(1+D28)</f>
        <v>395349.57000000007</v>
      </c>
      <c r="E6" s="1">
        <f t="shared" si="0"/>
        <v>434884.52700000012</v>
      </c>
      <c r="F6" s="1">
        <f t="shared" si="0"/>
        <v>478372.97970000014</v>
      </c>
      <c r="G6" s="1">
        <f t="shared" si="0"/>
        <v>526210.27767000021</v>
      </c>
      <c r="H6" s="1">
        <f t="shared" si="0"/>
        <v>578831.30543700024</v>
      </c>
      <c r="I6" s="1">
        <f t="shared" si="0"/>
        <v>625137.80987196031</v>
      </c>
      <c r="J6" s="1">
        <f t="shared" si="0"/>
        <v>675148.83466171718</v>
      </c>
      <c r="K6" s="1">
        <f t="shared" si="0"/>
        <v>729160.74143465457</v>
      </c>
      <c r="L6" s="1">
        <f t="shared" si="0"/>
        <v>787493.60074942699</v>
      </c>
      <c r="M6" s="1">
        <f t="shared" si="0"/>
        <v>834743.21679439268</v>
      </c>
    </row>
    <row r="7" spans="1:13" x14ac:dyDescent="0.25">
      <c r="A7" t="s">
        <v>14</v>
      </c>
      <c r="B7" s="1">
        <f>238445*0.75</f>
        <v>178833.75</v>
      </c>
      <c r="C7" s="1">
        <f>B7*(1+C29)</f>
        <v>178833.75</v>
      </c>
      <c r="D7" s="1">
        <f>C7*(1+D29)</f>
        <v>187775.4375</v>
      </c>
      <c r="E7" s="1">
        <f t="shared" si="0"/>
        <v>197164.20937500001</v>
      </c>
      <c r="F7" s="1">
        <f t="shared" si="0"/>
        <v>216880.63031250003</v>
      </c>
      <c r="G7" s="1">
        <f t="shared" si="0"/>
        <v>238568.69334375006</v>
      </c>
      <c r="H7" s="1">
        <f t="shared" si="0"/>
        <v>262425.5626781251</v>
      </c>
      <c r="I7" s="1">
        <f t="shared" si="0"/>
        <v>249304.28454421883</v>
      </c>
      <c r="J7" s="1">
        <f t="shared" si="0"/>
        <v>269248.62730775634</v>
      </c>
      <c r="K7" s="1">
        <f t="shared" si="0"/>
        <v>290788.51749237685</v>
      </c>
      <c r="L7" s="1">
        <f t="shared" si="0"/>
        <v>314051.59889176703</v>
      </c>
      <c r="M7" s="1">
        <f t="shared" si="0"/>
        <v>332894.69482527307</v>
      </c>
    </row>
    <row r="8" spans="1:13" x14ac:dyDescent="0.25">
      <c r="A8" t="s">
        <v>15</v>
      </c>
      <c r="B8" s="1">
        <v>26815</v>
      </c>
      <c r="C8" s="1">
        <f>B8*(1+C32)</f>
        <v>28155.75</v>
      </c>
      <c r="D8" s="1">
        <f t="shared" ref="D8:M9" si="1">C8*(1+D32)</f>
        <v>29563.537500000002</v>
      </c>
      <c r="E8" s="1">
        <f t="shared" si="1"/>
        <v>31041.714375000003</v>
      </c>
      <c r="F8" s="1">
        <f t="shared" si="1"/>
        <v>32593.800093750004</v>
      </c>
      <c r="G8" s="1">
        <f t="shared" si="1"/>
        <v>34223.490098437505</v>
      </c>
      <c r="H8" s="1">
        <f t="shared" si="1"/>
        <v>35934.664603359379</v>
      </c>
      <c r="I8" s="1">
        <f t="shared" si="1"/>
        <v>37731.39783352735</v>
      </c>
      <c r="J8" s="1">
        <f t="shared" si="1"/>
        <v>39617.967725203722</v>
      </c>
      <c r="K8" s="1">
        <f t="shared" si="1"/>
        <v>41598.866111463911</v>
      </c>
      <c r="L8" s="1">
        <f t="shared" si="1"/>
        <v>43678.809417037111</v>
      </c>
      <c r="M8" s="1">
        <f t="shared" si="1"/>
        <v>46299.537982059337</v>
      </c>
    </row>
    <row r="9" spans="1:13" x14ac:dyDescent="0.25">
      <c r="A9" t="s">
        <v>16</v>
      </c>
      <c r="B9" s="1">
        <v>2649</v>
      </c>
      <c r="C9" s="1">
        <f>B9*(1+C33)</f>
        <v>3046.35</v>
      </c>
      <c r="D9" s="1">
        <f t="shared" si="1"/>
        <v>3503.3024999999998</v>
      </c>
      <c r="E9" s="1">
        <f t="shared" si="1"/>
        <v>4028.7978749999993</v>
      </c>
      <c r="F9" s="1">
        <f t="shared" si="1"/>
        <v>4633.1175562499984</v>
      </c>
      <c r="G9" s="1">
        <f t="shared" si="1"/>
        <v>5096.4293118749983</v>
      </c>
      <c r="H9" s="1">
        <f t="shared" si="1"/>
        <v>5606.0722430624983</v>
      </c>
      <c r="I9" s="1">
        <f t="shared" si="1"/>
        <v>6166.6794673687482</v>
      </c>
      <c r="J9" s="1">
        <f t="shared" si="1"/>
        <v>6475.0134407371861</v>
      </c>
      <c r="K9" s="1">
        <f t="shared" si="1"/>
        <v>6798.7641127740453</v>
      </c>
      <c r="L9" s="1">
        <f t="shared" si="1"/>
        <v>7138.7023184127474</v>
      </c>
      <c r="M9" s="1">
        <f t="shared" si="1"/>
        <v>7567.0244575175129</v>
      </c>
    </row>
    <row r="10" spans="1:13" x14ac:dyDescent="0.25">
      <c r="A10" t="s">
        <v>17</v>
      </c>
      <c r="B10" s="1">
        <f>B8-B9</f>
        <v>24166</v>
      </c>
      <c r="C10" s="1">
        <f t="shared" ref="C10:M10" si="2">C8-C9</f>
        <v>25109.4</v>
      </c>
      <c r="D10" s="1">
        <f t="shared" si="2"/>
        <v>26060.235000000001</v>
      </c>
      <c r="E10" s="1">
        <f t="shared" si="2"/>
        <v>27012.916500000003</v>
      </c>
      <c r="F10" s="1">
        <f t="shared" si="2"/>
        <v>27960.682537500004</v>
      </c>
      <c r="G10" s="1">
        <f t="shared" si="2"/>
        <v>29127.060786562506</v>
      </c>
      <c r="H10" s="1">
        <f t="shared" si="2"/>
        <v>30328.59236029688</v>
      </c>
      <c r="I10" s="1">
        <f t="shared" si="2"/>
        <v>31564.718366158602</v>
      </c>
      <c r="J10" s="1">
        <f t="shared" si="2"/>
        <v>33142.954284466534</v>
      </c>
      <c r="K10" s="1">
        <f t="shared" si="2"/>
        <v>34800.101998689868</v>
      </c>
      <c r="L10" s="1">
        <f t="shared" si="2"/>
        <v>36540.107098624365</v>
      </c>
      <c r="M10" s="1">
        <f t="shared" si="2"/>
        <v>38732.513524541821</v>
      </c>
    </row>
    <row r="11" spans="1:13" x14ac:dyDescent="0.25">
      <c r="A11" t="s">
        <v>18</v>
      </c>
      <c r="C11" s="1">
        <f>(C6-B6)*0.1</f>
        <v>1711.4700000000012</v>
      </c>
      <c r="D11" s="1">
        <f t="shared" ref="D11:M11" si="3">(D6-C6)*0.1</f>
        <v>3594.0870000000054</v>
      </c>
      <c r="E11" s="1">
        <f t="shared" si="3"/>
        <v>3953.4957000000054</v>
      </c>
      <c r="F11" s="1">
        <f t="shared" si="3"/>
        <v>4348.8452700000025</v>
      </c>
      <c r="G11" s="1">
        <f t="shared" si="3"/>
        <v>4783.7297970000072</v>
      </c>
      <c r="H11" s="1">
        <f t="shared" si="3"/>
        <v>5262.1027767000023</v>
      </c>
      <c r="I11" s="1">
        <f t="shared" si="3"/>
        <v>4630.6504434960079</v>
      </c>
      <c r="J11" s="1">
        <f t="shared" si="3"/>
        <v>5001.1024789756866</v>
      </c>
      <c r="K11" s="1">
        <f t="shared" si="3"/>
        <v>5401.19067729374</v>
      </c>
      <c r="L11" s="1">
        <f t="shared" si="3"/>
        <v>5833.2859314772422</v>
      </c>
      <c r="M11" s="1">
        <f t="shared" si="3"/>
        <v>4724.9616044965687</v>
      </c>
    </row>
    <row r="12" spans="1:13" x14ac:dyDescent="0.25">
      <c r="A12" t="s">
        <v>19</v>
      </c>
      <c r="C12" s="2">
        <f>C7-C10-C11</f>
        <v>152012.88</v>
      </c>
      <c r="D12" s="2">
        <f t="shared" ref="D12:M12" si="4">D7-D10-D11</f>
        <v>158121.11550000001</v>
      </c>
      <c r="E12" s="2">
        <f t="shared" si="4"/>
        <v>166197.79717500001</v>
      </c>
      <c r="F12" s="2">
        <f t="shared" si="4"/>
        <v>184571.10250500002</v>
      </c>
      <c r="G12" s="2">
        <f t="shared" si="4"/>
        <v>204657.90276018754</v>
      </c>
      <c r="H12" s="2">
        <f t="shared" si="4"/>
        <v>226834.86754112825</v>
      </c>
      <c r="I12" s="2">
        <f t="shared" si="4"/>
        <v>213108.91573456422</v>
      </c>
      <c r="J12" s="2">
        <f t="shared" si="4"/>
        <v>231104.57054431411</v>
      </c>
      <c r="K12" s="2">
        <f t="shared" si="4"/>
        <v>250587.22481639322</v>
      </c>
      <c r="L12" s="2">
        <f t="shared" si="4"/>
        <v>271678.20586166542</v>
      </c>
      <c r="M12" s="2">
        <f t="shared" si="4"/>
        <v>289437.21969623468</v>
      </c>
    </row>
    <row r="13" spans="1:13" x14ac:dyDescent="0.25">
      <c r="A13" t="s">
        <v>20</v>
      </c>
      <c r="C13" s="3">
        <f>C12/PRODUCT($C$31:C31)-1</f>
        <v>134486.36957854248</v>
      </c>
      <c r="D13" s="3">
        <f>D12/PRODUCT($C$31:D31)-1</f>
        <v>123762.36075051151</v>
      </c>
      <c r="E13" s="3">
        <f>E12/PRODUCT($C$31:E31)-1</f>
        <v>115086.61759904784</v>
      </c>
      <c r="F13" s="3">
        <f>F12/PRODUCT($C$31:F31)-1</f>
        <v>113074.40588649191</v>
      </c>
      <c r="G13" s="3">
        <f>G12/PRODUCT($C$31:G31)-1</f>
        <v>110925.18592559382</v>
      </c>
      <c r="H13" s="3">
        <f>H12/PRODUCT($C$31:H31)-1</f>
        <v>108770.84260266637</v>
      </c>
      <c r="I13" s="3">
        <f>I12/PRODUCT($C$31:I31)-1</f>
        <v>90407.529414627294</v>
      </c>
      <c r="J13" s="3">
        <f>J12/PRODUCT($C$31:J31)-1</f>
        <v>86738.603465529421</v>
      </c>
      <c r="K13" s="3">
        <f>K12/PRODUCT($C$31:K31)-1</f>
        <v>83207.738242800726</v>
      </c>
      <c r="L13" s="3">
        <f>L12/PRODUCT($C$31:L31)-1</f>
        <v>79810.582639585089</v>
      </c>
      <c r="M13" s="3">
        <f>(M12/PRODUCT($C$31:M31)-1)/(M30-M29)</f>
        <v>1069849.172240956</v>
      </c>
    </row>
    <row r="16" spans="1:13" x14ac:dyDescent="0.25">
      <c r="A16" t="s">
        <v>21</v>
      </c>
      <c r="B16" s="2">
        <f>SUM(C13:M13)</f>
        <v>2116119.4083463522</v>
      </c>
    </row>
    <row r="17" spans="1:13" x14ac:dyDescent="0.25">
      <c r="A17" t="s">
        <v>22</v>
      </c>
      <c r="B17" s="1">
        <v>814411</v>
      </c>
    </row>
    <row r="18" spans="1:13" x14ac:dyDescent="0.25">
      <c r="A18" t="s">
        <v>23</v>
      </c>
      <c r="B18" s="2">
        <f>B16-B17</f>
        <v>1301708.4083463522</v>
      </c>
    </row>
    <row r="19" spans="1:13" x14ac:dyDescent="0.25">
      <c r="A19" t="s">
        <v>24</v>
      </c>
      <c r="B19">
        <v>76420</v>
      </c>
    </row>
    <row r="20" spans="1:13" ht="18.75" x14ac:dyDescent="0.3">
      <c r="A20" s="4" t="s">
        <v>25</v>
      </c>
      <c r="B20" s="5">
        <f>B18/B19</f>
        <v>17.033609112095682</v>
      </c>
    </row>
    <row r="21" spans="1:13" ht="18.75" x14ac:dyDescent="0.3">
      <c r="A21" s="4" t="s">
        <v>26</v>
      </c>
      <c r="B21" s="4">
        <v>22.11</v>
      </c>
    </row>
    <row r="23" spans="1:13" ht="18.75" x14ac:dyDescent="0.3">
      <c r="A23" s="6" t="s">
        <v>27</v>
      </c>
      <c r="B23" s="7">
        <f>B20/B21-1</f>
        <v>-0.22959705508386785</v>
      </c>
    </row>
    <row r="26" spans="1:13" x14ac:dyDescent="0.25">
      <c r="A26" t="s">
        <v>28</v>
      </c>
    </row>
    <row r="27" spans="1:13" x14ac:dyDescent="0.25">
      <c r="A27" t="s">
        <v>29</v>
      </c>
    </row>
    <row r="28" spans="1:13" x14ac:dyDescent="0.25">
      <c r="A28" t="s">
        <v>30</v>
      </c>
      <c r="C28" s="8">
        <v>0.05</v>
      </c>
      <c r="D28" s="8">
        <v>0.1</v>
      </c>
      <c r="E28" s="8">
        <v>0.1</v>
      </c>
      <c r="F28" s="8">
        <v>0.1</v>
      </c>
      <c r="G28" s="9">
        <v>0.1</v>
      </c>
      <c r="H28" s="9">
        <v>0.1</v>
      </c>
      <c r="I28" s="9">
        <v>0.08</v>
      </c>
      <c r="J28" s="9">
        <v>0.08</v>
      </c>
      <c r="K28" s="9">
        <v>0.08</v>
      </c>
      <c r="L28" s="9">
        <v>0.08</v>
      </c>
      <c r="M28" s="9">
        <v>0.06</v>
      </c>
    </row>
    <row r="29" spans="1:13" x14ac:dyDescent="0.25">
      <c r="A29" t="s">
        <v>31</v>
      </c>
      <c r="C29" s="8">
        <v>0</v>
      </c>
      <c r="D29" s="8">
        <v>0.05</v>
      </c>
      <c r="E29" s="8">
        <v>0.05</v>
      </c>
      <c r="F29" s="8">
        <v>0.1</v>
      </c>
      <c r="G29" s="8">
        <v>0.1</v>
      </c>
      <c r="H29" s="8">
        <v>0.1</v>
      </c>
      <c r="I29" s="8">
        <v>-0.05</v>
      </c>
      <c r="J29" s="8">
        <v>0.08</v>
      </c>
      <c r="K29" s="8">
        <v>0.08</v>
      </c>
      <c r="L29" s="8">
        <v>0.08</v>
      </c>
      <c r="M29" s="9">
        <v>0.06</v>
      </c>
    </row>
    <row r="30" spans="1:13" x14ac:dyDescent="0.25">
      <c r="A30" t="s">
        <v>32</v>
      </c>
      <c r="C30" s="10">
        <f>$B$38*$B$42+$B$40*(1-$B$42)</f>
        <v>0.13031343000000001</v>
      </c>
      <c r="D30" s="10">
        <f t="shared" ref="D30:M30" si="5">$B$38*$B$42+$B$40*(1-$B$42)</f>
        <v>0.13031343000000001</v>
      </c>
      <c r="E30" s="10">
        <f t="shared" si="5"/>
        <v>0.13031343000000001</v>
      </c>
      <c r="F30" s="10">
        <f t="shared" si="5"/>
        <v>0.13031343000000001</v>
      </c>
      <c r="G30" s="10">
        <f t="shared" si="5"/>
        <v>0.13031343000000001</v>
      </c>
      <c r="H30" s="10">
        <f t="shared" si="5"/>
        <v>0.13031343000000001</v>
      </c>
      <c r="I30" s="10">
        <f t="shared" si="5"/>
        <v>0.13031343000000001</v>
      </c>
      <c r="J30" s="10">
        <f t="shared" si="5"/>
        <v>0.13031343000000001</v>
      </c>
      <c r="K30" s="10">
        <f t="shared" si="5"/>
        <v>0.13031343000000001</v>
      </c>
      <c r="L30" s="10">
        <f t="shared" si="5"/>
        <v>0.13031343000000001</v>
      </c>
      <c r="M30" s="10">
        <f t="shared" si="5"/>
        <v>0.13031343000000001</v>
      </c>
    </row>
    <row r="31" spans="1:13" x14ac:dyDescent="0.25">
      <c r="A31" t="s">
        <v>33</v>
      </c>
      <c r="C31" s="10">
        <f>1+C30</f>
        <v>1.13031343</v>
      </c>
      <c r="D31" s="10">
        <f t="shared" ref="D31:M31" si="6">1+D30</f>
        <v>1.13031343</v>
      </c>
      <c r="E31" s="10">
        <f t="shared" si="6"/>
        <v>1.13031343</v>
      </c>
      <c r="F31" s="10">
        <f t="shared" si="6"/>
        <v>1.13031343</v>
      </c>
      <c r="G31" s="10">
        <f t="shared" si="6"/>
        <v>1.13031343</v>
      </c>
      <c r="H31" s="10">
        <f t="shared" si="6"/>
        <v>1.13031343</v>
      </c>
      <c r="I31" s="10">
        <f t="shared" si="6"/>
        <v>1.13031343</v>
      </c>
      <c r="J31" s="10">
        <f t="shared" si="6"/>
        <v>1.13031343</v>
      </c>
      <c r="K31" s="10">
        <f t="shared" si="6"/>
        <v>1.13031343</v>
      </c>
      <c r="L31" s="10">
        <f t="shared" si="6"/>
        <v>1.13031343</v>
      </c>
      <c r="M31" s="10">
        <f t="shared" si="6"/>
        <v>1.13031343</v>
      </c>
    </row>
    <row r="32" spans="1:13" x14ac:dyDescent="0.25">
      <c r="A32" t="s">
        <v>34</v>
      </c>
      <c r="C32" s="8">
        <v>0.05</v>
      </c>
      <c r="D32" s="8">
        <v>0.05</v>
      </c>
      <c r="E32" s="8">
        <v>0.05</v>
      </c>
      <c r="F32" s="8">
        <v>0.05</v>
      </c>
      <c r="G32" s="8">
        <v>0.05</v>
      </c>
      <c r="H32" s="8">
        <v>0.05</v>
      </c>
      <c r="I32" s="8">
        <v>0.05</v>
      </c>
      <c r="J32" s="8">
        <v>0.05</v>
      </c>
      <c r="K32" s="8">
        <v>0.05</v>
      </c>
      <c r="L32" s="8">
        <v>0.05</v>
      </c>
      <c r="M32" s="9">
        <v>0.06</v>
      </c>
    </row>
    <row r="33" spans="1:13" x14ac:dyDescent="0.25">
      <c r="A33" t="s">
        <v>35</v>
      </c>
      <c r="C33" s="11">
        <v>0.15</v>
      </c>
      <c r="D33" s="8">
        <v>0.15</v>
      </c>
      <c r="E33" s="8">
        <v>0.15</v>
      </c>
      <c r="F33" s="8">
        <v>0.15</v>
      </c>
      <c r="G33" s="10">
        <v>0.1</v>
      </c>
      <c r="H33" s="10">
        <v>0.1</v>
      </c>
      <c r="I33" s="10">
        <v>0.1</v>
      </c>
      <c r="J33" s="10">
        <v>0.05</v>
      </c>
      <c r="K33" s="10">
        <v>0.05</v>
      </c>
      <c r="L33" s="10">
        <v>0.05</v>
      </c>
      <c r="M33" s="9">
        <v>0.06</v>
      </c>
    </row>
    <row r="35" spans="1:13" x14ac:dyDescent="0.25">
      <c r="A35" t="s">
        <v>36</v>
      </c>
      <c r="B35" s="8">
        <v>0.1</v>
      </c>
    </row>
    <row r="36" spans="1:13" x14ac:dyDescent="0.25">
      <c r="A36" t="s">
        <v>37</v>
      </c>
      <c r="B36" s="9">
        <v>6.5000000000000002E-2</v>
      </c>
    </row>
    <row r="37" spans="1:13" ht="15.75" x14ac:dyDescent="0.25">
      <c r="A37" t="s">
        <v>38</v>
      </c>
      <c r="B37">
        <v>0.54</v>
      </c>
      <c r="F37" s="19"/>
      <c r="G37" s="19"/>
      <c r="H37" s="19"/>
    </row>
    <row r="38" spans="1:13" ht="15.75" x14ac:dyDescent="0.25">
      <c r="A38" t="s">
        <v>40</v>
      </c>
      <c r="B38" s="9">
        <f>B35+B36*B37</f>
        <v>0.1351</v>
      </c>
      <c r="F38" s="20"/>
      <c r="G38" s="20"/>
      <c r="H38" s="20"/>
    </row>
    <row r="39" spans="1:13" ht="15.75" x14ac:dyDescent="0.25">
      <c r="F39" s="20"/>
      <c r="G39" s="21"/>
      <c r="H39" s="22"/>
    </row>
    <row r="40" spans="1:13" ht="15.75" x14ac:dyDescent="0.25">
      <c r="A40" t="s">
        <v>44</v>
      </c>
      <c r="B40" s="8">
        <v>0.11</v>
      </c>
      <c r="F40" s="20"/>
      <c r="G40" s="21"/>
      <c r="H40" s="22"/>
    </row>
    <row r="41" spans="1:13" ht="15.75" x14ac:dyDescent="0.25">
      <c r="F41" s="20"/>
      <c r="G41" s="21"/>
      <c r="H41" s="22"/>
    </row>
    <row r="42" spans="1:13" ht="15.75" x14ac:dyDescent="0.25">
      <c r="A42" t="s">
        <v>47</v>
      </c>
      <c r="B42" s="9">
        <v>0.80930000000000002</v>
      </c>
      <c r="F42" s="20"/>
      <c r="G42" s="20"/>
      <c r="H42" s="20"/>
    </row>
    <row r="43" spans="1:13" ht="21" x14ac:dyDescent="0.35">
      <c r="F43" s="23"/>
      <c r="G43" s="23"/>
      <c r="H43" s="24"/>
    </row>
    <row r="44" spans="1:13" ht="21" x14ac:dyDescent="0.35">
      <c r="F44" s="23"/>
      <c r="G44" s="23"/>
      <c r="H44" s="25"/>
    </row>
    <row r="45" spans="1:13" x14ac:dyDescent="0.25">
      <c r="F45" s="26"/>
      <c r="G45" s="26"/>
      <c r="H45" s="26"/>
    </row>
    <row r="46" spans="1:13" ht="18.75" x14ac:dyDescent="0.3">
      <c r="F46" s="27"/>
      <c r="G46" s="27"/>
      <c r="H46" s="28"/>
    </row>
  </sheetData>
  <mergeCells count="1">
    <mergeCell ref="F37:H3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otimista</vt:lpstr>
      <vt:lpstr>médio</vt:lpstr>
      <vt:lpstr>pessimista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2017-04-03T16:31:14Z</dcterms:created>
  <dcterms:modified xsi:type="dcterms:W3CDTF">2017-04-04T23:45:29Z</dcterms:modified>
</cp:coreProperties>
</file>