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lo Bônus Adesão" sheetId="1" r:id="rId4"/>
    <sheet state="visible" name="Clube Seco" sheetId="2" r:id="rId5"/>
    <sheet state="visible" name="Milhas ou Cashback" sheetId="3" r:id="rId6"/>
    <sheet state="visible" name="Boleto Santander" sheetId="4" r:id="rId7"/>
  </sheets>
  <definedNames/>
  <calcPr/>
  <extLst>
    <ext uri="GoogleSheetsCustomDataVersion2">
      <go:sheetsCustomData xmlns:go="http://customooxmlschemas.google.com/" r:id="rId8" roundtripDataChecksum="U4fo5TEBEPKrZH61M3tPVGB1Md/0eiiiPyHxIexTjcg="/>
    </ext>
  </extLst>
</workbook>
</file>

<file path=xl/sharedStrings.xml><?xml version="1.0" encoding="utf-8"?>
<sst xmlns="http://schemas.openxmlformats.org/spreadsheetml/2006/main" count="124" uniqueCount="94">
  <si>
    <t>Fator</t>
  </si>
  <si>
    <t>Mês</t>
  </si>
  <si>
    <t>Classic</t>
  </si>
  <si>
    <t>Plus</t>
  </si>
  <si>
    <t>Super</t>
  </si>
  <si>
    <t>Mega</t>
  </si>
  <si>
    <t>Top</t>
  </si>
  <si>
    <t>Bônus</t>
  </si>
  <si>
    <t>Valor investido</t>
  </si>
  <si>
    <t>Custo "Ponteiro"</t>
  </si>
  <si>
    <t>Custo Milheiro - Transferência 100%</t>
  </si>
  <si>
    <t>Mutável</t>
  </si>
  <si>
    <t>Fórmula</t>
  </si>
  <si>
    <t>Dados financeiros de clubes e anuidade</t>
  </si>
  <si>
    <t>Valor de Mercado Milheiro</t>
  </si>
  <si>
    <t>Insira o valor de mercado do milheiro</t>
  </si>
  <si>
    <t>Pontuação cartão (pts/USD)</t>
  </si>
  <si>
    <t>Cuidado com a informação de cartão co-branded que já
é em milhas por R$ ou USD</t>
  </si>
  <si>
    <t>Clube TudoAzul 1000</t>
  </si>
  <si>
    <t>Insira o valor do clube de fidelidade (mensal)</t>
  </si>
  <si>
    <t>Cotação dólar</t>
  </si>
  <si>
    <t>Clube TudoAzul Seco</t>
  </si>
  <si>
    <t>Pontuação cartão (pts/BRL)</t>
  </si>
  <si>
    <t>Clube Smiles 1000</t>
  </si>
  <si>
    <t>Clube Smiles Seco</t>
  </si>
  <si>
    <t>Gasto Mensal</t>
  </si>
  <si>
    <t>Pontos Mensal</t>
  </si>
  <si>
    <t>Anuidade</t>
  </si>
  <si>
    <t>Insira o valor da anuidade (pode ser isenta)</t>
  </si>
  <si>
    <t>Membro do Clube</t>
  </si>
  <si>
    <t>Não-membro</t>
  </si>
  <si>
    <t>FInanciamento Seco Total</t>
  </si>
  <si>
    <t>Transferência</t>
  </si>
  <si>
    <t>Milhas Mensal</t>
  </si>
  <si>
    <t>Valor gerado</t>
  </si>
  <si>
    <t>Importante que este valor já consiga financiar a anuidade.
E a diferença entre membro e não-membro financie Clubes Secos</t>
  </si>
  <si>
    <t>Diferença clube vs. 
não-clube</t>
  </si>
  <si>
    <t>Ideal é que financie o valor dos Clubes Secos.
Mas nunca devemos esquecer outros benefícios dos Clubes de Fidelidade</t>
  </si>
  <si>
    <t>Exceções</t>
  </si>
  <si>
    <t>1. Cartões Cobranded - ex: Tudo Azul Visa Infinite - já pontua em milhas</t>
  </si>
  <si>
    <t>3,5milhas/dólar</t>
  </si>
  <si>
    <t>Mesma coisa que 1,75pontos/dólar</t>
  </si>
  <si>
    <t>Simulação cartão de crédito</t>
  </si>
  <si>
    <t>GRÁTIS</t>
  </si>
  <si>
    <t>C6  + Pontos</t>
  </si>
  <si>
    <t>C6 Carbon</t>
  </si>
  <si>
    <t>PDA</t>
  </si>
  <si>
    <t>2. Cartões em pts/R$ - ex: PDA = 1pt/R$</t>
  </si>
  <si>
    <t>Pontuação (pts/dólar)</t>
  </si>
  <si>
    <t>Se 1dólar = R$5,00 -&gt; ele pontua em 5pts/dólar = 1pt/R$</t>
  </si>
  <si>
    <t>Pontuação (pts/R$)</t>
  </si>
  <si>
    <t>% transferência bonificada</t>
  </si>
  <si>
    <t>Milhas/R$ gerados na transferência</t>
  </si>
  <si>
    <t>Gasto hipotético R$1000</t>
  </si>
  <si>
    <t>Milheiros geradas com R$1000</t>
  </si>
  <si>
    <t>Vendendo milhas</t>
  </si>
  <si>
    <t>Milhasback</t>
  </si>
  <si>
    <t>Conta Cartão</t>
  </si>
  <si>
    <t>Cashback Oferecido (%)</t>
  </si>
  <si>
    <t>Insira o Cashback prometido pelo cartão</t>
  </si>
  <si>
    <t>Milhasback do cartão (%)</t>
  </si>
  <si>
    <t>Insira o valor calculado para milhasback do cartão que você simulou na tabela de cima</t>
  </si>
  <si>
    <t>Conta Produto</t>
  </si>
  <si>
    <t>Valor do Produto (R$)</t>
  </si>
  <si>
    <t>Insira o valor do produto</t>
  </si>
  <si>
    <t>Oferta de milhas/R$</t>
  </si>
  <si>
    <t>Lembrar que se for pts/R$, a oferta de milhas/R$ seria o dobro do ofertado em pts/R$
Ex: compra Livelo 10pts/R$ = 20milhas/R$ considerando transferência 100%</t>
  </si>
  <si>
    <t>Milhasback (em milhas)</t>
  </si>
  <si>
    <t>Insira o valor de cashback ofertado</t>
  </si>
  <si>
    <t>Milhasback da compra (%)</t>
  </si>
  <si>
    <t>Pagante</t>
  </si>
  <si>
    <t>Resgate</t>
  </si>
  <si>
    <t>Valor atribuído</t>
  </si>
  <si>
    <t>Milhas</t>
  </si>
  <si>
    <t>Smiles</t>
  </si>
  <si>
    <t>Reais</t>
  </si>
  <si>
    <t>Preço atribuído</t>
  </si>
  <si>
    <t>Custo de Milheiro</t>
  </si>
  <si>
    <t>LATAM</t>
  </si>
  <si>
    <t>Gol</t>
  </si>
  <si>
    <t>Investimento</t>
  </si>
  <si>
    <t>Valor de Mercado</t>
  </si>
  <si>
    <t>&lt;R$20</t>
  </si>
  <si>
    <t>&gt;R$20</t>
  </si>
  <si>
    <t>Valor do Boleto</t>
  </si>
  <si>
    <t>Dias entre pagamento e vencimento da fatura</t>
  </si>
  <si>
    <t>Taxa total</t>
  </si>
  <si>
    <t>Taxa por boleto</t>
  </si>
  <si>
    <t>Taxa fixa</t>
  </si>
  <si>
    <t>Taxa variável (ao dia)</t>
  </si>
  <si>
    <t>Insira pontuação do cartão</t>
  </si>
  <si>
    <t>Valor do boleto</t>
  </si>
  <si>
    <t>Milheiros gerados no boleto</t>
  </si>
  <si>
    <t>Efeito Esfera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</si>
</sst>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[$$]#,##0.00"/>
    <numFmt numFmtId="166" formatCode="[$R$ -416]#,##0"/>
    <numFmt numFmtId="167" formatCode="dd/mm"/>
    <numFmt numFmtId="168" formatCode="[$€]#,##0.00"/>
    <numFmt numFmtId="169" formatCode="0.0000%"/>
  </numFmts>
  <fonts count="24">
    <font>
      <sz val="10.0"/>
      <color rgb="FF000000"/>
      <name val="Arial"/>
      <scheme val="minor"/>
    </font>
    <font>
      <color theme="1"/>
      <name val="Arial"/>
    </font>
    <font>
      <color theme="0"/>
      <name val="Arial"/>
    </font>
    <font>
      <b/>
      <color theme="0"/>
      <name val="Arial"/>
    </font>
    <font>
      <b/>
      <color rgb="FFFFFFFF"/>
      <name val="Arial"/>
    </font>
    <font>
      <b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i/>
      <sz val="8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i/>
      <color theme="1"/>
      <name val="Arial"/>
    </font>
    <font>
      <b/>
      <sz val="13.0"/>
      <color theme="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i/>
      <color rgb="FF000000"/>
      <name val="Arial"/>
    </font>
    <font>
      <color rgb="FF000000"/>
      <name val="Arial"/>
    </font>
    <font>
      <sz val="8.0"/>
      <color theme="1"/>
      <name val="Arial"/>
    </font>
    <font>
      <color rgb="FFFFFFFF"/>
      <name val="Arial"/>
    </font>
    <font>
      <sz val="7.0"/>
      <color theme="1"/>
      <name val="Arial"/>
    </font>
    <font>
      <b/>
      <sz val="12.0"/>
      <color theme="1"/>
      <name val="Arial"/>
    </font>
    <font>
      <b/>
      <color rgb="FF000000"/>
      <name val="Arial"/>
    </font>
    <font>
      <sz val="9.0"/>
      <color theme="1"/>
      <name val="Arial"/>
    </font>
  </fonts>
  <fills count="2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999999"/>
        <bgColor rgb="FF99999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3" numFmtId="0" xfId="0" applyBorder="1" applyFill="1" applyFont="1"/>
    <xf borderId="1" fillId="3" fontId="4" numFmtId="0" xfId="0" applyBorder="1" applyFont="1"/>
    <xf borderId="1" fillId="0" fontId="1" numFmtId="0" xfId="0" applyBorder="1" applyFont="1"/>
    <xf borderId="0" fillId="0" fontId="1" numFmtId="164" xfId="0" applyFont="1" applyNumberFormat="1"/>
    <xf borderId="1" fillId="4" fontId="1" numFmtId="0" xfId="0" applyBorder="1" applyFill="1" applyFont="1"/>
    <xf borderId="0" fillId="5" fontId="1" numFmtId="0" xfId="0" applyFill="1" applyFont="1"/>
    <xf borderId="1" fillId="0" fontId="1" numFmtId="0" xfId="0" applyAlignment="1" applyBorder="1" applyFont="1">
      <alignment horizontal="right"/>
    </xf>
    <xf borderId="1" fillId="0" fontId="1" numFmtId="164" xfId="0" applyBorder="1" applyFont="1" applyNumberFormat="1"/>
    <xf borderId="1" fillId="6" fontId="5" numFmtId="0" xfId="0" applyAlignment="1" applyBorder="1" applyFill="1" applyFont="1">
      <alignment horizontal="center" shrinkToFit="0" vertical="center" wrapText="1"/>
    </xf>
    <xf borderId="1" fillId="6" fontId="5" numFmtId="164" xfId="0" applyAlignment="1" applyBorder="1" applyFont="1" applyNumberForma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0" fillId="0" fontId="1" numFmtId="165" xfId="0" applyFont="1" applyNumberFormat="1"/>
    <xf borderId="1" fillId="7" fontId="1" numFmtId="164" xfId="0" applyBorder="1" applyFill="1" applyFont="1" applyNumberFormat="1"/>
    <xf borderId="1" fillId="8" fontId="1" numFmtId="164" xfId="0" applyBorder="1" applyFill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1" fillId="2" fontId="3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1" fillId="2" fontId="3" numFmtId="0" xfId="0" applyAlignment="1" applyBorder="1" applyFont="1">
      <alignment vertical="center"/>
    </xf>
    <xf borderId="1" fillId="7" fontId="1" numFmtId="4" xfId="0" applyAlignment="1" applyBorder="1" applyFont="1" applyNumberFormat="1">
      <alignment vertical="center"/>
    </xf>
    <xf borderId="1" fillId="9" fontId="5" numFmtId="0" xfId="0" applyBorder="1" applyFill="1" applyFont="1"/>
    <xf borderId="1" fillId="10" fontId="5" numFmtId="0" xfId="0" applyBorder="1" applyFill="1" applyFont="1"/>
    <xf borderId="1" fillId="8" fontId="1" numFmtId="4" xfId="0" applyBorder="1" applyFont="1" applyNumberFormat="1"/>
    <xf borderId="1" fillId="11" fontId="5" numFmtId="0" xfId="0" applyBorder="1" applyFill="1" applyFont="1"/>
    <xf borderId="1" fillId="12" fontId="5" numFmtId="0" xfId="0" applyBorder="1" applyFill="1" applyFont="1"/>
    <xf borderId="1" fillId="13" fontId="1" numFmtId="1" xfId="0" applyBorder="1" applyFill="1" applyFont="1" applyNumberFormat="1"/>
    <xf borderId="1" fillId="14" fontId="5" numFmtId="0" xfId="0" applyBorder="1" applyFill="1" applyFont="1"/>
    <xf borderId="0" fillId="5" fontId="1" numFmtId="164" xfId="0" applyFont="1" applyNumberFormat="1"/>
    <xf borderId="2" fillId="6" fontId="5" numFmtId="0" xfId="0" applyAlignment="1" applyBorder="1" applyFont="1">
      <alignment horizontal="center"/>
    </xf>
    <xf borderId="3" fillId="0" fontId="9" numFmtId="0" xfId="0" applyBorder="1" applyFont="1"/>
    <xf borderId="2" fillId="15" fontId="5" numFmtId="0" xfId="0" applyAlignment="1" applyBorder="1" applyFill="1" applyFont="1">
      <alignment horizontal="center"/>
    </xf>
    <xf borderId="1" fillId="15" fontId="3" numFmtId="0" xfId="0" applyBorder="1" applyFont="1"/>
    <xf borderId="1" fillId="7" fontId="1" numFmtId="9" xfId="0" applyBorder="1" applyFont="1" applyNumberFormat="1"/>
    <xf borderId="1" fillId="8" fontId="1" numFmtId="3" xfId="0" applyBorder="1" applyFont="1" applyNumberFormat="1"/>
    <xf borderId="1" fillId="2" fontId="10" numFmtId="0" xfId="0" applyBorder="1" applyFont="1"/>
    <xf borderId="1" fillId="16" fontId="11" numFmtId="164" xfId="0" applyBorder="1" applyFill="1" applyFont="1" applyNumberFormat="1"/>
    <xf borderId="0" fillId="0" fontId="12" numFmtId="0" xfId="0" applyFont="1"/>
    <xf borderId="1" fillId="2" fontId="4" numFmtId="0" xfId="0" applyBorder="1" applyFont="1"/>
    <xf borderId="1" fillId="11" fontId="13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5" fontId="16" numFmtId="0" xfId="0" applyFont="1"/>
    <xf borderId="0" fillId="5" fontId="17" numFmtId="0" xfId="0" applyFont="1"/>
    <xf borderId="0" fillId="17" fontId="4" numFmtId="0" xfId="0" applyFill="1" applyFont="1"/>
    <xf borderId="0" fillId="5" fontId="18" numFmtId="0" xfId="0" applyFont="1"/>
    <xf borderId="0" fillId="5" fontId="19" numFmtId="0" xfId="0" applyFont="1"/>
    <xf borderId="0" fillId="5" fontId="1" numFmtId="0" xfId="0" applyAlignment="1" applyFont="1">
      <alignment horizontal="center"/>
    </xf>
    <xf borderId="0" fillId="5" fontId="5" numFmtId="0" xfId="0" applyFont="1"/>
    <xf borderId="0" fillId="5" fontId="1" numFmtId="0" xfId="0" applyAlignment="1" applyFont="1">
      <alignment shrinkToFit="0" vertical="center" wrapText="1"/>
    </xf>
    <xf borderId="4" fillId="18" fontId="3" numFmtId="0" xfId="0" applyAlignment="1" applyBorder="1" applyFill="1" applyFont="1">
      <alignment vertical="center"/>
    </xf>
    <xf borderId="1" fillId="7" fontId="1" numFmtId="4" xfId="0" applyAlignment="1" applyBorder="1" applyFont="1" applyNumberFormat="1">
      <alignment horizontal="center" shrinkToFit="0" vertical="center" wrapText="1"/>
    </xf>
    <xf borderId="1" fillId="7" fontId="1" numFmtId="4" xfId="0" applyAlignment="1" applyBorder="1" applyFont="1" applyNumberFormat="1">
      <alignment horizontal="center"/>
    </xf>
    <xf borderId="1" fillId="19" fontId="1" numFmtId="4" xfId="0" applyAlignment="1" applyBorder="1" applyFill="1" applyFont="1" applyNumberFormat="1">
      <alignment shrinkToFit="0" vertical="center" wrapText="1"/>
    </xf>
    <xf borderId="0" fillId="5" fontId="1" numFmtId="164" xfId="0" applyAlignment="1" applyFont="1" applyNumberFormat="1">
      <alignment horizontal="center"/>
    </xf>
    <xf borderId="5" fillId="18" fontId="4" numFmtId="0" xfId="0" applyAlignment="1" applyBorder="1" applyFont="1">
      <alignment vertical="center"/>
    </xf>
    <xf borderId="2" fillId="7" fontId="17" numFmtId="9" xfId="0" applyAlignment="1" applyBorder="1" applyFont="1" applyNumberFormat="1">
      <alignment horizontal="center"/>
    </xf>
    <xf borderId="6" fillId="0" fontId="9" numFmtId="0" xfId="0" applyBorder="1" applyFont="1"/>
    <xf borderId="4" fillId="18" fontId="4" numFmtId="0" xfId="0" applyAlignment="1" applyBorder="1" applyFont="1">
      <alignment vertical="center"/>
    </xf>
    <xf borderId="1" fillId="19" fontId="17" numFmtId="2" xfId="0" applyBorder="1" applyFont="1" applyNumberFormat="1"/>
    <xf borderId="2" fillId="20" fontId="17" numFmtId="164" xfId="0" applyAlignment="1" applyBorder="1" applyFill="1" applyFont="1" applyNumberFormat="1">
      <alignment horizontal="center"/>
    </xf>
    <xf borderId="0" fillId="5" fontId="17" numFmtId="164" xfId="0" applyFont="1" applyNumberFormat="1"/>
    <xf borderId="0" fillId="5" fontId="20" numFmtId="0" xfId="0" applyFont="1"/>
    <xf borderId="0" fillId="5" fontId="17" numFmtId="0" xfId="0" applyAlignment="1" applyFont="1">
      <alignment vertical="center"/>
    </xf>
    <xf borderId="1" fillId="19" fontId="1" numFmtId="4" xfId="0" applyAlignment="1" applyBorder="1" applyFont="1" applyNumberFormat="1">
      <alignment horizontal="center" shrinkToFit="0" vertical="center" wrapText="1"/>
    </xf>
    <xf borderId="5" fillId="18" fontId="3" numFmtId="0" xfId="0" applyAlignment="1" applyBorder="1" applyFont="1">
      <alignment vertical="center"/>
    </xf>
    <xf borderId="1" fillId="19" fontId="1" numFmtId="166" xfId="0" applyAlignment="1" applyBorder="1" applyFont="1" applyNumberFormat="1">
      <alignment horizontal="center" shrinkToFit="0" vertical="center" wrapText="1"/>
    </xf>
    <xf borderId="1" fillId="6" fontId="21" numFmtId="10" xfId="0" applyAlignment="1" applyBorder="1" applyFont="1" applyNumberFormat="1">
      <alignment horizontal="center" shrinkToFit="0" vertical="center" wrapText="1"/>
    </xf>
    <xf borderId="0" fillId="5" fontId="17" numFmtId="167" xfId="0" applyFont="1" applyNumberFormat="1"/>
    <xf borderId="0" fillId="5" fontId="22" numFmtId="0" xfId="0" applyFont="1"/>
    <xf borderId="0" fillId="0" fontId="1" numFmtId="10" xfId="0" applyFont="1" applyNumberFormat="1"/>
    <xf borderId="0" fillId="5" fontId="12" numFmtId="0" xfId="0" applyAlignment="1" applyFont="1">
      <alignment shrinkToFit="0" vertical="center" wrapText="0"/>
    </xf>
    <xf borderId="0" fillId="17" fontId="17" numFmtId="167" xfId="0" applyFont="1" applyNumberFormat="1"/>
    <xf borderId="0" fillId="17" fontId="17" numFmtId="0" xfId="0" applyFont="1"/>
    <xf borderId="0" fillId="17" fontId="1" numFmtId="0" xfId="0" applyAlignment="1" applyFont="1">
      <alignment shrinkToFit="0" vertical="center" wrapText="1"/>
    </xf>
    <xf borderId="0" fillId="17" fontId="22" numFmtId="0" xfId="0" applyFont="1"/>
    <xf borderId="0" fillId="17" fontId="17" numFmtId="4" xfId="0" applyAlignment="1" applyFont="1" applyNumberFormat="1">
      <alignment horizontal="center" vertical="center"/>
    </xf>
    <xf borderId="0" fillId="17" fontId="1" numFmtId="0" xfId="0" applyAlignment="1" applyFont="1">
      <alignment horizontal="center" shrinkToFit="0" vertical="center" wrapText="1"/>
    </xf>
    <xf borderId="0" fillId="17" fontId="17" numFmtId="168" xfId="0" applyAlignment="1" applyFont="1" applyNumberFormat="1">
      <alignment horizontal="center" vertical="center"/>
    </xf>
    <xf borderId="0" fillId="17" fontId="1" numFmtId="164" xfId="0" applyAlignment="1" applyFont="1" applyNumberFormat="1">
      <alignment horizontal="center" shrinkToFit="0" vertical="center" wrapText="1"/>
    </xf>
    <xf borderId="0" fillId="17" fontId="17" numFmtId="164" xfId="0" applyAlignment="1" applyFont="1" applyNumberFormat="1">
      <alignment horizontal="center" vertical="center"/>
    </xf>
    <xf borderId="0" fillId="17" fontId="17" numFmtId="164" xfId="0" applyFont="1" applyNumberFormat="1"/>
    <xf borderId="0" fillId="17" fontId="17" numFmtId="10" xfId="0" applyFont="1" applyNumberFormat="1"/>
    <xf borderId="1" fillId="7" fontId="23" numFmtId="166" xfId="0" applyBorder="1" applyFont="1" applyNumberFormat="1"/>
    <xf borderId="0" fillId="17" fontId="1" numFmtId="0" xfId="0" applyFont="1"/>
    <xf borderId="0" fillId="17" fontId="1" numFmtId="164" xfId="0" applyFont="1" applyNumberFormat="1"/>
    <xf borderId="1" fillId="7" fontId="23" numFmtId="3" xfId="0" applyBorder="1" applyFont="1" applyNumberFormat="1"/>
    <xf borderId="1" fillId="8" fontId="23" numFmtId="3" xfId="0" applyBorder="1" applyFont="1" applyNumberFormat="1"/>
    <xf borderId="1" fillId="11" fontId="3" numFmtId="10" xfId="0" applyBorder="1" applyFont="1" applyNumberFormat="1"/>
    <xf borderId="0" fillId="0" fontId="1" numFmtId="167" xfId="0" applyFont="1" applyNumberFormat="1"/>
    <xf borderId="0" fillId="5" fontId="17" numFmtId="164" xfId="0" applyAlignment="1" applyFont="1" applyNumberFormat="1">
      <alignment vertical="center"/>
    </xf>
    <xf borderId="0" fillId="21" fontId="1" numFmtId="0" xfId="0" applyFill="1" applyFont="1"/>
    <xf borderId="0" fillId="22" fontId="1" numFmtId="0" xfId="0" applyFill="1" applyFont="1"/>
    <xf borderId="0" fillId="21" fontId="1" numFmtId="164" xfId="0" applyFont="1" applyNumberFormat="1"/>
    <xf borderId="1" fillId="7" fontId="1" numFmtId="3" xfId="0" applyBorder="1" applyFont="1" applyNumberFormat="1"/>
    <xf borderId="0" fillId="5" fontId="18" numFmtId="164" xfId="0" applyFont="1" applyNumberFormat="1"/>
    <xf borderId="1" fillId="7" fontId="1" numFmtId="10" xfId="0" applyBorder="1" applyFont="1" applyNumberFormat="1"/>
    <xf borderId="1" fillId="7" fontId="1" numFmtId="169" xfId="0" applyBorder="1" applyFont="1" applyNumberFormat="1"/>
    <xf borderId="0" fillId="5" fontId="17" numFmtId="4" xfId="0" applyFont="1" applyNumberFormat="1"/>
    <xf borderId="1" fillId="7" fontId="1" numFmtId="0" xfId="0" applyAlignment="1" applyBorder="1" applyFont="1">
      <alignment horizontal="center" shrinkToFit="0" vertical="center" wrapText="1"/>
    </xf>
    <xf borderId="1" fillId="23" fontId="21" numFmtId="10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1085850</xdr:colOff>
      <xdr:row>14</xdr:row>
      <xdr:rowOff>95250</xdr:rowOff>
    </xdr:from>
    <xdr:ext cx="619125" cy="6191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14.38"/>
    <col customWidth="1" min="9" max="9" width="14.0"/>
  </cols>
  <sheetData>
    <row r="1" ht="15.75" customHeight="1">
      <c r="C1" s="1" t="s">
        <v>0</v>
      </c>
      <c r="F1" s="1" t="s">
        <v>0</v>
      </c>
    </row>
    <row r="2" ht="15.75" customHeight="1">
      <c r="C2" s="1">
        <v>2.0</v>
      </c>
      <c r="F2" s="1">
        <v>1.6</v>
      </c>
    </row>
    <row r="3" ht="15.75" customHeight="1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"/>
    </row>
    <row r="4" ht="15.75" customHeight="1">
      <c r="B4" s="5">
        <v>1.0</v>
      </c>
      <c r="C4" s="5">
        <v>1000.0</v>
      </c>
      <c r="D4" s="5">
        <v>3000.0</v>
      </c>
      <c r="E4" s="5">
        <v>7000.0</v>
      </c>
      <c r="F4" s="5">
        <v>12000.0</v>
      </c>
      <c r="G4" s="5">
        <v>20000.0</v>
      </c>
      <c r="L4" s="6"/>
    </row>
    <row r="5" ht="15.75" customHeight="1">
      <c r="B5" s="5">
        <v>2.0</v>
      </c>
      <c r="C5" s="5">
        <v>1000.0</v>
      </c>
      <c r="D5" s="5">
        <v>3000.0</v>
      </c>
      <c r="E5" s="5">
        <v>7000.0</v>
      </c>
      <c r="F5" s="5">
        <v>12000.0</v>
      </c>
      <c r="G5" s="5">
        <v>20000.0</v>
      </c>
    </row>
    <row r="6" ht="15.75" customHeight="1">
      <c r="B6" s="5">
        <v>3.0</v>
      </c>
      <c r="C6" s="7">
        <f t="shared" ref="C6:E6" si="1">C5*$C$2</f>
        <v>2000</v>
      </c>
      <c r="D6" s="7">
        <f t="shared" si="1"/>
        <v>6000</v>
      </c>
      <c r="E6" s="7">
        <f t="shared" si="1"/>
        <v>14000</v>
      </c>
      <c r="F6" s="7">
        <f t="shared" ref="F6:G6" si="2">F5*$F$2</f>
        <v>19200</v>
      </c>
      <c r="G6" s="7">
        <f t="shared" si="2"/>
        <v>32000</v>
      </c>
      <c r="H6" s="1" t="s">
        <v>7</v>
      </c>
    </row>
    <row r="7" ht="15.75" customHeight="1">
      <c r="B7" s="5">
        <v>4.0</v>
      </c>
      <c r="C7" s="5">
        <v>1000.0</v>
      </c>
      <c r="D7" s="5">
        <v>3000.0</v>
      </c>
      <c r="E7" s="5">
        <v>7000.0</v>
      </c>
      <c r="F7" s="5">
        <v>12000.0</v>
      </c>
      <c r="G7" s="5">
        <v>20000.0</v>
      </c>
      <c r="J7" s="6"/>
    </row>
    <row r="8" ht="15.75" customHeight="1">
      <c r="B8" s="5">
        <v>5.0</v>
      </c>
      <c r="C8" s="5">
        <v>1000.0</v>
      </c>
      <c r="D8" s="5">
        <v>3000.0</v>
      </c>
      <c r="E8" s="5">
        <v>7000.0</v>
      </c>
      <c r="F8" s="5">
        <v>12000.0</v>
      </c>
      <c r="G8" s="5">
        <v>20000.0</v>
      </c>
      <c r="H8" s="8"/>
    </row>
    <row r="9" ht="15.75" customHeight="1">
      <c r="B9" s="5">
        <v>6.0</v>
      </c>
      <c r="C9" s="7">
        <f t="shared" ref="C9:E9" si="3">C8*$C$2</f>
        <v>2000</v>
      </c>
      <c r="D9" s="7">
        <f t="shared" si="3"/>
        <v>6000</v>
      </c>
      <c r="E9" s="7">
        <f t="shared" si="3"/>
        <v>14000</v>
      </c>
      <c r="F9" s="7">
        <f t="shared" ref="F9:G9" si="4">F8*$F$2</f>
        <v>19200</v>
      </c>
      <c r="G9" s="7">
        <f t="shared" si="4"/>
        <v>32000</v>
      </c>
      <c r="H9" s="1" t="s">
        <v>7</v>
      </c>
      <c r="K9" s="6"/>
    </row>
    <row r="10" ht="15.75" customHeight="1">
      <c r="B10" s="5">
        <v>7.0</v>
      </c>
      <c r="C10" s="5">
        <v>1000.0</v>
      </c>
      <c r="D10" s="5">
        <v>3000.0</v>
      </c>
      <c r="E10" s="5">
        <v>7000.0</v>
      </c>
      <c r="F10" s="5">
        <v>12000.0</v>
      </c>
      <c r="G10" s="5">
        <v>20000.0</v>
      </c>
      <c r="H10" s="8"/>
    </row>
    <row r="11" ht="15.75" customHeight="1">
      <c r="B11" s="5">
        <v>8.0</v>
      </c>
      <c r="C11" s="5">
        <v>1000.0</v>
      </c>
      <c r="D11" s="5">
        <v>3000.0</v>
      </c>
      <c r="E11" s="5">
        <v>7000.0</v>
      </c>
      <c r="F11" s="5">
        <v>12000.0</v>
      </c>
      <c r="G11" s="5">
        <v>20000.0</v>
      </c>
    </row>
    <row r="12" ht="15.75" customHeight="1">
      <c r="B12" s="5">
        <v>9.0</v>
      </c>
      <c r="C12" s="7">
        <f t="shared" ref="C12:E12" si="5">C11*$C$2</f>
        <v>2000</v>
      </c>
      <c r="D12" s="7">
        <f t="shared" si="5"/>
        <v>6000</v>
      </c>
      <c r="E12" s="7">
        <f t="shared" si="5"/>
        <v>14000</v>
      </c>
      <c r="F12" s="7">
        <f t="shared" ref="F12:G12" si="6">F11*$F$2</f>
        <v>19200</v>
      </c>
      <c r="G12" s="7">
        <f t="shared" si="6"/>
        <v>32000</v>
      </c>
      <c r="H12" s="1" t="s">
        <v>7</v>
      </c>
      <c r="J12" s="6"/>
    </row>
    <row r="13" ht="15.75" customHeight="1">
      <c r="B13" s="5">
        <v>10.0</v>
      </c>
      <c r="C13" s="5">
        <v>1000.0</v>
      </c>
      <c r="D13" s="5">
        <v>3000.0</v>
      </c>
      <c r="E13" s="5">
        <v>7000.0</v>
      </c>
      <c r="F13" s="5">
        <v>12000.0</v>
      </c>
      <c r="G13" s="5">
        <v>20000.0</v>
      </c>
    </row>
    <row r="14" ht="15.75" customHeight="1">
      <c r="B14" s="5">
        <v>11.0</v>
      </c>
      <c r="C14" s="5">
        <v>1000.0</v>
      </c>
      <c r="D14" s="5">
        <v>3000.0</v>
      </c>
      <c r="E14" s="5">
        <v>7000.0</v>
      </c>
      <c r="F14" s="5">
        <v>12000.0</v>
      </c>
      <c r="G14" s="5">
        <v>20000.0</v>
      </c>
      <c r="O14" s="6"/>
    </row>
    <row r="15" ht="15.75" customHeight="1">
      <c r="B15" s="5">
        <v>12.0</v>
      </c>
      <c r="C15" s="7">
        <f t="shared" ref="C15:E15" si="7">C14*$C$2</f>
        <v>2000</v>
      </c>
      <c r="D15" s="7">
        <f t="shared" si="7"/>
        <v>6000</v>
      </c>
      <c r="E15" s="7">
        <f t="shared" si="7"/>
        <v>14000</v>
      </c>
      <c r="F15" s="7">
        <f t="shared" ref="F15:G15" si="8">F14*$F$2</f>
        <v>19200</v>
      </c>
      <c r="G15" s="7">
        <f t="shared" si="8"/>
        <v>32000</v>
      </c>
      <c r="H15" s="1" t="s">
        <v>7</v>
      </c>
    </row>
    <row r="16" ht="15.75" customHeight="1">
      <c r="B16" s="9"/>
      <c r="C16" s="10"/>
      <c r="D16" s="10"/>
      <c r="E16" s="10"/>
      <c r="F16" s="5">
        <v>12000.0</v>
      </c>
      <c r="G16" s="5">
        <v>20000.0</v>
      </c>
      <c r="I16" s="6"/>
    </row>
    <row r="17" ht="15.75" customHeight="1">
      <c r="B17" s="9"/>
      <c r="C17" s="10"/>
      <c r="D17" s="10"/>
      <c r="E17" s="10"/>
      <c r="F17" s="5">
        <v>12000.0</v>
      </c>
      <c r="G17" s="5">
        <v>20000.0</v>
      </c>
      <c r="I17" s="6"/>
    </row>
    <row r="18" ht="15.75" customHeight="1">
      <c r="B18" s="9"/>
      <c r="C18" s="10"/>
      <c r="D18" s="10"/>
      <c r="E18" s="10"/>
      <c r="F18" s="7">
        <f t="shared" ref="F18:G18" si="9">F17*$F$2</f>
        <v>19200</v>
      </c>
      <c r="G18" s="7">
        <f t="shared" si="9"/>
        <v>32000</v>
      </c>
      <c r="H18" s="1" t="s">
        <v>7</v>
      </c>
      <c r="I18" s="6"/>
    </row>
    <row r="19" ht="15.75" customHeight="1">
      <c r="B19" s="9" t="s">
        <v>8</v>
      </c>
      <c r="C19" s="10">
        <f>12*41.9</f>
        <v>502.8</v>
      </c>
      <c r="D19" s="10">
        <f>12*123.9</f>
        <v>1486.8</v>
      </c>
      <c r="E19" s="10">
        <f>12*289.9</f>
        <v>3478.8</v>
      </c>
      <c r="F19" s="10">
        <f>15*489.9</f>
        <v>7348.5</v>
      </c>
      <c r="G19" s="10">
        <f>12*799.9</f>
        <v>9598.8</v>
      </c>
      <c r="I19" s="6"/>
    </row>
    <row r="20" ht="15.75" customHeight="1">
      <c r="B20" s="9" t="s">
        <v>9</v>
      </c>
      <c r="C20" s="10">
        <f t="shared" ref="C20:E20" si="10">C19*1000/SUM(C4:C15)</f>
        <v>31.425</v>
      </c>
      <c r="D20" s="10">
        <f t="shared" si="10"/>
        <v>30.975</v>
      </c>
      <c r="E20" s="10">
        <f t="shared" si="10"/>
        <v>31.06071429</v>
      </c>
      <c r="F20" s="10">
        <f>F19*1000/SUM(F4:F18)</f>
        <v>34.02083333</v>
      </c>
      <c r="G20" s="10">
        <f>G19*1000/SUM(G4:G15)</f>
        <v>33.32916667</v>
      </c>
      <c r="O20" s="6"/>
    </row>
    <row r="21" ht="15.75" customHeight="1">
      <c r="B21" s="11" t="s">
        <v>10</v>
      </c>
      <c r="C21" s="12">
        <f t="shared" ref="C21:G21" si="11">C20/2</f>
        <v>15.7125</v>
      </c>
      <c r="D21" s="12">
        <f t="shared" si="11"/>
        <v>15.4875</v>
      </c>
      <c r="E21" s="12">
        <f t="shared" si="11"/>
        <v>15.53035714</v>
      </c>
      <c r="F21" s="12">
        <f t="shared" si="11"/>
        <v>17.01041667</v>
      </c>
      <c r="G21" s="12">
        <f t="shared" si="11"/>
        <v>16.66458333</v>
      </c>
    </row>
    <row r="22" ht="15.75" customHeight="1"/>
    <row r="23" ht="15.75" customHeight="1"/>
    <row r="24" ht="15.75" customHeight="1">
      <c r="B24" s="13"/>
      <c r="C24" s="13"/>
    </row>
    <row r="25" ht="15.75" customHeight="1">
      <c r="E25" s="6"/>
      <c r="F25" s="6"/>
      <c r="G25" s="6"/>
    </row>
    <row r="26" ht="15.75" customHeight="1"/>
    <row r="27" ht="15.75" customHeight="1"/>
    <row r="28" ht="15.75" customHeight="1">
      <c r="B28" s="6"/>
    </row>
    <row r="29" ht="15.75" customHeight="1"/>
    <row r="30" ht="15.75" customHeight="1"/>
    <row r="31" ht="15.75" customHeight="1">
      <c r="A31" s="14"/>
      <c r="B31" s="14"/>
    </row>
    <row r="32" ht="15.75" customHeight="1">
      <c r="A32" s="15"/>
    </row>
    <row r="33" ht="15.75" customHeight="1">
      <c r="A33" s="1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5.38"/>
    <col customWidth="1" min="3" max="3" width="21.63"/>
    <col customWidth="1" min="4" max="4" width="9.13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/>
    <row r="4" ht="15.75" customHeight="1">
      <c r="B4" s="18" t="s">
        <v>13</v>
      </c>
      <c r="E4" s="19" t="s">
        <v>13</v>
      </c>
      <c r="L4" s="6"/>
    </row>
    <row r="5" ht="15.75" customHeight="1">
      <c r="B5" s="20" t="s">
        <v>14</v>
      </c>
      <c r="C5" s="16">
        <v>20.0</v>
      </c>
      <c r="D5" s="21" t="s">
        <v>15</v>
      </c>
      <c r="G5" s="22"/>
    </row>
    <row r="6" ht="15.75" customHeight="1">
      <c r="G6" s="23" t="s">
        <v>16</v>
      </c>
      <c r="H6" s="24">
        <v>2.5</v>
      </c>
      <c r="I6" s="21" t="s">
        <v>17</v>
      </c>
    </row>
    <row r="7" ht="15.75" customHeight="1">
      <c r="B7" s="25" t="s">
        <v>18</v>
      </c>
      <c r="C7" s="16">
        <v>35.0</v>
      </c>
      <c r="D7" s="21" t="s">
        <v>19</v>
      </c>
      <c r="G7" s="20" t="s">
        <v>20</v>
      </c>
      <c r="H7" s="17">
        <f>IFERROR(__xludf.DUMMYFUNCTION("GOOGLEFINANCE(""USDBRL"")"),5.0748)</f>
        <v>5.0748</v>
      </c>
    </row>
    <row r="8" ht="15.75" customHeight="1">
      <c r="B8" s="26" t="s">
        <v>21</v>
      </c>
      <c r="C8" s="17">
        <f>C7-C5</f>
        <v>15</v>
      </c>
      <c r="G8" s="20" t="s">
        <v>22</v>
      </c>
      <c r="H8" s="27">
        <f>H6/H7</f>
        <v>0.4926302514</v>
      </c>
      <c r="I8" s="6"/>
    </row>
    <row r="9" ht="15.75" customHeight="1">
      <c r="K9" s="6"/>
    </row>
    <row r="10" ht="15.75" customHeight="1">
      <c r="B10" s="28" t="s">
        <v>23</v>
      </c>
      <c r="C10" s="16">
        <v>25.0</v>
      </c>
      <c r="D10" s="21" t="s">
        <v>19</v>
      </c>
    </row>
    <row r="11" ht="15.75" customHeight="1">
      <c r="B11" s="29" t="s">
        <v>24</v>
      </c>
      <c r="C11" s="17">
        <f>C10-C5</f>
        <v>5</v>
      </c>
      <c r="G11" s="20" t="s">
        <v>25</v>
      </c>
      <c r="H11" s="16">
        <v>5000.0</v>
      </c>
    </row>
    <row r="12" ht="15.75" customHeight="1">
      <c r="G12" s="20" t="s">
        <v>26</v>
      </c>
      <c r="H12" s="30">
        <f>H11*H8</f>
        <v>2463.151257</v>
      </c>
      <c r="I12" s="8"/>
      <c r="J12" s="8"/>
    </row>
    <row r="13" ht="15.75" customHeight="1">
      <c r="B13" s="31" t="s">
        <v>27</v>
      </c>
      <c r="C13" s="16">
        <v>40.0</v>
      </c>
      <c r="D13" s="21" t="s">
        <v>28</v>
      </c>
      <c r="H13" s="8"/>
      <c r="I13" s="8"/>
      <c r="J13" s="32"/>
    </row>
    <row r="14" ht="15.75" customHeight="1">
      <c r="E14" s="33" t="s">
        <v>29</v>
      </c>
      <c r="F14" s="34"/>
      <c r="H14" s="8"/>
      <c r="I14" s="35" t="s">
        <v>30</v>
      </c>
      <c r="J14" s="34"/>
      <c r="O14" s="6"/>
    </row>
    <row r="15" ht="15.75" customHeight="1">
      <c r="B15" s="36" t="s">
        <v>31</v>
      </c>
      <c r="C15" s="17">
        <f>C13+C11+C8</f>
        <v>60</v>
      </c>
      <c r="E15" s="20" t="s">
        <v>32</v>
      </c>
      <c r="F15" s="37">
        <v>1.0</v>
      </c>
      <c r="I15" s="20" t="s">
        <v>32</v>
      </c>
      <c r="J15" s="37">
        <v>0.5</v>
      </c>
    </row>
    <row r="16" ht="15.75" customHeight="1"/>
    <row r="17" ht="15.75" customHeight="1">
      <c r="E17" s="20" t="s">
        <v>33</v>
      </c>
      <c r="F17" s="38">
        <f>$H$12*(1+F15)</f>
        <v>4926.302514</v>
      </c>
      <c r="I17" s="20" t="s">
        <v>33</v>
      </c>
      <c r="J17" s="38">
        <f>$H$12*(1+J15)</f>
        <v>3694.726886</v>
      </c>
      <c r="O17" s="6"/>
    </row>
    <row r="18" ht="15.75" customHeight="1"/>
    <row r="19" ht="15.75" customHeight="1"/>
    <row r="20" ht="15.75" customHeight="1">
      <c r="G20" s="20" t="s">
        <v>14</v>
      </c>
      <c r="H20" s="17">
        <f>C5</f>
        <v>20</v>
      </c>
    </row>
    <row r="21" ht="15.75" customHeight="1">
      <c r="B21" s="13"/>
    </row>
    <row r="22" ht="15.75" customHeight="1">
      <c r="E22" s="39" t="s">
        <v>34</v>
      </c>
      <c r="F22" s="40">
        <f>H20*F17/1000</f>
        <v>98.52605029</v>
      </c>
      <c r="I22" s="39" t="s">
        <v>34</v>
      </c>
      <c r="J22" s="40">
        <f>H20*J17/1000</f>
        <v>73.89453772</v>
      </c>
    </row>
    <row r="23" ht="15.75" customHeight="1">
      <c r="I23" s="41" t="s">
        <v>35</v>
      </c>
    </row>
    <row r="24" ht="15.75" customHeight="1">
      <c r="G24" s="42" t="s">
        <v>36</v>
      </c>
      <c r="H24" s="43">
        <f>F22-J22</f>
        <v>24.63151257</v>
      </c>
    </row>
    <row r="25" ht="15.75" customHeight="1">
      <c r="B25" s="6"/>
      <c r="G25" s="41" t="s">
        <v>37</v>
      </c>
    </row>
    <row r="26" ht="15.75" customHeight="1"/>
    <row r="27" ht="15.75" customHeight="1"/>
    <row r="28" ht="15.75" customHeight="1">
      <c r="A28" s="14"/>
      <c r="B28" s="14"/>
    </row>
    <row r="29" ht="15.75" customHeight="1">
      <c r="A29" s="15"/>
    </row>
    <row r="30" ht="15.75" customHeight="1">
      <c r="A30" s="1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C4"/>
    <mergeCell ref="E4:J4"/>
    <mergeCell ref="E14:F14"/>
    <mergeCell ref="I14:J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8.75"/>
    <col customWidth="1" min="3" max="3" width="26.0"/>
    <col customWidth="1" min="4" max="4" width="8.75"/>
    <col customWidth="1" min="5" max="5" width="8.38"/>
    <col customWidth="1" min="6" max="8" width="8.5"/>
    <col customWidth="1" min="9" max="9" width="3.75"/>
    <col customWidth="1" min="10" max="10" width="11.38"/>
    <col customWidth="1" min="11" max="11" width="7.88"/>
    <col customWidth="1" min="12" max="12" width="8.13"/>
    <col customWidth="1" min="13" max="13" width="9.88"/>
    <col customWidth="1" min="15" max="15" width="9.25"/>
    <col customWidth="1" min="16" max="16" width="9.5"/>
    <col customWidth="1" min="17" max="18" width="14.0"/>
    <col customWidth="1" min="20" max="20" width="14.0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>
      <c r="B3" s="45"/>
      <c r="E3" s="45"/>
      <c r="F3" s="45"/>
      <c r="G3" s="45"/>
      <c r="H3" s="45"/>
      <c r="I3" s="45"/>
      <c r="J3" s="45"/>
      <c r="K3" s="45"/>
      <c r="L3" s="45"/>
      <c r="M3" s="46" t="s">
        <v>38</v>
      </c>
      <c r="N3" s="47"/>
    </row>
    <row r="4" ht="15.75" customHeight="1">
      <c r="B4" s="48"/>
      <c r="C4" s="48"/>
      <c r="D4" s="48"/>
      <c r="E4" s="48"/>
      <c r="F4" s="49"/>
      <c r="G4" s="50"/>
      <c r="H4" s="50"/>
      <c r="I4" s="50"/>
      <c r="J4" s="50"/>
      <c r="K4" s="50"/>
      <c r="L4" s="50"/>
      <c r="M4" s="46" t="s">
        <v>39</v>
      </c>
      <c r="N4" s="47"/>
      <c r="O4" s="51"/>
      <c r="P4" s="51"/>
      <c r="Q4" s="51"/>
      <c r="R4" s="51"/>
    </row>
    <row r="5" ht="15.75" customHeight="1">
      <c r="A5" s="20" t="s">
        <v>20</v>
      </c>
      <c r="B5" s="17">
        <f>IFERROR(__xludf.DUMMYFUNCTION("GOOGLEFINANCE(""USDBRL"")"),5.0748)</f>
        <v>5.0748</v>
      </c>
      <c r="F5" s="8"/>
      <c r="G5" s="8"/>
      <c r="H5" s="8"/>
      <c r="I5" s="8"/>
      <c r="J5" s="8"/>
      <c r="M5" s="46" t="s">
        <v>40</v>
      </c>
      <c r="N5" s="47"/>
      <c r="O5" s="8"/>
      <c r="P5" s="8"/>
      <c r="Q5" s="8"/>
      <c r="R5" s="8"/>
    </row>
    <row r="6" ht="15.75" customHeight="1">
      <c r="A6" s="20" t="s">
        <v>14</v>
      </c>
      <c r="B6" s="16">
        <v>20.0</v>
      </c>
      <c r="H6" s="8"/>
      <c r="I6" s="8"/>
      <c r="J6" s="32"/>
      <c r="M6" s="46" t="s">
        <v>41</v>
      </c>
      <c r="O6" s="8"/>
      <c r="P6" s="8"/>
      <c r="Q6" s="8"/>
      <c r="R6" s="8"/>
    </row>
    <row r="7" ht="15.75" customHeight="1">
      <c r="H7" s="8"/>
      <c r="I7" s="8"/>
      <c r="J7" s="8"/>
      <c r="M7" s="46"/>
      <c r="O7" s="49"/>
      <c r="P7" s="8"/>
      <c r="Q7" s="8"/>
      <c r="R7" s="8"/>
    </row>
    <row r="8" ht="15.75" customHeight="1">
      <c r="C8" s="52" t="s">
        <v>42</v>
      </c>
      <c r="D8" s="8" t="s">
        <v>43</v>
      </c>
      <c r="E8" s="53" t="s">
        <v>44</v>
      </c>
      <c r="F8" s="8" t="s">
        <v>45</v>
      </c>
      <c r="G8" s="8" t="s">
        <v>46</v>
      </c>
      <c r="H8" s="47"/>
      <c r="M8" s="46" t="s">
        <v>47</v>
      </c>
      <c r="N8" s="47"/>
      <c r="O8" s="49"/>
      <c r="P8" s="32"/>
      <c r="Q8" s="8"/>
      <c r="R8" s="8"/>
      <c r="S8" s="8"/>
      <c r="T8" s="8"/>
      <c r="U8" s="8"/>
      <c r="V8" s="8"/>
      <c r="W8" s="8"/>
      <c r="X8" s="8"/>
    </row>
    <row r="9" ht="15.75" customHeight="1">
      <c r="C9" s="54" t="s">
        <v>48</v>
      </c>
      <c r="D9" s="55">
        <f>0.05*B5</f>
        <v>0.25374</v>
      </c>
      <c r="E9" s="55">
        <f>0.28*B5</f>
        <v>1.420944</v>
      </c>
      <c r="F9" s="55">
        <v>2.5</v>
      </c>
      <c r="G9" s="56">
        <f>B5</f>
        <v>5.0748</v>
      </c>
      <c r="H9" s="47"/>
      <c r="M9" s="46" t="s">
        <v>49</v>
      </c>
      <c r="N9" s="47"/>
      <c r="O9" s="8"/>
      <c r="P9" s="8"/>
      <c r="Q9" s="8"/>
      <c r="R9" s="8"/>
      <c r="S9" s="8"/>
      <c r="T9" s="8"/>
      <c r="U9" s="8"/>
      <c r="V9" s="32"/>
      <c r="W9" s="8"/>
      <c r="X9" s="8"/>
    </row>
    <row r="10" ht="15.75" customHeight="1">
      <c r="C10" s="54" t="s">
        <v>50</v>
      </c>
      <c r="D10" s="57">
        <f t="shared" ref="D10:G10" si="1">D9/$B$5</f>
        <v>0.05</v>
      </c>
      <c r="E10" s="57">
        <f t="shared" si="1"/>
        <v>0.28</v>
      </c>
      <c r="F10" s="57">
        <f t="shared" si="1"/>
        <v>0.4926302514</v>
      </c>
      <c r="G10" s="57">
        <f t="shared" si="1"/>
        <v>1</v>
      </c>
      <c r="H10" s="47"/>
      <c r="N10" s="51"/>
      <c r="O10" s="58"/>
      <c r="P10" s="51"/>
      <c r="Q10" s="58"/>
      <c r="R10" s="51"/>
      <c r="S10" s="8"/>
      <c r="T10" s="8"/>
      <c r="U10" s="8"/>
      <c r="V10" s="32"/>
      <c r="W10" s="8"/>
      <c r="X10" s="8"/>
    </row>
    <row r="11" ht="15.75" customHeight="1">
      <c r="C11" s="59" t="s">
        <v>51</v>
      </c>
      <c r="D11" s="60">
        <v>1.0</v>
      </c>
      <c r="E11" s="61"/>
      <c r="F11" s="61"/>
      <c r="G11" s="34"/>
      <c r="H11" s="47"/>
      <c r="N11" s="51"/>
      <c r="O11" s="32"/>
      <c r="P11" s="51"/>
      <c r="Q11" s="58"/>
      <c r="R11" s="8"/>
      <c r="S11" s="8"/>
      <c r="T11" s="8"/>
      <c r="U11" s="8"/>
      <c r="V11" s="8"/>
      <c r="W11" s="8"/>
      <c r="X11" s="8"/>
    </row>
    <row r="12" ht="15.75" customHeight="1">
      <c r="C12" s="62" t="s">
        <v>52</v>
      </c>
      <c r="D12" s="63">
        <f t="shared" ref="D12:G12" si="2">D10*(1+$D$11)</f>
        <v>0.1</v>
      </c>
      <c r="E12" s="63">
        <f t="shared" si="2"/>
        <v>0.56</v>
      </c>
      <c r="F12" s="63">
        <f t="shared" si="2"/>
        <v>0.9852605029</v>
      </c>
      <c r="G12" s="63">
        <f t="shared" si="2"/>
        <v>2</v>
      </c>
      <c r="H12" s="47"/>
      <c r="L12" s="47"/>
      <c r="N12" s="51"/>
      <c r="O12" s="32"/>
      <c r="P12" s="51"/>
      <c r="Q12" s="58"/>
      <c r="R12" s="8"/>
      <c r="S12" s="8"/>
      <c r="T12" s="8"/>
      <c r="U12" s="8"/>
      <c r="V12" s="8"/>
      <c r="W12" s="8"/>
      <c r="X12" s="8"/>
    </row>
    <row r="13" ht="15.75" customHeight="1">
      <c r="C13" s="59" t="s">
        <v>53</v>
      </c>
      <c r="D13" s="64">
        <v>1000.0</v>
      </c>
      <c r="E13" s="61"/>
      <c r="F13" s="61"/>
      <c r="G13" s="34"/>
      <c r="H13" s="47"/>
      <c r="K13" s="47"/>
      <c r="L13" s="65"/>
      <c r="N13" s="66"/>
      <c r="O13" s="32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B14" s="67"/>
      <c r="C14" s="59" t="s">
        <v>54</v>
      </c>
      <c r="D14" s="68">
        <f t="shared" ref="D14:G14" si="3">$D$13*D12/1000</f>
        <v>0.1</v>
      </c>
      <c r="E14" s="68">
        <f t="shared" si="3"/>
        <v>0.56</v>
      </c>
      <c r="F14" s="68">
        <f t="shared" si="3"/>
        <v>0.9852605029</v>
      </c>
      <c r="G14" s="68">
        <f t="shared" si="3"/>
        <v>2</v>
      </c>
      <c r="H14" s="47"/>
      <c r="K14" s="47"/>
      <c r="L14" s="47"/>
      <c r="N14" s="66"/>
      <c r="O14" s="8"/>
      <c r="P14" s="8"/>
      <c r="Q14" s="32"/>
      <c r="R14" s="8"/>
      <c r="S14" s="8"/>
      <c r="T14" s="8"/>
      <c r="U14" s="8"/>
      <c r="V14" s="8"/>
      <c r="W14" s="8"/>
      <c r="X14" s="8"/>
    </row>
    <row r="15" ht="15.75" customHeight="1">
      <c r="B15" s="67"/>
      <c r="C15" s="69" t="s">
        <v>55</v>
      </c>
      <c r="D15" s="70">
        <f t="shared" ref="D15:G15" si="4">D14*$B$6</f>
        <v>2</v>
      </c>
      <c r="E15" s="70">
        <f t="shared" si="4"/>
        <v>11.2</v>
      </c>
      <c r="F15" s="70">
        <f t="shared" si="4"/>
        <v>19.70521006</v>
      </c>
      <c r="G15" s="70">
        <f t="shared" si="4"/>
        <v>40</v>
      </c>
      <c r="H15" s="47"/>
      <c r="K15" s="47"/>
      <c r="L15" s="47"/>
      <c r="N15" s="66"/>
      <c r="O15" s="8"/>
      <c r="P15" s="8"/>
      <c r="Q15" s="32"/>
      <c r="R15" s="8"/>
      <c r="S15" s="8"/>
      <c r="T15" s="8"/>
      <c r="U15" s="8"/>
      <c r="V15" s="8"/>
      <c r="W15" s="8"/>
      <c r="X15" s="8"/>
    </row>
    <row r="16" ht="15.75" customHeight="1">
      <c r="B16" s="67"/>
      <c r="C16" s="59" t="s">
        <v>56</v>
      </c>
      <c r="D16" s="71">
        <f t="shared" ref="D16:G16" si="5">D15/$D$13</f>
        <v>0.002</v>
      </c>
      <c r="E16" s="71">
        <f t="shared" si="5"/>
        <v>0.0112</v>
      </c>
      <c r="F16" s="71">
        <f t="shared" si="5"/>
        <v>0.01970521006</v>
      </c>
      <c r="G16" s="71">
        <f t="shared" si="5"/>
        <v>0.04</v>
      </c>
      <c r="H16" s="47"/>
      <c r="I16" s="47"/>
      <c r="J16" s="47"/>
      <c r="K16" s="47"/>
      <c r="L16" s="47"/>
      <c r="Q16" s="1"/>
      <c r="S16" s="32"/>
      <c r="T16" s="32"/>
      <c r="U16" s="8"/>
      <c r="V16" s="8"/>
      <c r="W16" s="8"/>
      <c r="X16" s="8"/>
    </row>
    <row r="17" ht="15.75" customHeight="1">
      <c r="B17" s="67"/>
      <c r="C17" s="72"/>
      <c r="D17" s="47"/>
      <c r="E17" s="53"/>
      <c r="F17" s="47"/>
      <c r="G17" s="47"/>
      <c r="H17" s="47"/>
      <c r="I17" s="47"/>
      <c r="J17" s="47"/>
      <c r="K17" s="47"/>
      <c r="L17" s="47"/>
      <c r="S17" s="8"/>
      <c r="T17" s="8"/>
      <c r="U17" s="8"/>
      <c r="V17" s="8"/>
      <c r="W17" s="8"/>
      <c r="X17" s="8"/>
    </row>
    <row r="18" ht="15.75" customHeight="1">
      <c r="B18" s="67"/>
      <c r="C18" s="73" t="s">
        <v>57</v>
      </c>
      <c r="D18" s="47"/>
      <c r="E18" s="53"/>
      <c r="F18" s="47"/>
      <c r="G18" s="47"/>
      <c r="H18" s="47"/>
      <c r="I18" s="47"/>
      <c r="J18" s="47"/>
      <c r="K18" s="47"/>
      <c r="L18" s="47"/>
      <c r="M18" s="74"/>
    </row>
    <row r="19" ht="15.75" customHeight="1">
      <c r="B19" s="67"/>
      <c r="C19" s="42" t="s">
        <v>58</v>
      </c>
      <c r="D19" s="37">
        <v>0.01</v>
      </c>
      <c r="E19" s="75" t="s">
        <v>59</v>
      </c>
      <c r="F19" s="47"/>
      <c r="G19" s="47"/>
      <c r="H19" s="47"/>
      <c r="I19" s="47"/>
      <c r="J19" s="65"/>
      <c r="K19" s="47"/>
      <c r="L19" s="47"/>
      <c r="M19" s="47"/>
    </row>
    <row r="20" ht="15.75" customHeight="1">
      <c r="B20" s="67"/>
      <c r="C20" s="42" t="s">
        <v>60</v>
      </c>
      <c r="D20" s="37">
        <f>G16</f>
        <v>0.04</v>
      </c>
      <c r="E20" s="75" t="s">
        <v>61</v>
      </c>
      <c r="F20" s="47"/>
      <c r="G20" s="47"/>
      <c r="H20" s="47"/>
      <c r="I20" s="47"/>
      <c r="J20" s="47"/>
      <c r="K20" s="47"/>
      <c r="L20" s="47"/>
      <c r="M20" s="47"/>
    </row>
    <row r="21" ht="15.75" customHeight="1">
      <c r="B21" s="67"/>
      <c r="C21" s="76"/>
      <c r="D21" s="77"/>
      <c r="E21" s="78"/>
      <c r="F21" s="77"/>
      <c r="G21" s="77"/>
      <c r="H21" s="77"/>
      <c r="I21" s="77"/>
      <c r="J21" s="77"/>
      <c r="K21" s="77"/>
      <c r="L21" s="65"/>
      <c r="M21" s="47"/>
    </row>
    <row r="22" ht="15.75" customHeight="1">
      <c r="B22" s="67"/>
      <c r="C22" s="79" t="s">
        <v>62</v>
      </c>
      <c r="D22" s="80"/>
      <c r="E22" s="81"/>
      <c r="F22" s="82"/>
      <c r="G22" s="83"/>
      <c r="H22" s="84"/>
      <c r="I22" s="77"/>
      <c r="J22" s="85"/>
      <c r="K22" s="86"/>
      <c r="L22" s="47"/>
      <c r="M22" s="47"/>
    </row>
    <row r="23" ht="15.75" customHeight="1">
      <c r="B23" s="67"/>
      <c r="C23" s="42" t="s">
        <v>63</v>
      </c>
      <c r="D23" s="87">
        <v>1000.0</v>
      </c>
      <c r="E23" s="75" t="s">
        <v>64</v>
      </c>
      <c r="F23" s="82"/>
      <c r="G23" s="83"/>
      <c r="H23" s="84"/>
      <c r="I23" s="88"/>
      <c r="J23" s="89"/>
      <c r="K23" s="86"/>
    </row>
    <row r="24" ht="15.75" customHeight="1">
      <c r="B24" s="67"/>
      <c r="C24" s="42" t="s">
        <v>65</v>
      </c>
      <c r="D24" s="90">
        <v>12.0</v>
      </c>
      <c r="E24" s="75" t="s">
        <v>66</v>
      </c>
      <c r="F24" s="82"/>
      <c r="G24" s="83"/>
      <c r="H24" s="84"/>
      <c r="I24" s="77"/>
      <c r="J24" s="85"/>
      <c r="K24" s="86"/>
      <c r="L24" s="47"/>
      <c r="M24" s="47"/>
    </row>
    <row r="25" ht="15.75" customHeight="1">
      <c r="B25" s="67"/>
      <c r="C25" s="42" t="s">
        <v>67</v>
      </c>
      <c r="D25" s="91">
        <f>D24*D23</f>
        <v>12000</v>
      </c>
      <c r="E25" s="75"/>
      <c r="F25" s="82"/>
      <c r="G25" s="83"/>
      <c r="H25" s="84"/>
      <c r="I25" s="77"/>
      <c r="J25" s="85"/>
      <c r="K25" s="86"/>
      <c r="L25" s="47"/>
      <c r="M25" s="47"/>
    </row>
    <row r="26" ht="15.75" customHeight="1">
      <c r="B26" s="67"/>
      <c r="C26" s="42" t="s">
        <v>58</v>
      </c>
      <c r="D26" s="37">
        <v>0.14</v>
      </c>
      <c r="E26" s="75" t="s">
        <v>68</v>
      </c>
      <c r="F26" s="82"/>
      <c r="G26" s="83"/>
      <c r="H26" s="84"/>
      <c r="I26" s="88"/>
      <c r="J26" s="89"/>
      <c r="K26" s="86"/>
    </row>
    <row r="27" ht="15.75" customHeight="1">
      <c r="B27" s="67"/>
      <c r="C27" s="42" t="s">
        <v>69</v>
      </c>
      <c r="D27" s="92">
        <f>(D25*B6/1000)/D23</f>
        <v>0.24</v>
      </c>
      <c r="E27" s="75"/>
    </row>
    <row r="28" ht="15.75" customHeight="1">
      <c r="B28" s="67"/>
      <c r="C28" s="93"/>
      <c r="D28" s="1"/>
      <c r="E28" s="53"/>
    </row>
    <row r="29" ht="15.75" customHeight="1">
      <c r="B29" s="67"/>
      <c r="C29" s="93"/>
      <c r="D29" s="1"/>
      <c r="E29" s="53"/>
    </row>
    <row r="30" ht="15.75" customHeight="1">
      <c r="B30" s="67"/>
      <c r="C30" s="93"/>
      <c r="D30" s="1"/>
      <c r="E30" s="53"/>
    </row>
    <row r="31" ht="15.75" customHeight="1">
      <c r="B31" s="67"/>
      <c r="C31" s="93"/>
      <c r="D31" s="1"/>
      <c r="E31" s="53"/>
    </row>
    <row r="32" ht="15.75" customHeight="1">
      <c r="B32" s="67"/>
      <c r="C32" s="93"/>
      <c r="D32" s="1"/>
      <c r="E32" s="53"/>
      <c r="F32" s="1" t="s">
        <v>70</v>
      </c>
      <c r="G32" s="1" t="s">
        <v>71</v>
      </c>
      <c r="J32" s="1" t="s">
        <v>72</v>
      </c>
    </row>
    <row r="33" ht="15.75" customHeight="1">
      <c r="A33" s="1" t="s">
        <v>73</v>
      </c>
      <c r="B33" s="67">
        <v>40.0</v>
      </c>
      <c r="C33" s="93"/>
      <c r="D33" s="1"/>
      <c r="E33" s="53" t="s">
        <v>74</v>
      </c>
      <c r="F33" s="6">
        <v>492.0</v>
      </c>
      <c r="G33" s="1">
        <v>24.0</v>
      </c>
      <c r="J33" s="6">
        <f t="shared" ref="J33:J34" si="6">F33/G33</f>
        <v>20.5</v>
      </c>
      <c r="Q33" s="1" t="s">
        <v>75</v>
      </c>
      <c r="R33" s="1" t="s">
        <v>73</v>
      </c>
      <c r="T33" s="1" t="s">
        <v>76</v>
      </c>
    </row>
    <row r="34" ht="15.75" customHeight="1">
      <c r="A34" s="1" t="s">
        <v>77</v>
      </c>
      <c r="B34" s="94">
        <v>10.0</v>
      </c>
      <c r="C34" s="93"/>
      <c r="D34" s="1"/>
      <c r="E34" s="53" t="s">
        <v>78</v>
      </c>
      <c r="F34" s="6">
        <v>561.9</v>
      </c>
      <c r="G34" s="1">
        <v>19.3</v>
      </c>
      <c r="J34" s="6">
        <f t="shared" si="6"/>
        <v>29.11398964</v>
      </c>
      <c r="P34" s="1" t="s">
        <v>79</v>
      </c>
      <c r="Q34" s="6">
        <v>623.8</v>
      </c>
      <c r="R34" s="1">
        <v>10.0</v>
      </c>
      <c r="T34" s="6">
        <f>Q34/R34</f>
        <v>62.38</v>
      </c>
    </row>
    <row r="35" ht="15.75" customHeight="1">
      <c r="A35" s="1" t="s">
        <v>80</v>
      </c>
      <c r="B35" s="94">
        <f>B34*B33</f>
        <v>400</v>
      </c>
      <c r="C35" s="93"/>
      <c r="D35" s="1"/>
      <c r="E35" s="53"/>
      <c r="Q35" s="6"/>
    </row>
    <row r="36" ht="15.75" customHeight="1">
      <c r="B36" s="67"/>
      <c r="C36" s="93"/>
      <c r="D36" s="1"/>
      <c r="E36" s="1"/>
    </row>
    <row r="37" ht="15.75" customHeight="1">
      <c r="B37" s="67"/>
      <c r="C37" s="93"/>
      <c r="D37" s="1"/>
      <c r="E37" s="1"/>
    </row>
    <row r="38" ht="15.75" customHeight="1">
      <c r="B38" s="1"/>
      <c r="C38" s="93"/>
      <c r="D38" s="1"/>
      <c r="E38" s="1"/>
    </row>
    <row r="39" ht="15.75" customHeight="1">
      <c r="B39" s="1"/>
      <c r="C39" s="1" t="s">
        <v>77</v>
      </c>
      <c r="D39" s="1" t="s">
        <v>81</v>
      </c>
      <c r="E39" s="1"/>
      <c r="F39" s="1" t="s">
        <v>72</v>
      </c>
      <c r="Q39" s="95" t="s">
        <v>77</v>
      </c>
      <c r="R39" s="1" t="s">
        <v>81</v>
      </c>
      <c r="S39" s="96" t="s">
        <v>76</v>
      </c>
    </row>
    <row r="40" ht="15.75" customHeight="1">
      <c r="B40" s="1"/>
      <c r="C40" s="1" t="s">
        <v>82</v>
      </c>
      <c r="D40" s="6">
        <v>20.0</v>
      </c>
      <c r="E40" s="1"/>
      <c r="F40" s="1" t="s">
        <v>83</v>
      </c>
      <c r="Q40" s="97" t="s">
        <v>82</v>
      </c>
      <c r="R40" s="6">
        <v>20.0</v>
      </c>
      <c r="S40" s="96" t="s">
        <v>83</v>
      </c>
    </row>
    <row r="41" ht="15.75" customHeight="1">
      <c r="J41" s="6">
        <f>G34*D40</f>
        <v>386</v>
      </c>
    </row>
    <row r="42" ht="15.75" customHeight="1">
      <c r="D42" s="6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D3"/>
    <mergeCell ref="D11:G11"/>
    <mergeCell ref="D13:G13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10.13"/>
    <col customWidth="1" min="3" max="3" width="26.0"/>
    <col customWidth="1" min="4" max="4" width="8.75"/>
    <col customWidth="1" min="5" max="5" width="8.5"/>
    <col customWidth="1" min="6" max="6" width="3.75"/>
    <col customWidth="1" min="7" max="7" width="11.38"/>
    <col customWidth="1" min="8" max="8" width="7.88"/>
    <col customWidth="1" min="9" max="9" width="37.0"/>
    <col customWidth="1" min="10" max="10" width="9.88"/>
    <col customWidth="1" min="12" max="12" width="9.25"/>
    <col customWidth="1" min="13" max="13" width="7.75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>
      <c r="B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</row>
    <row r="4" ht="15.75" customHeight="1">
      <c r="B4" s="48"/>
      <c r="C4" s="48"/>
      <c r="D4" s="48"/>
      <c r="E4" s="50"/>
      <c r="F4" s="50"/>
      <c r="G4" s="8"/>
      <c r="H4" s="8"/>
      <c r="I4" s="20" t="s">
        <v>84</v>
      </c>
      <c r="J4" s="16">
        <v>6000.0</v>
      </c>
      <c r="K4" s="51"/>
    </row>
    <row r="5" ht="15.75" customHeight="1">
      <c r="A5" s="20" t="s">
        <v>20</v>
      </c>
      <c r="B5" s="17">
        <f>IFERROR(__xludf.DUMMYFUNCTION("GOOGLEFINANCE(""USDBRL"")"),5.0748)</f>
        <v>5.0748</v>
      </c>
      <c r="E5" s="8"/>
      <c r="F5" s="8"/>
      <c r="G5" s="8"/>
      <c r="H5" s="8"/>
      <c r="I5" s="20" t="s">
        <v>85</v>
      </c>
      <c r="J5" s="98">
        <v>1.0</v>
      </c>
      <c r="K5" s="66"/>
      <c r="L5" s="8"/>
      <c r="M5" s="8"/>
      <c r="N5" s="8"/>
      <c r="O5" s="8"/>
    </row>
    <row r="6" ht="15.75" customHeight="1">
      <c r="A6" s="20" t="s">
        <v>14</v>
      </c>
      <c r="B6" s="16">
        <v>20.0</v>
      </c>
      <c r="E6" s="8"/>
      <c r="F6" s="8"/>
      <c r="G6" s="8"/>
      <c r="H6" s="8"/>
      <c r="I6" s="20" t="s">
        <v>86</v>
      </c>
      <c r="J6" s="71">
        <f>(1+B10)^J5-1+B9+B8/J4</f>
        <v>0.008132</v>
      </c>
      <c r="K6" s="66"/>
      <c r="L6" s="8"/>
      <c r="M6" s="8"/>
      <c r="N6" s="8"/>
      <c r="O6" s="8"/>
    </row>
    <row r="7" ht="15.75" customHeight="1">
      <c r="B7" s="6"/>
      <c r="E7" s="8"/>
      <c r="F7" s="8"/>
      <c r="G7" s="8"/>
      <c r="H7" s="8"/>
      <c r="I7" s="8"/>
      <c r="J7" s="8"/>
      <c r="K7" s="99"/>
      <c r="L7" s="49"/>
      <c r="M7" s="8"/>
      <c r="N7" s="8"/>
      <c r="O7" s="8"/>
    </row>
    <row r="8" ht="15.75" customHeight="1">
      <c r="A8" s="20" t="s">
        <v>87</v>
      </c>
      <c r="B8" s="16">
        <f>25.5</f>
        <v>25.5</v>
      </c>
      <c r="E8" s="47"/>
      <c r="G8" s="1"/>
      <c r="H8" s="1"/>
      <c r="I8" s="1"/>
      <c r="J8" s="1"/>
      <c r="K8" s="99"/>
      <c r="L8" s="49"/>
      <c r="M8" s="32"/>
      <c r="N8" s="8"/>
      <c r="O8" s="8"/>
    </row>
    <row r="9" ht="15.75" customHeight="1">
      <c r="A9" s="20" t="s">
        <v>88</v>
      </c>
      <c r="B9" s="100">
        <v>0.0038</v>
      </c>
      <c r="E9" s="47"/>
      <c r="G9" s="1"/>
      <c r="H9" s="1"/>
      <c r="I9" s="1"/>
      <c r="J9" s="1"/>
      <c r="K9" s="32"/>
      <c r="L9" s="8"/>
      <c r="M9" s="8"/>
      <c r="N9" s="8"/>
      <c r="O9" s="8"/>
    </row>
    <row r="10" ht="15.75" customHeight="1">
      <c r="A10" s="42" t="s">
        <v>89</v>
      </c>
      <c r="B10" s="101">
        <v>8.2E-5</v>
      </c>
      <c r="D10" s="47"/>
      <c r="E10" s="47"/>
      <c r="F10" s="47"/>
      <c r="G10" s="1"/>
      <c r="H10" s="1"/>
      <c r="I10" s="1"/>
      <c r="J10" s="1"/>
      <c r="K10" s="51"/>
      <c r="L10" s="58"/>
      <c r="M10" s="51"/>
      <c r="N10" s="58"/>
      <c r="O10" s="51"/>
    </row>
    <row r="11" ht="15.75" customHeight="1">
      <c r="D11" s="47"/>
      <c r="E11" s="47"/>
      <c r="F11" s="102"/>
      <c r="K11" s="51"/>
      <c r="L11" s="32"/>
      <c r="M11" s="51"/>
      <c r="N11" s="58"/>
      <c r="O11" s="8"/>
    </row>
    <row r="12" ht="15.75" customHeight="1">
      <c r="G12" s="47"/>
      <c r="H12" s="47"/>
      <c r="I12" s="65"/>
      <c r="K12" s="66"/>
      <c r="L12" s="32"/>
      <c r="M12" s="8"/>
      <c r="N12" s="8"/>
      <c r="O12" s="8"/>
    </row>
    <row r="13" ht="15.75" customHeight="1">
      <c r="A13" s="52" t="s">
        <v>90</v>
      </c>
      <c r="B13" s="8"/>
      <c r="E13" s="47"/>
      <c r="F13" s="47"/>
      <c r="G13" s="47"/>
      <c r="H13" s="47"/>
      <c r="I13" s="47"/>
      <c r="K13" s="66"/>
      <c r="L13" s="8"/>
      <c r="M13" s="8"/>
      <c r="N13" s="32"/>
      <c r="O13" s="8"/>
    </row>
    <row r="14" ht="15.75" customHeight="1">
      <c r="A14" s="54" t="s">
        <v>48</v>
      </c>
      <c r="B14" s="103">
        <v>3.0</v>
      </c>
      <c r="C14" s="47"/>
      <c r="E14" s="47"/>
      <c r="F14" s="47"/>
      <c r="G14" s="47"/>
      <c r="H14" s="47"/>
      <c r="I14" s="47"/>
      <c r="K14" s="66"/>
      <c r="L14" s="8"/>
      <c r="M14" s="8"/>
      <c r="N14" s="32"/>
      <c r="O14" s="8"/>
    </row>
    <row r="15" ht="15.75" customHeight="1">
      <c r="A15" s="54" t="s">
        <v>50</v>
      </c>
      <c r="B15" s="57">
        <f>B14/$B$5</f>
        <v>0.5911563017</v>
      </c>
      <c r="C15" s="47"/>
      <c r="E15" s="47"/>
      <c r="F15" s="47"/>
      <c r="G15" s="47"/>
      <c r="H15" s="47"/>
      <c r="I15" s="47"/>
      <c r="N15" s="1"/>
    </row>
    <row r="16" ht="15.75" customHeight="1">
      <c r="A16" s="59" t="s">
        <v>51</v>
      </c>
      <c r="B16" s="60">
        <v>1.0</v>
      </c>
      <c r="C16" s="47"/>
      <c r="D16" s="47"/>
      <c r="E16" s="47"/>
      <c r="F16" s="47"/>
      <c r="G16" s="47"/>
      <c r="H16" s="47"/>
      <c r="I16" s="47"/>
    </row>
    <row r="17" ht="15.75" customHeight="1">
      <c r="A17" s="62" t="s">
        <v>52</v>
      </c>
      <c r="B17" s="63">
        <f>B15*(1+$B$16)</f>
        <v>1.182312603</v>
      </c>
      <c r="C17" s="47"/>
      <c r="D17" s="47"/>
      <c r="E17" s="47"/>
      <c r="F17" s="47"/>
      <c r="G17" s="47"/>
      <c r="H17" s="47"/>
      <c r="I17" s="47"/>
      <c r="J17" s="74"/>
    </row>
    <row r="18" ht="15.75" customHeight="1">
      <c r="A18" s="59" t="s">
        <v>91</v>
      </c>
      <c r="B18" s="64">
        <f>J4</f>
        <v>6000</v>
      </c>
      <c r="D18" s="47"/>
      <c r="E18" s="47"/>
      <c r="F18" s="47"/>
      <c r="G18" s="65"/>
      <c r="H18" s="47"/>
      <c r="I18" s="47"/>
      <c r="J18" s="47"/>
    </row>
    <row r="19" ht="15.75" customHeight="1">
      <c r="A19" s="59" t="s">
        <v>92</v>
      </c>
      <c r="B19" s="68">
        <f>$B$18*B17/1000</f>
        <v>7.093875621</v>
      </c>
      <c r="D19" s="47"/>
      <c r="E19" s="47"/>
      <c r="F19" s="47"/>
      <c r="G19" s="47"/>
      <c r="H19" s="47"/>
      <c r="I19" s="47"/>
      <c r="J19" s="47"/>
    </row>
    <row r="20" ht="15.75" customHeight="1">
      <c r="A20" s="69" t="s">
        <v>55</v>
      </c>
      <c r="B20" s="70">
        <f>B19*$B$6</f>
        <v>141.8775124</v>
      </c>
      <c r="D20" s="47"/>
      <c r="E20" s="47"/>
      <c r="F20" s="77"/>
      <c r="G20" s="77"/>
      <c r="H20" s="77"/>
      <c r="I20" s="65"/>
      <c r="J20" s="47"/>
    </row>
    <row r="21" ht="15.75" customHeight="1">
      <c r="A21" s="59" t="s">
        <v>56</v>
      </c>
      <c r="B21" s="104">
        <f>B20/$B$18</f>
        <v>0.02364625207</v>
      </c>
      <c r="C21" s="72"/>
      <c r="D21" s="77"/>
      <c r="E21" s="65"/>
      <c r="F21" s="77"/>
      <c r="G21" s="85"/>
      <c r="H21" s="86"/>
      <c r="I21" s="47"/>
      <c r="J21" s="47"/>
    </row>
    <row r="22" ht="15.75" customHeight="1">
      <c r="A22" s="59" t="s">
        <v>93</v>
      </c>
      <c r="B22" s="71">
        <f>B21/2</f>
        <v>0.01182312603</v>
      </c>
      <c r="C22" s="65"/>
      <c r="D22" s="86"/>
      <c r="E22" s="47"/>
      <c r="F22" s="88"/>
      <c r="G22" s="89"/>
      <c r="H22" s="86"/>
    </row>
    <row r="23" ht="15.75" customHeight="1">
      <c r="B23" s="67"/>
      <c r="C23" s="89"/>
      <c r="D23" s="86"/>
      <c r="F23" s="77"/>
      <c r="G23" s="85"/>
      <c r="H23" s="86"/>
      <c r="I23" s="47"/>
      <c r="J23" s="47"/>
    </row>
    <row r="24" ht="15.75" customHeight="1">
      <c r="B24" s="67"/>
      <c r="C24" s="85"/>
      <c r="D24" s="86"/>
      <c r="E24" s="47"/>
      <c r="F24" s="77"/>
      <c r="G24" s="85"/>
      <c r="H24" s="86"/>
      <c r="I24" s="47"/>
      <c r="J24" s="47"/>
    </row>
    <row r="25" ht="15.75" customHeight="1">
      <c r="B25" s="67"/>
      <c r="C25" s="47"/>
      <c r="D25" s="47"/>
      <c r="E25" s="47"/>
      <c r="F25" s="88"/>
      <c r="G25" s="89"/>
      <c r="H25" s="86"/>
    </row>
    <row r="26" ht="15.75" customHeight="1">
      <c r="B26" s="67"/>
      <c r="C26" s="65"/>
      <c r="D26" s="47"/>
      <c r="E26" s="47"/>
    </row>
    <row r="27" ht="15.75" customHeight="1">
      <c r="B27" s="67"/>
      <c r="C27" s="47"/>
      <c r="D27" s="47"/>
      <c r="E27" s="47"/>
    </row>
    <row r="28" ht="15.75" customHeight="1">
      <c r="B28" s="67"/>
      <c r="C28" s="77"/>
      <c r="D28" s="77"/>
      <c r="E28" s="65"/>
    </row>
    <row r="29" ht="15.75" customHeight="1">
      <c r="B29" s="67"/>
      <c r="C29" s="85"/>
      <c r="D29" s="86"/>
      <c r="E29" s="47"/>
    </row>
    <row r="30" ht="15.75" customHeight="1">
      <c r="B30" s="67"/>
      <c r="C30" s="89"/>
      <c r="D30" s="86"/>
    </row>
    <row r="31" ht="15.75" customHeight="1">
      <c r="B31" s="67"/>
      <c r="C31" s="85"/>
      <c r="D31" s="86"/>
      <c r="E31" s="47"/>
    </row>
    <row r="32" ht="15.75" customHeight="1">
      <c r="B32" s="67"/>
      <c r="C32" s="85"/>
      <c r="D32" s="86"/>
      <c r="E32" s="47"/>
    </row>
    <row r="33" ht="15.75" customHeight="1">
      <c r="B33" s="67"/>
      <c r="C33" s="93"/>
      <c r="D33" s="1"/>
    </row>
    <row r="34" ht="15.75" customHeight="1">
      <c r="B34" s="67"/>
      <c r="C34" s="93"/>
      <c r="D34" s="1"/>
    </row>
    <row r="35" ht="15.75" customHeight="1">
      <c r="B35" s="67"/>
      <c r="C35" s="93"/>
      <c r="D35" s="1"/>
    </row>
    <row r="36" ht="15.75" customHeight="1">
      <c r="B36" s="67"/>
      <c r="C36" s="93"/>
      <c r="D36" s="1"/>
    </row>
    <row r="37" ht="15.75" customHeight="1">
      <c r="B37" s="1"/>
      <c r="C37" s="93"/>
      <c r="D37" s="1"/>
    </row>
    <row r="38" ht="15.75" customHeight="1">
      <c r="B38" s="1"/>
      <c r="C38" s="93"/>
      <c r="D38" s="1"/>
    </row>
    <row r="39" ht="15.75" customHeight="1">
      <c r="B39" s="1"/>
      <c r="C39" s="93"/>
      <c r="D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K4:O4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