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OOCs\ESCADAS\"/>
    </mc:Choice>
  </mc:AlternateContent>
  <xr:revisionPtr revIDLastSave="0" documentId="13_ncr:1_{74471EEE-553D-4A45-9A88-19F7E1589549}" xr6:coauthVersionLast="45" xr6:coauthVersionMax="45" xr10:uidLastSave="{00000000-0000-0000-0000-000000000000}"/>
  <bookViews>
    <workbookView xWindow="-120" yWindow="-120" windowWidth="29040" windowHeight="15840" activeTab="4" xr2:uid="{A80D99C0-9DBB-44DB-91B2-73E241BB8ADF}"/>
  </bookViews>
  <sheets>
    <sheet name="BLONDEL" sheetId="1" r:id="rId1"/>
    <sheet name="DIMENSIONAMENTO" sheetId="3" r:id="rId2"/>
    <sheet name="FLECHA" sheetId="2" r:id="rId3"/>
    <sheet name="BALANÇO" sheetId="5" r:id="rId4"/>
    <sheet name="FLECHA BALANC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K11" i="2" l="1"/>
  <c r="K21" i="2"/>
  <c r="G4" i="3" l="1"/>
  <c r="G5" i="3" s="1"/>
  <c r="C12" i="2" s="1"/>
  <c r="U15" i="6" l="1"/>
  <c r="U17" i="6"/>
  <c r="U23" i="6" s="1"/>
  <c r="U11" i="6"/>
  <c r="U28" i="6"/>
  <c r="K22" i="6"/>
  <c r="K21" i="6"/>
  <c r="AW13" i="6"/>
  <c r="C13" i="6"/>
  <c r="K11" i="6"/>
  <c r="U10" i="6" s="1"/>
  <c r="U9" i="6"/>
  <c r="C6" i="6"/>
  <c r="K23" i="6" l="1"/>
  <c r="M13" i="5"/>
  <c r="M17" i="5" s="1"/>
  <c r="N17" i="5" s="1"/>
  <c r="G7" i="5"/>
  <c r="G5" i="5"/>
  <c r="G4" i="5"/>
  <c r="C6" i="5"/>
  <c r="G6" i="5" l="1"/>
  <c r="G8" i="5" s="1"/>
  <c r="G13" i="5" s="1"/>
  <c r="M16" i="5"/>
  <c r="N16" i="5" s="1"/>
  <c r="M15" i="5"/>
  <c r="N15" i="5" s="1"/>
  <c r="G9" i="5"/>
  <c r="G14" i="5" l="1"/>
  <c r="U28" i="2"/>
  <c r="G16" i="5" l="1"/>
  <c r="N7" i="5"/>
  <c r="N5" i="5"/>
  <c r="N10" i="5"/>
  <c r="N8" i="5"/>
  <c r="N9" i="5"/>
  <c r="N6" i="5"/>
  <c r="U10" i="2"/>
  <c r="M15" i="3" l="1"/>
  <c r="M16" i="3" s="1"/>
  <c r="M14" i="3"/>
  <c r="M13" i="3"/>
  <c r="C12" i="6"/>
  <c r="K22" i="2"/>
  <c r="AV13" i="6" l="1"/>
  <c r="AS13" i="6"/>
  <c r="M17" i="3"/>
  <c r="N6" i="3"/>
  <c r="G7" i="3"/>
  <c r="N9" i="3"/>
  <c r="N7" i="3"/>
  <c r="N8" i="3"/>
  <c r="N5" i="3"/>
  <c r="N10" i="3"/>
  <c r="AV13" i="2" l="1"/>
  <c r="AS13" i="2"/>
  <c r="AS15" i="6"/>
  <c r="AS16" i="6" s="1"/>
  <c r="U9" i="2"/>
  <c r="AW13" i="2"/>
  <c r="C6" i="2"/>
  <c r="K23" i="2" s="1"/>
  <c r="AS17" i="6" l="1"/>
  <c r="U27" i="6"/>
  <c r="T29" i="6" s="1"/>
  <c r="U12" i="6"/>
  <c r="U13" i="6" s="1"/>
  <c r="U14" i="6" s="1"/>
  <c r="U11" i="2"/>
  <c r="U15" i="2"/>
  <c r="G4" i="1"/>
  <c r="AS15" i="2" l="1"/>
  <c r="G8" i="1"/>
  <c r="G7" i="1"/>
  <c r="G6" i="1"/>
  <c r="G5" i="1"/>
  <c r="F5" i="1"/>
  <c r="F6" i="1"/>
  <c r="F7" i="1"/>
  <c r="F8" i="1"/>
  <c r="F4" i="1"/>
  <c r="AS17" i="2" l="1"/>
  <c r="AS16" i="2"/>
  <c r="U12" i="2" s="1"/>
  <c r="U13" i="2" s="1"/>
  <c r="U14" i="2" s="1"/>
  <c r="U17" i="2" s="1"/>
  <c r="U23" i="2" l="1"/>
  <c r="U27" i="2" s="1"/>
  <c r="T29" i="2" l="1"/>
</calcChain>
</file>

<file path=xl/sharedStrings.xml><?xml version="1.0" encoding="utf-8"?>
<sst xmlns="http://schemas.openxmlformats.org/spreadsheetml/2006/main" count="231" uniqueCount="98">
  <si>
    <t>Piso</t>
  </si>
  <si>
    <t>Espelho</t>
  </si>
  <si>
    <t>Pd</t>
  </si>
  <si>
    <t>Num_Esp</t>
  </si>
  <si>
    <t>Num_Pis</t>
  </si>
  <si>
    <t>Vão</t>
  </si>
  <si>
    <t>Patamar</t>
  </si>
  <si>
    <t>b</t>
  </si>
  <si>
    <t>h</t>
  </si>
  <si>
    <t>cm</t>
  </si>
  <si>
    <t>Mpa</t>
  </si>
  <si>
    <t>kgf/cm²</t>
  </si>
  <si>
    <t>cm4</t>
  </si>
  <si>
    <t>Mr</t>
  </si>
  <si>
    <t>Ma</t>
  </si>
  <si>
    <t>(EI)eq</t>
  </si>
  <si>
    <t>Ecs</t>
  </si>
  <si>
    <t>Es</t>
  </si>
  <si>
    <t>αe</t>
  </si>
  <si>
    <t>g</t>
  </si>
  <si>
    <t>q</t>
  </si>
  <si>
    <t>kgf/m²</t>
  </si>
  <si>
    <t>kgf.m/m</t>
  </si>
  <si>
    <t>Lvão</t>
  </si>
  <si>
    <t>kgf.m</t>
  </si>
  <si>
    <t>Xii</t>
  </si>
  <si>
    <t>kgf.cm²</t>
  </si>
  <si>
    <t>Iii</t>
  </si>
  <si>
    <t>xii²</t>
  </si>
  <si>
    <t>+</t>
  </si>
  <si>
    <t>As</t>
  </si>
  <si>
    <t>cm²/m</t>
  </si>
  <si>
    <t>xii</t>
  </si>
  <si>
    <t>-</t>
  </si>
  <si>
    <t>d</t>
  </si>
  <si>
    <t xml:space="preserve">cm </t>
  </si>
  <si>
    <t>Delta</t>
  </si>
  <si>
    <t>ENTRADAS</t>
  </si>
  <si>
    <t>CARGA TOTAL</t>
  </si>
  <si>
    <t>Seção retangular</t>
  </si>
  <si>
    <t>NOTAS:</t>
  </si>
  <si>
    <t>1- Valores de α</t>
  </si>
  <si>
    <t>2- VERIFICAÇÃO DO ESTÁDIO</t>
  </si>
  <si>
    <t>1- COMBINAÇÃO DE CARREGAMENTO</t>
  </si>
  <si>
    <t>3- FLECHA IMEDIATA</t>
  </si>
  <si>
    <t>“Para uma avaliação aproximada da flecha imediata em vigas, pode-se utilizar a expressão de rigidez equivalente dada a seguir:”</t>
  </si>
  <si>
    <t>Ic</t>
  </si>
  <si>
    <r>
      <t>y</t>
    </r>
    <r>
      <rPr>
        <b/>
        <vertAlign val="subscript"/>
        <sz val="16"/>
        <color theme="1"/>
        <rFont val="Times New Roman"/>
        <family val="1"/>
      </rPr>
      <t>t</t>
    </r>
  </si>
  <si>
    <r>
      <t>f</t>
    </r>
    <r>
      <rPr>
        <b/>
        <vertAlign val="subscript"/>
        <sz val="16"/>
        <color theme="1"/>
        <rFont val="Times New Roman"/>
        <family val="1"/>
      </rPr>
      <t>ck</t>
    </r>
  </si>
  <si>
    <t>4- FLECHA TOTAL</t>
  </si>
  <si>
    <t>2 - Valor de acordo com NBR6118</t>
  </si>
  <si>
    <r>
      <t>f</t>
    </r>
    <r>
      <rPr>
        <b/>
        <vertAlign val="subscript"/>
        <sz val="14"/>
        <color rgb="FF0070C0"/>
        <rFont val="Times New Roman"/>
        <family val="1"/>
      </rPr>
      <t>ct</t>
    </r>
  </si>
  <si>
    <r>
      <t>cm</t>
    </r>
    <r>
      <rPr>
        <vertAlign val="superscript"/>
        <sz val="14"/>
        <color theme="1"/>
        <rFont val="Times New Roman"/>
        <family val="1"/>
      </rPr>
      <t>4</t>
    </r>
  </si>
  <si>
    <t>adimensional</t>
  </si>
  <si>
    <r>
      <t>E</t>
    </r>
    <r>
      <rPr>
        <b/>
        <sz val="11"/>
        <color rgb="FF002060"/>
        <rFont val="Times New Roman"/>
        <family val="1"/>
      </rPr>
      <t>cs</t>
    </r>
    <r>
      <rPr>
        <b/>
        <sz val="14"/>
        <color rgb="FF002060"/>
        <rFont val="Times New Roman"/>
        <family val="1"/>
      </rPr>
      <t>I</t>
    </r>
    <r>
      <rPr>
        <b/>
        <sz val="11"/>
        <color rgb="FF002060"/>
        <rFont val="Times New Roman"/>
        <family val="1"/>
      </rPr>
      <t>c</t>
    </r>
  </si>
  <si>
    <r>
      <t>(EI)</t>
    </r>
    <r>
      <rPr>
        <b/>
        <sz val="11"/>
        <color rgb="FF002060"/>
        <rFont val="Times New Roman"/>
        <family val="1"/>
      </rPr>
      <t>final</t>
    </r>
  </si>
  <si>
    <t>FI  =</t>
  </si>
  <si>
    <t>FT   =</t>
  </si>
  <si>
    <t>LIMITE² =</t>
  </si>
  <si>
    <t>α¹</t>
  </si>
  <si>
    <t>peça fissura</t>
  </si>
  <si>
    <t>LN</t>
  </si>
  <si>
    <t>cm²</t>
  </si>
  <si>
    <r>
      <t>M</t>
    </r>
    <r>
      <rPr>
        <b/>
        <vertAlign val="subscript"/>
        <sz val="16"/>
        <color theme="1"/>
        <rFont val="Times New Roman"/>
        <family val="1"/>
      </rPr>
      <t>k</t>
    </r>
  </si>
  <si>
    <r>
      <t>f</t>
    </r>
    <r>
      <rPr>
        <b/>
        <vertAlign val="subscript"/>
        <sz val="16"/>
        <color theme="1"/>
        <rFont val="Times New Roman"/>
        <family val="1"/>
      </rPr>
      <t>yk</t>
    </r>
  </si>
  <si>
    <t>BITOLA</t>
  </si>
  <si>
    <t>ÁREA(cm²)</t>
  </si>
  <si>
    <t>DIMENSIONAMENTO</t>
  </si>
  <si>
    <t>x/d</t>
  </si>
  <si>
    <t>BITOLA MÁX</t>
  </si>
  <si>
    <t>ESP MAX</t>
  </si>
  <si>
    <t>As,min</t>
  </si>
  <si>
    <t>As,neg</t>
  </si>
  <si>
    <t>As,sec</t>
  </si>
  <si>
    <t>ESP</t>
  </si>
  <si>
    <t>DETALHAMENTO POSITIVO</t>
  </si>
  <si>
    <t>kgf/m</t>
  </si>
  <si>
    <t>SC</t>
  </si>
  <si>
    <t>kgf.m²</t>
  </si>
  <si>
    <t>Parapeito</t>
  </si>
  <si>
    <t>TOTAL</t>
  </si>
  <si>
    <r>
      <t>b</t>
    </r>
    <r>
      <rPr>
        <b/>
        <sz val="12"/>
        <color theme="1"/>
        <rFont val="Times New Roman"/>
        <family val="1"/>
      </rPr>
      <t>viga</t>
    </r>
  </si>
  <si>
    <r>
      <t>L</t>
    </r>
    <r>
      <rPr>
        <vertAlign val="subscript"/>
        <sz val="12"/>
        <color theme="1"/>
        <rFont val="Calibri"/>
        <family val="2"/>
        <scheme val="minor"/>
      </rPr>
      <t>calc</t>
    </r>
  </si>
  <si>
    <t>kgf</t>
  </si>
  <si>
    <t>Carga Horiz</t>
  </si>
  <si>
    <t>ESFORÇOS</t>
  </si>
  <si>
    <r>
      <t>L</t>
    </r>
    <r>
      <rPr>
        <b/>
        <sz val="12"/>
        <color theme="1"/>
        <rFont val="Times New Roman"/>
        <family val="1"/>
      </rPr>
      <t>livre</t>
    </r>
  </si>
  <si>
    <t>QUANTID.</t>
  </si>
  <si>
    <t>ARM TRANSV.</t>
  </si>
  <si>
    <t>ESPAÇAM.</t>
  </si>
  <si>
    <t>QUANTIDADE</t>
  </si>
  <si>
    <t>DEIXAR ESPAÇAMENTO PERTO DE 15-25 cm</t>
  </si>
  <si>
    <r>
      <t>M</t>
    </r>
    <r>
      <rPr>
        <b/>
        <vertAlign val="subscript"/>
        <sz val="14"/>
        <color rgb="FF002060"/>
        <rFont val="Times New Roman"/>
        <family val="1"/>
      </rPr>
      <t>k,SC</t>
    </r>
  </si>
  <si>
    <r>
      <t>M</t>
    </r>
    <r>
      <rPr>
        <b/>
        <vertAlign val="subscript"/>
        <sz val="14"/>
        <color rgb="FF002060"/>
        <rFont val="Times New Roman"/>
        <family val="1"/>
      </rPr>
      <t>k,balanço</t>
    </r>
  </si>
  <si>
    <t>USAR  de 3 a 4 BARRAS</t>
  </si>
  <si>
    <t>Pav+Rev</t>
  </si>
  <si>
    <r>
      <t>b</t>
    </r>
    <r>
      <rPr>
        <b/>
        <vertAlign val="subscript"/>
        <sz val="16"/>
        <color theme="1"/>
        <rFont val="Times New Roman"/>
        <family val="1"/>
      </rPr>
      <t>degrau</t>
    </r>
  </si>
  <si>
    <t>DETALHAMENTO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</si>
</sst>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vertAlign val="subscript"/>
      <sz val="16"/>
      <color theme="1"/>
      <name val="Times New Roman"/>
      <family val="1"/>
    </font>
    <font>
      <b/>
      <vertAlign val="subscript"/>
      <sz val="14"/>
      <color rgb="FF0070C0"/>
      <name val="Times New Roman"/>
      <family val="1"/>
    </font>
    <font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4"/>
      <color rgb="FF002060"/>
      <name val="Times New Roman"/>
      <family val="1"/>
    </font>
    <font>
      <b/>
      <u/>
      <sz val="16"/>
      <color theme="1"/>
      <name val="Verdana"/>
      <family val="2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02060"/>
      <name val="Calibri"/>
      <family val="2"/>
      <scheme val="minor"/>
    </font>
    <font>
      <b/>
      <sz val="16"/>
      <color rgb="FF002060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Calibri"/>
      <family val="2"/>
      <scheme val="minor"/>
    </font>
    <font>
      <b/>
      <vertAlign val="subscript"/>
      <sz val="14"/>
      <color rgb="FF002060"/>
      <name val="Times New Roman"/>
      <family val="1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" fontId="0" fillId="0" borderId="0" xfId="0" applyNumberFormat="1"/>
    <xf numFmtId="0" fontId="0" fillId="0" borderId="11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0" fillId="6" borderId="0" xfId="0" applyFill="1"/>
    <xf numFmtId="2" fontId="3" fillId="0" borderId="14" xfId="0" applyNumberFormat="1" applyFont="1" applyBorder="1" applyAlignment="1">
      <alignment horizontal="center"/>
    </xf>
    <xf numFmtId="0" fontId="3" fillId="0" borderId="0" xfId="0" applyFont="1"/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6" borderId="0" xfId="0" applyFont="1" applyFill="1" applyAlignment="1"/>
    <xf numFmtId="0" fontId="10" fillId="0" borderId="0" xfId="0" applyFont="1"/>
    <xf numFmtId="0" fontId="14" fillId="0" borderId="12" xfId="0" applyFont="1" applyBorder="1" applyAlignment="1">
      <alignment horizontal="center"/>
    </xf>
    <xf numFmtId="0" fontId="14" fillId="0" borderId="0" xfId="0" applyFont="1"/>
    <xf numFmtId="2" fontId="14" fillId="0" borderId="14" xfId="0" applyNumberFormat="1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14" fillId="0" borderId="16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4" fillId="0" borderId="0" xfId="0" applyFont="1" applyAlignment="1"/>
    <xf numFmtId="0" fontId="19" fillId="9" borderId="24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9" borderId="23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0" fontId="14" fillId="0" borderId="0" xfId="0" applyFont="1" applyBorder="1"/>
    <xf numFmtId="0" fontId="14" fillId="10" borderId="0" xfId="0" applyFont="1" applyFill="1"/>
    <xf numFmtId="165" fontId="19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0" fillId="3" borderId="20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2" fontId="19" fillId="0" borderId="22" xfId="0" applyNumberFormat="1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2" fillId="0" borderId="0" xfId="0" applyFont="1"/>
    <xf numFmtId="0" fontId="23" fillId="0" borderId="20" xfId="0" applyFont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9" fillId="11" borderId="32" xfId="0" applyFont="1" applyFill="1" applyBorder="1" applyAlignment="1">
      <alignment horizontal="center"/>
    </xf>
    <xf numFmtId="0" fontId="19" fillId="11" borderId="33" xfId="0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1" fontId="19" fillId="0" borderId="29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0" fontId="14" fillId="0" borderId="0" xfId="0" applyFont="1" applyFill="1" applyBorder="1"/>
    <xf numFmtId="1" fontId="14" fillId="0" borderId="14" xfId="0" applyNumberFormat="1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1" fontId="14" fillId="0" borderId="37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64" fontId="19" fillId="0" borderId="29" xfId="0" applyNumberFormat="1" applyFont="1" applyBorder="1" applyAlignment="1">
      <alignment horizontal="center"/>
    </xf>
    <xf numFmtId="0" fontId="27" fillId="0" borderId="0" xfId="0" applyFont="1"/>
    <xf numFmtId="164" fontId="19" fillId="0" borderId="30" xfId="0" applyNumberFormat="1" applyFont="1" applyBorder="1" applyAlignment="1">
      <alignment horizontal="center"/>
    </xf>
    <xf numFmtId="0" fontId="21" fillId="3" borderId="34" xfId="0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2" fontId="19" fillId="0" borderId="8" xfId="0" applyNumberFormat="1" applyFont="1" applyBorder="1" applyAlignment="1">
      <alignment horizontal="center"/>
    </xf>
    <xf numFmtId="0" fontId="11" fillId="3" borderId="38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1" fontId="19" fillId="0" borderId="35" xfId="0" applyNumberFormat="1" applyFont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1" fontId="19" fillId="0" borderId="39" xfId="0" applyNumberFormat="1" applyFont="1" applyBorder="1" applyAlignment="1">
      <alignment horizontal="center"/>
    </xf>
    <xf numFmtId="0" fontId="19" fillId="11" borderId="13" xfId="0" applyFont="1" applyFill="1" applyBorder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9" fillId="11" borderId="15" xfId="0" applyFont="1" applyFill="1" applyBorder="1" applyAlignment="1">
      <alignment horizontal="center"/>
    </xf>
    <xf numFmtId="1" fontId="19" fillId="0" borderId="40" xfId="0" applyNumberFormat="1" applyFont="1" applyBorder="1" applyAlignment="1">
      <alignment horizontal="center"/>
    </xf>
    <xf numFmtId="164" fontId="14" fillId="0" borderId="16" xfId="0" applyNumberFormat="1" applyFont="1" applyBorder="1" applyAlignment="1">
      <alignment horizontal="center"/>
    </xf>
    <xf numFmtId="11" fontId="3" fillId="0" borderId="14" xfId="0" applyNumberFormat="1" applyFont="1" applyBorder="1" applyAlignment="1">
      <alignment horizontal="center"/>
    </xf>
    <xf numFmtId="11" fontId="3" fillId="0" borderId="16" xfId="0" applyNumberFormat="1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8" borderId="2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25</xdr:row>
      <xdr:rowOff>89314</xdr:rowOff>
    </xdr:from>
    <xdr:to>
      <xdr:col>4</xdr:col>
      <xdr:colOff>495300</xdr:colOff>
      <xdr:row>27</xdr:row>
      <xdr:rowOff>161923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61163E4-9CD7-4F60-AD76-E80AE15E1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9894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1" y="6271039"/>
          <a:ext cx="2076449" cy="510759"/>
        </a:xfrm>
        <a:prstGeom prst="rect">
          <a:avLst/>
        </a:prstGeom>
      </xdr:spPr>
    </xdr:pic>
    <xdr:clientData/>
  </xdr:twoCellAnchor>
  <xdr:twoCellAnchor editAs="oneCell">
    <xdr:from>
      <xdr:col>7</xdr:col>
      <xdr:colOff>248708</xdr:colOff>
      <xdr:row>15</xdr:row>
      <xdr:rowOff>92769</xdr:rowOff>
    </xdr:from>
    <xdr:to>
      <xdr:col>9</xdr:col>
      <xdr:colOff>343958</xdr:colOff>
      <xdr:row>18</xdr:row>
      <xdr:rowOff>134540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D58BD4E-3980-4001-9796-4FAF026C5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06875" y="2855019"/>
          <a:ext cx="1471083" cy="6810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701675</xdr:colOff>
      <xdr:row>15</xdr:row>
      <xdr:rowOff>127001</xdr:rowOff>
    </xdr:from>
    <xdr:ext cx="1981200" cy="626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0C074E78-E74F-4B70-8D63-E5C8BCBFFF25}"/>
                </a:ext>
              </a:extLst>
            </xdr:cNvPr>
            <xdr:cNvSpPr txBox="1"/>
          </xdr:nvSpPr>
          <xdr:spPr>
            <a:xfrm>
              <a:off x="5959475" y="4003676"/>
              <a:ext cx="1981200" cy="62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𝑐𝑡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pt-BR" sz="2000" b="0" i="1">
                        <a:latin typeface="Cambria Math" panose="02040503050406030204" pitchFamily="18" charset="0"/>
                      </a:rPr>
                      <m:t>=0,3</m:t>
                    </m:r>
                    <m:rad>
                      <m:radPr>
                        <m:ctrlPr>
                          <a:rPr lang="pt-BR" sz="20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pt-BR" sz="2000" b="0" i="1">
                            <a:latin typeface="Cambria Math" panose="02040503050406030204" pitchFamily="18" charset="0"/>
                          </a:rPr>
                          <m:t>3</m:t>
                        </m:r>
                      </m:deg>
                      <m:e>
                        <m:sSubSup>
                          <m:sSubSupPr>
                            <m:ctrlPr>
                              <a:rPr lang="pt-BR" sz="2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𝑐𝑘</m:t>
                            </m:r>
                          </m:sub>
                          <m:sup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0C074E78-E74F-4B70-8D63-E5C8BCBFFF25}"/>
                </a:ext>
              </a:extLst>
            </xdr:cNvPr>
            <xdr:cNvSpPr txBox="1"/>
          </xdr:nvSpPr>
          <xdr:spPr>
            <a:xfrm>
              <a:off x="5959475" y="4003676"/>
              <a:ext cx="1981200" cy="62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2000" b="0" i="0">
                  <a:latin typeface="Cambria Math" panose="02040503050406030204" pitchFamily="18" charset="0"/>
                </a:rPr>
                <a:t>𝑓_(𝑐𝑡,𝑚)=0,3∛(𝑓_𝑐𝑘^2 )</a:t>
              </a:r>
              <a:endParaRPr lang="pt-BR" sz="2000"/>
            </a:p>
          </xdr:txBody>
        </xdr:sp>
      </mc:Fallback>
    </mc:AlternateContent>
    <xdr:clientData/>
  </xdr:oneCellAnchor>
  <xdr:oneCellAnchor>
    <xdr:from>
      <xdr:col>18</xdr:col>
      <xdr:colOff>47625</xdr:colOff>
      <xdr:row>18</xdr:row>
      <xdr:rowOff>14287</xdr:rowOff>
    </xdr:from>
    <xdr:ext cx="2781300" cy="7110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9730C731-55E7-4C12-8507-BA7E82C6A6ED}"/>
                </a:ext>
              </a:extLst>
            </xdr:cNvPr>
            <xdr:cNvSpPr txBox="1"/>
          </xdr:nvSpPr>
          <xdr:spPr>
            <a:xfrm>
              <a:off x="10144125" y="4529137"/>
              <a:ext cx="2781300" cy="71109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2000" b="0" i="1">
                        <a:latin typeface="Cambria Math" panose="02040503050406030204" pitchFamily="18" charset="0"/>
                      </a:rPr>
                      <m:t>𝐹𝐼</m:t>
                    </m:r>
                    <m:r>
                      <a:rPr lang="pt-BR" sz="2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384</m:t>
                        </m:r>
                      </m:den>
                    </m:f>
                    <m:f>
                      <m:f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𝑔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+0,3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)</m:t>
                        </m:r>
                        <m:sSubSup>
                          <m:sSubSupPr>
                            <m:ctrlPr>
                              <a:rPr lang="pt-BR" sz="2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𝑣</m:t>
                            </m:r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ã</m:t>
                            </m:r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  <m:sup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</m:sSubSup>
                      </m:num>
                      <m:den>
                        <m:sSub>
                          <m:sSubPr>
                            <m:ctrlPr>
                              <a:rPr lang="pt-BR" sz="2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𝑓𝑖𝑛𝑎𝑙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9730C731-55E7-4C12-8507-BA7E82C6A6ED}"/>
                </a:ext>
              </a:extLst>
            </xdr:cNvPr>
            <xdr:cNvSpPr txBox="1"/>
          </xdr:nvSpPr>
          <xdr:spPr>
            <a:xfrm>
              <a:off x="10144125" y="4529137"/>
              <a:ext cx="2781300" cy="71109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2000" b="0" i="0">
                  <a:latin typeface="Cambria Math" panose="02040503050406030204" pitchFamily="18" charset="0"/>
                </a:rPr>
                <a:t>𝐹𝐼=  5/384  ((𝑔+0,3𝑝)𝐿_𝑣ã𝑜^4)/〖𝐸𝐼〗_𝑓𝑖𝑛𝑎𝑙 </a:t>
              </a:r>
              <a:endParaRPr lang="pt-BR" sz="2000"/>
            </a:p>
          </xdr:txBody>
        </xdr:sp>
      </mc:Fallback>
    </mc:AlternateContent>
    <xdr:clientData/>
  </xdr:oneCellAnchor>
  <xdr:twoCellAnchor>
    <xdr:from>
      <xdr:col>15</xdr:col>
      <xdr:colOff>9526</xdr:colOff>
      <xdr:row>3</xdr:row>
      <xdr:rowOff>247650</xdr:rowOff>
    </xdr:from>
    <xdr:to>
      <xdr:col>23</xdr:col>
      <xdr:colOff>866775</xdr:colOff>
      <xdr:row>7</xdr:row>
      <xdr:rowOff>10609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aixaDeTexto 1">
              <a:extLst>
                <a:ext uri="{FF2B5EF4-FFF2-40B4-BE49-F238E27FC236}">
                  <a16:creationId xmlns:a16="http://schemas.microsoft.com/office/drawing/2014/main" id="{97FC2155-CD19-44A9-ACAE-08AE82A38430}"/>
                </a:ext>
              </a:extLst>
            </xdr:cNvPr>
            <xdr:cNvSpPr txBox="1"/>
          </xdr:nvSpPr>
          <xdr:spPr>
            <a:xfrm>
              <a:off x="8696326" y="847725"/>
              <a:ext cx="6143624" cy="8869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d>
                          <m:dPr>
                            <m:ctrlPr>
                              <a:rPr lang="pt-BR" sz="22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22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e>
                        </m:d>
                      </m:e>
                      <m:sub>
                        <m:r>
                          <a:rPr lang="pt-BR" sz="22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𝑒𝑞</m:t>
                        </m:r>
                      </m:sub>
                    </m:sSub>
                    <m:r>
                      <a:rPr lang="pt-BR" sz="2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𝑐𝑠</m:t>
                        </m:r>
                      </m:sub>
                    </m:sSub>
                    <m:d>
                      <m:dPr>
                        <m:begChr m:val="{"/>
                        <m:endChr m:val="}"/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pt-BR" sz="2200" i="1">
                                        <a:solidFill>
                                          <a:schemeClr val="tx1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𝑀</m:t>
                                        </m:r>
                                      </m:e>
                                      <m:sub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𝑟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𝑀</m:t>
                                        </m:r>
                                      </m:e>
                                      <m:sub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𝑎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sSub>
                          <m:sSub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p>
                              <m:sSupPr>
                                <m:ctrlP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200" i="1">
                                        <a:solidFill>
                                          <a:schemeClr val="tx1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b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𝑟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b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𝑎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</m:e>
                                </m:d>
                              </m:e>
                              <m:sup>
                                <m: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e>
                        </m:d>
                        <m:sSub>
                          <m:sSub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𝐼𝐼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pt-BR" sz="22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14" name="CaixaDeTexto 1">
              <a:extLst>
                <a:ext uri="{FF2B5EF4-FFF2-40B4-BE49-F238E27FC236}">
                  <a16:creationId xmlns:a16="http://schemas.microsoft.com/office/drawing/2014/main" id="{97FC2155-CD19-44A9-ACAE-08AE82A38430}"/>
                </a:ext>
              </a:extLst>
            </xdr:cNvPr>
            <xdr:cNvSpPr txBox="1"/>
          </xdr:nvSpPr>
          <xdr:spPr>
            <a:xfrm>
              <a:off x="8696326" y="847725"/>
              <a:ext cx="6143624" cy="8869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(𝐸𝐼)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_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𝑒𝑞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= 𝐸_𝑐𝑠 {(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𝑀_𝑟/𝑀_𝑎 )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^3 𝐼_𝑐+[1−(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𝑀_𝑟/𝑀_𝑎 )^3 ]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 𝐼_𝐼𝐼 }</a:t>
              </a:r>
              <a:endParaRPr lang="pt-BR" sz="22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  <xdr:twoCellAnchor editAs="oneCell">
    <xdr:from>
      <xdr:col>7</xdr:col>
      <xdr:colOff>2664</xdr:colOff>
      <xdr:row>3</xdr:row>
      <xdr:rowOff>37015</xdr:rowOff>
    </xdr:from>
    <xdr:to>
      <xdr:col>12</xdr:col>
      <xdr:colOff>628650</xdr:colOff>
      <xdr:row>8</xdr:row>
      <xdr:rowOff>39776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4506D0B-8B56-4CB5-8FAC-FFF58B735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88864" y="637090"/>
          <a:ext cx="4102611" cy="140293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7</xdr:row>
      <xdr:rowOff>19050</xdr:rowOff>
    </xdr:from>
    <xdr:to>
      <xdr:col>12</xdr:col>
      <xdr:colOff>676275</xdr:colOff>
      <xdr:row>7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3AE7F09-0D0D-4B6E-9F8D-D19B74A21473}"/>
            </a:ext>
          </a:extLst>
        </xdr:cNvPr>
        <xdr:cNvSpPr/>
      </xdr:nvSpPr>
      <xdr:spPr>
        <a:xfrm>
          <a:off x="7439025" y="1743075"/>
          <a:ext cx="60007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76200</xdr:colOff>
      <xdr:row>7</xdr:row>
      <xdr:rowOff>76200</xdr:rowOff>
    </xdr:from>
    <xdr:to>
      <xdr:col>12</xdr:col>
      <xdr:colOff>676275</xdr:colOff>
      <xdr:row>7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BC37499-60CB-435D-8143-48A92E78D032}"/>
            </a:ext>
          </a:extLst>
        </xdr:cNvPr>
        <xdr:cNvCxnSpPr/>
      </xdr:nvCxnSpPr>
      <xdr:spPr>
        <a:xfrm>
          <a:off x="7439025" y="1800225"/>
          <a:ext cx="600075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25</xdr:row>
      <xdr:rowOff>89314</xdr:rowOff>
    </xdr:from>
    <xdr:to>
      <xdr:col>4</xdr:col>
      <xdr:colOff>495300</xdr:colOff>
      <xdr:row>27</xdr:row>
      <xdr:rowOff>161923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D8284AC8-BFB2-44F9-B4E2-3099660D6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9894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1" y="6271039"/>
          <a:ext cx="2076449" cy="510759"/>
        </a:xfrm>
        <a:prstGeom prst="rect">
          <a:avLst/>
        </a:prstGeom>
      </xdr:spPr>
    </xdr:pic>
    <xdr:clientData/>
  </xdr:twoCellAnchor>
  <xdr:twoCellAnchor editAs="oneCell">
    <xdr:from>
      <xdr:col>7</xdr:col>
      <xdr:colOff>248708</xdr:colOff>
      <xdr:row>15</xdr:row>
      <xdr:rowOff>92769</xdr:rowOff>
    </xdr:from>
    <xdr:to>
      <xdr:col>9</xdr:col>
      <xdr:colOff>343958</xdr:colOff>
      <xdr:row>18</xdr:row>
      <xdr:rowOff>134540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2D038C81-3679-4A7C-913B-58561C266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34908" y="3969444"/>
          <a:ext cx="1466850" cy="6799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701675</xdr:colOff>
      <xdr:row>15</xdr:row>
      <xdr:rowOff>127001</xdr:rowOff>
    </xdr:from>
    <xdr:ext cx="1981200" cy="626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10">
              <a:extLst>
                <a:ext uri="{FF2B5EF4-FFF2-40B4-BE49-F238E27FC236}">
                  <a16:creationId xmlns:a16="http://schemas.microsoft.com/office/drawing/2014/main" id="{D739100F-B7E1-40DC-A4AF-DDF76D0B914D}"/>
                </a:ext>
              </a:extLst>
            </xdr:cNvPr>
            <xdr:cNvSpPr txBox="1"/>
          </xdr:nvSpPr>
          <xdr:spPr>
            <a:xfrm>
              <a:off x="5959475" y="4003676"/>
              <a:ext cx="1981200" cy="62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𝑐𝑡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pt-BR" sz="2000" b="0" i="1">
                        <a:latin typeface="Cambria Math" panose="02040503050406030204" pitchFamily="18" charset="0"/>
                      </a:rPr>
                      <m:t>=0,3</m:t>
                    </m:r>
                    <m:rad>
                      <m:radPr>
                        <m:ctrlPr>
                          <a:rPr lang="pt-BR" sz="20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pt-BR" sz="2000" b="0" i="1">
                            <a:latin typeface="Cambria Math" panose="02040503050406030204" pitchFamily="18" charset="0"/>
                          </a:rPr>
                          <m:t>3</m:t>
                        </m:r>
                      </m:deg>
                      <m:e>
                        <m:sSubSup>
                          <m:sSubSupPr>
                            <m:ctrlPr>
                              <a:rPr lang="pt-BR" sz="2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𝑐𝑘</m:t>
                            </m:r>
                          </m:sub>
                          <m:sup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4" name="CaixaDeTexto 10">
              <a:extLst>
                <a:ext uri="{FF2B5EF4-FFF2-40B4-BE49-F238E27FC236}">
                  <a16:creationId xmlns:a16="http://schemas.microsoft.com/office/drawing/2014/main" id="{D739100F-B7E1-40DC-A4AF-DDF76D0B914D}"/>
                </a:ext>
              </a:extLst>
            </xdr:cNvPr>
            <xdr:cNvSpPr txBox="1"/>
          </xdr:nvSpPr>
          <xdr:spPr>
            <a:xfrm>
              <a:off x="5959475" y="4003676"/>
              <a:ext cx="1981200" cy="62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2000" b="0" i="0">
                  <a:latin typeface="Cambria Math" panose="02040503050406030204" pitchFamily="18" charset="0"/>
                </a:rPr>
                <a:t>𝑓_(𝑐𝑡,𝑚)=0,3∛(𝑓_𝑐𝑘^2 )</a:t>
              </a:r>
              <a:endParaRPr lang="pt-BR" sz="2000"/>
            </a:p>
          </xdr:txBody>
        </xdr:sp>
      </mc:Fallback>
    </mc:AlternateContent>
    <xdr:clientData/>
  </xdr:oneCellAnchor>
  <xdr:oneCellAnchor>
    <xdr:from>
      <xdr:col>18</xdr:col>
      <xdr:colOff>47625</xdr:colOff>
      <xdr:row>18</xdr:row>
      <xdr:rowOff>14287</xdr:rowOff>
    </xdr:from>
    <xdr:ext cx="2781300" cy="7110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12">
              <a:extLst>
                <a:ext uri="{FF2B5EF4-FFF2-40B4-BE49-F238E27FC236}">
                  <a16:creationId xmlns:a16="http://schemas.microsoft.com/office/drawing/2014/main" id="{36679671-2EEF-4CD9-BAD5-D83CFD68F210}"/>
                </a:ext>
              </a:extLst>
            </xdr:cNvPr>
            <xdr:cNvSpPr txBox="1"/>
          </xdr:nvSpPr>
          <xdr:spPr>
            <a:xfrm>
              <a:off x="10144125" y="4529137"/>
              <a:ext cx="2781300" cy="71109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2000" b="0" i="1">
                        <a:latin typeface="Cambria Math" panose="02040503050406030204" pitchFamily="18" charset="0"/>
                      </a:rPr>
                      <m:t>𝐹𝐼</m:t>
                    </m:r>
                    <m:r>
                      <a:rPr lang="pt-BR" sz="2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384</m:t>
                        </m:r>
                      </m:den>
                    </m:f>
                    <m:f>
                      <m:f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𝑔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+0,3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)</m:t>
                        </m:r>
                        <m:sSubSup>
                          <m:sSubSupPr>
                            <m:ctrlPr>
                              <a:rPr lang="pt-BR" sz="2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𝑣</m:t>
                            </m:r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ã</m:t>
                            </m:r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  <m:sup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</m:sSubSup>
                      </m:num>
                      <m:den>
                        <m:sSub>
                          <m:sSubPr>
                            <m:ctrlPr>
                              <a:rPr lang="pt-BR" sz="2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e>
                          <m:sub>
                            <m:r>
                              <a:rPr lang="pt-BR" sz="2000" b="0" i="1">
                                <a:latin typeface="Cambria Math" panose="02040503050406030204" pitchFamily="18" charset="0"/>
                              </a:rPr>
                              <m:t>𝑓𝑖𝑛𝑎𝑙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5" name="CaixaDeTexto 12">
              <a:extLst>
                <a:ext uri="{FF2B5EF4-FFF2-40B4-BE49-F238E27FC236}">
                  <a16:creationId xmlns:a16="http://schemas.microsoft.com/office/drawing/2014/main" id="{36679671-2EEF-4CD9-BAD5-D83CFD68F210}"/>
                </a:ext>
              </a:extLst>
            </xdr:cNvPr>
            <xdr:cNvSpPr txBox="1"/>
          </xdr:nvSpPr>
          <xdr:spPr>
            <a:xfrm>
              <a:off x="10144125" y="4529137"/>
              <a:ext cx="2781300" cy="71109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2000" b="0" i="0">
                  <a:latin typeface="Cambria Math" panose="02040503050406030204" pitchFamily="18" charset="0"/>
                </a:rPr>
                <a:t>𝐹𝐼=  5/384  ((𝑔+0,3𝑝)𝐿_𝑣ã𝑜^4)/〖𝐸𝐼〗_𝑓𝑖𝑛𝑎𝑙 </a:t>
              </a:r>
              <a:endParaRPr lang="pt-BR" sz="2000"/>
            </a:p>
          </xdr:txBody>
        </xdr:sp>
      </mc:Fallback>
    </mc:AlternateContent>
    <xdr:clientData/>
  </xdr:oneCellAnchor>
  <xdr:twoCellAnchor>
    <xdr:from>
      <xdr:col>15</xdr:col>
      <xdr:colOff>9526</xdr:colOff>
      <xdr:row>3</xdr:row>
      <xdr:rowOff>247650</xdr:rowOff>
    </xdr:from>
    <xdr:to>
      <xdr:col>23</xdr:col>
      <xdr:colOff>866775</xdr:colOff>
      <xdr:row>7</xdr:row>
      <xdr:rowOff>10609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1">
              <a:extLst>
                <a:ext uri="{FF2B5EF4-FFF2-40B4-BE49-F238E27FC236}">
                  <a16:creationId xmlns:a16="http://schemas.microsoft.com/office/drawing/2014/main" id="{BC40941E-1E80-4261-96D0-B76E5DC0503A}"/>
                </a:ext>
              </a:extLst>
            </xdr:cNvPr>
            <xdr:cNvSpPr txBox="1"/>
          </xdr:nvSpPr>
          <xdr:spPr>
            <a:xfrm>
              <a:off x="8696326" y="847725"/>
              <a:ext cx="6143624" cy="8869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d>
                          <m:dPr>
                            <m:ctrlPr>
                              <a:rPr lang="pt-BR" sz="22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22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𝐸𝐼</m:t>
                            </m:r>
                          </m:e>
                        </m:d>
                      </m:e>
                      <m:sub>
                        <m:r>
                          <a:rPr lang="pt-BR" sz="22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𝑒𝑞</m:t>
                        </m:r>
                      </m:sub>
                    </m:sSub>
                    <m:r>
                      <a:rPr lang="pt-BR" sz="22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𝑐𝑠</m:t>
                        </m:r>
                      </m:sub>
                    </m:sSub>
                    <m:d>
                      <m:dPr>
                        <m:begChr m:val="{"/>
                        <m:endChr m:val="}"/>
                        <m:ctrlP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pt-BR" sz="2200" i="1">
                                        <a:solidFill>
                                          <a:schemeClr val="tx1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𝑀</m:t>
                                        </m:r>
                                      </m:e>
                                      <m:sub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𝑟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𝑀</m:t>
                                        </m:r>
                                      </m:e>
                                      <m:sub>
                                        <m: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𝑎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sSub>
                          <m:sSub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  <m:r>
                          <a:rPr lang="pt-BR" sz="2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p>
                              <m:sSupPr>
                                <m:ctrlP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200" i="1">
                                        <a:solidFill>
                                          <a:schemeClr val="tx1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pt-BR" sz="2200" i="1">
                                            <a:solidFill>
                                              <a:schemeClr val="tx1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b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𝑟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b>
                                            <m:r>
                                              <a:rPr lang="pt-BR" sz="2200" i="1">
                                                <a:solidFill>
                                                  <a:schemeClr val="tx1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𝑎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</m:e>
                                </m:d>
                              </m:e>
                              <m:sup>
                                <m:r>
                                  <a:rPr lang="pt-BR" sz="2200" i="1">
                                    <a:solidFill>
                                      <a:schemeClr val="tx1"/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e>
                        </m:d>
                        <m:sSub>
                          <m:sSubPr>
                            <m:ctrlP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pt-BR" sz="22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</a:rPr>
                              <m:t>𝐼𝐼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pt-BR" sz="2200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6" name="CaixaDeTexto 1">
              <a:extLst>
                <a:ext uri="{FF2B5EF4-FFF2-40B4-BE49-F238E27FC236}">
                  <a16:creationId xmlns:a16="http://schemas.microsoft.com/office/drawing/2014/main" id="{BC40941E-1E80-4261-96D0-B76E5DC0503A}"/>
                </a:ext>
              </a:extLst>
            </xdr:cNvPr>
            <xdr:cNvSpPr txBox="1"/>
          </xdr:nvSpPr>
          <xdr:spPr>
            <a:xfrm>
              <a:off x="8696326" y="847725"/>
              <a:ext cx="6143624" cy="8869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(𝐸𝐼)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_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𝑒𝑞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= 𝐸_𝑐𝑠 {(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𝑀_𝑟/𝑀_𝑎 )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^3 𝐼_𝑐+[1−(</a:t>
              </a:r>
              <a:r>
                <a:rPr lang="pt-BR" sz="220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𝑀_𝑟/𝑀_𝑎 )^3 ]</a:t>
              </a:r>
              <a:r>
                <a:rPr lang="pt-BR" sz="2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 𝐼_𝐼𝐼 }</a:t>
              </a:r>
              <a:endParaRPr lang="pt-BR" sz="2200">
                <a:solidFill>
                  <a:schemeClr val="tx1"/>
                </a:solidFill>
              </a:endParaRPr>
            </a:p>
          </xdr:txBody>
        </xdr:sp>
      </mc:Fallback>
    </mc:AlternateContent>
    <xdr:clientData/>
  </xdr:twoCellAnchor>
  <xdr:twoCellAnchor editAs="oneCell">
    <xdr:from>
      <xdr:col>7</xdr:col>
      <xdr:colOff>342900</xdr:colOff>
      <xdr:row>2</xdr:row>
      <xdr:rowOff>37015</xdr:rowOff>
    </xdr:from>
    <xdr:to>
      <xdr:col>12</xdr:col>
      <xdr:colOff>628651</xdr:colOff>
      <xdr:row>5</xdr:row>
      <xdr:rowOff>123825</xdr:rowOff>
    </xdr:to>
    <xdr:pic>
      <xdr:nvPicPr>
        <xdr:cNvPr id="7" name="Imagem 14">
          <a:extLst>
            <a:ext uri="{FF2B5EF4-FFF2-40B4-BE49-F238E27FC236}">
              <a16:creationId xmlns:a16="http://schemas.microsoft.com/office/drawing/2014/main" id="{FC03329C-4770-434A-A408-ABB669EAE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882" r="4411" b="42892"/>
        <a:stretch/>
      </xdr:blipFill>
      <xdr:spPr>
        <a:xfrm>
          <a:off x="4229100" y="370390"/>
          <a:ext cx="3762376" cy="886910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7</xdr:row>
      <xdr:rowOff>19050</xdr:rowOff>
    </xdr:from>
    <xdr:to>
      <xdr:col>12</xdr:col>
      <xdr:colOff>676275</xdr:colOff>
      <xdr:row>7</xdr:row>
      <xdr:rowOff>209550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E8FABCD-EF7C-4B61-A0AD-FEB5C602DDE5}"/>
            </a:ext>
          </a:extLst>
        </xdr:cNvPr>
        <xdr:cNvSpPr/>
      </xdr:nvSpPr>
      <xdr:spPr>
        <a:xfrm>
          <a:off x="7439025" y="1743075"/>
          <a:ext cx="60007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523875</xdr:colOff>
      <xdr:row>3</xdr:row>
      <xdr:rowOff>76200</xdr:rowOff>
    </xdr:from>
    <xdr:to>
      <xdr:col>12</xdr:col>
      <xdr:colOff>638175</xdr:colOff>
      <xdr:row>7</xdr:row>
      <xdr:rowOff>239659</xdr:rowOff>
    </xdr:to>
    <xdr:pic>
      <xdr:nvPicPr>
        <xdr:cNvPr id="10" name="Picture 9" descr="Shear Force Bending Moment Diagram Cantilever Beam With And For ...">
          <a:extLst>
            <a:ext uri="{FF2B5EF4-FFF2-40B4-BE49-F238E27FC236}">
              <a16:creationId xmlns:a16="http://schemas.microsoft.com/office/drawing/2014/main" id="{E0B02DF8-4F4D-4F59-86E4-522E319197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0" t="6224" r="3475" b="47466"/>
        <a:stretch/>
      </xdr:blipFill>
      <xdr:spPr bwMode="auto">
        <a:xfrm>
          <a:off x="3800475" y="676275"/>
          <a:ext cx="4200525" cy="1287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456F-1F01-4A0A-8EAC-B7626E2E8AAC}">
  <dimension ref="C2:G8"/>
  <sheetViews>
    <sheetView showGridLines="0" topLeftCell="B1" zoomScale="210" zoomScaleNormal="210" workbookViewId="0">
      <selection activeCell="D15" sqref="D15"/>
    </sheetView>
  </sheetViews>
  <sheetFormatPr defaultRowHeight="15" x14ac:dyDescent="0.25"/>
  <cols>
    <col min="2" max="2" width="3.28515625" customWidth="1"/>
    <col min="3" max="3" width="9.140625" style="1"/>
    <col min="6" max="6" width="11.140625" customWidth="1"/>
    <col min="7" max="7" width="8.85546875" bestFit="1" customWidth="1"/>
  </cols>
  <sheetData>
    <row r="2" spans="3:7" ht="15.75" thickBot="1" x14ac:dyDescent="0.3"/>
    <row r="3" spans="3:7" ht="15.75" thickBot="1" x14ac:dyDescent="0.3">
      <c r="C3" s="60" t="s">
        <v>2</v>
      </c>
      <c r="D3" s="2" t="s">
        <v>1</v>
      </c>
      <c r="E3" s="6" t="s">
        <v>0</v>
      </c>
      <c r="F3" s="2" t="s">
        <v>3</v>
      </c>
      <c r="G3" s="3" t="s">
        <v>4</v>
      </c>
    </row>
    <row r="4" spans="3:7" ht="15.75" thickBot="1" x14ac:dyDescent="0.3">
      <c r="C4" s="61">
        <v>288</v>
      </c>
      <c r="D4" s="4">
        <v>16</v>
      </c>
      <c r="E4" s="64">
        <v>28</v>
      </c>
      <c r="F4" s="7">
        <f>$C$4/2/D4</f>
        <v>9</v>
      </c>
      <c r="G4" s="62">
        <f>($C$6-$C$8)/E4</f>
        <v>7</v>
      </c>
    </row>
    <row r="5" spans="3:7" ht="15.75" thickBot="1" x14ac:dyDescent="0.3">
      <c r="C5" s="60" t="s">
        <v>5</v>
      </c>
      <c r="D5" s="5">
        <v>16.5</v>
      </c>
      <c r="E5" s="65">
        <v>29</v>
      </c>
      <c r="F5" s="8">
        <f t="shared" ref="F5:F8" si="0">$C$4/2/D5</f>
        <v>8.7272727272727266</v>
      </c>
      <c r="G5" s="63">
        <f>($C$6-$C$8)/E5</f>
        <v>6.7586206896551726</v>
      </c>
    </row>
    <row r="6" spans="3:7" ht="15.75" thickBot="1" x14ac:dyDescent="0.3">
      <c r="C6" s="61">
        <v>316</v>
      </c>
      <c r="D6" s="4">
        <v>17</v>
      </c>
      <c r="E6" s="64">
        <v>30</v>
      </c>
      <c r="F6" s="7">
        <f t="shared" si="0"/>
        <v>8.4705882352941178</v>
      </c>
      <c r="G6" s="62">
        <f>($C$6-$C$8)/E6</f>
        <v>6.5333333333333332</v>
      </c>
    </row>
    <row r="7" spans="3:7" ht="15.75" thickBot="1" x14ac:dyDescent="0.3">
      <c r="C7" s="60" t="s">
        <v>6</v>
      </c>
      <c r="D7" s="5">
        <v>17.5</v>
      </c>
      <c r="E7" s="65">
        <v>31</v>
      </c>
      <c r="F7" s="8">
        <f t="shared" si="0"/>
        <v>8.2285714285714278</v>
      </c>
      <c r="G7" s="63">
        <f>($C$6-$C$8)/E7</f>
        <v>6.32258064516129</v>
      </c>
    </row>
    <row r="8" spans="3:7" ht="15.75" thickBot="1" x14ac:dyDescent="0.3">
      <c r="C8" s="61">
        <v>120</v>
      </c>
      <c r="D8" s="4">
        <v>18</v>
      </c>
      <c r="E8" s="64">
        <v>32</v>
      </c>
      <c r="F8" s="7">
        <f t="shared" si="0"/>
        <v>8</v>
      </c>
      <c r="G8" s="62">
        <f>($C$6-$C$8)/E8</f>
        <v>6.125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74F4-4447-4A52-AC3B-A55938295327}">
  <dimension ref="B2:N17"/>
  <sheetViews>
    <sheetView showGridLines="0" zoomScale="130" zoomScaleNormal="130" workbookViewId="0">
      <selection activeCell="G15" sqref="G15"/>
    </sheetView>
  </sheetViews>
  <sheetFormatPr defaultRowHeight="18.75" x14ac:dyDescent="0.3"/>
  <cols>
    <col min="1" max="1" width="5.28515625" customWidth="1"/>
    <col min="3" max="3" width="13" customWidth="1"/>
    <col min="5" max="5" width="2" customWidth="1"/>
    <col min="6" max="6" width="14.7109375" customWidth="1"/>
    <col min="7" max="7" width="24.28515625" customWidth="1"/>
    <col min="10" max="10" width="1.28515625" style="54" customWidth="1"/>
    <col min="11" max="11" width="9.7109375" style="22" customWidth="1"/>
    <col min="12" max="12" width="19.7109375" customWidth="1"/>
    <col min="13" max="13" width="16.140625" customWidth="1"/>
    <col min="14" max="14" width="18.5703125" customWidth="1"/>
  </cols>
  <sheetData>
    <row r="2" spans="2:14" ht="19.5" thickBot="1" x14ac:dyDescent="0.35"/>
    <row r="3" spans="2:14" ht="21" thickBot="1" x14ac:dyDescent="0.35">
      <c r="B3" s="109" t="s">
        <v>37</v>
      </c>
      <c r="C3" s="110"/>
      <c r="F3" s="111" t="s">
        <v>67</v>
      </c>
      <c r="G3" s="112"/>
      <c r="L3" s="106" t="s">
        <v>75</v>
      </c>
      <c r="M3" s="107"/>
      <c r="N3" s="108"/>
    </row>
    <row r="4" spans="2:14" ht="20.25" x14ac:dyDescent="0.3">
      <c r="B4" s="48" t="s">
        <v>8</v>
      </c>
      <c r="C4" s="45">
        <v>16</v>
      </c>
      <c r="D4" s="53" t="s">
        <v>9</v>
      </c>
      <c r="F4" s="31" t="s">
        <v>61</v>
      </c>
      <c r="G4" s="51">
        <f>(C5/0.8)*(1-SQRT(1-(2*100*1.4*C6/(0.85*C9*C7*C5*C5/(1.4)))))</f>
        <v>1.9358115852903153</v>
      </c>
      <c r="H4" s="53" t="s">
        <v>9</v>
      </c>
      <c r="I4" s="53"/>
      <c r="L4" s="68" t="s">
        <v>66</v>
      </c>
      <c r="M4" s="74" t="s">
        <v>65</v>
      </c>
      <c r="N4" s="71" t="s">
        <v>74</v>
      </c>
    </row>
    <row r="5" spans="2:14" ht="21" thickBot="1" x14ac:dyDescent="0.35">
      <c r="B5" s="49" t="s">
        <v>34</v>
      </c>
      <c r="C5" s="46">
        <f>C4-2.5</f>
        <v>13.5</v>
      </c>
      <c r="D5" s="53" t="s">
        <v>9</v>
      </c>
      <c r="F5" s="34" t="s">
        <v>30</v>
      </c>
      <c r="G5" s="52">
        <f>0.68*(C9/1.4)*C7*G4/(C8/1.15)</f>
        <v>6.4877342558444004</v>
      </c>
      <c r="H5" s="53" t="s">
        <v>62</v>
      </c>
      <c r="I5" s="53"/>
      <c r="L5" s="69">
        <v>0.31</v>
      </c>
      <c r="M5" s="75">
        <v>6.3</v>
      </c>
      <c r="N5" s="72">
        <f t="shared" ref="N5:N10" si="0">INT(L5*100/$G$5)</f>
        <v>4</v>
      </c>
    </row>
    <row r="6" spans="2:14" ht="24" thickBot="1" x14ac:dyDescent="0.45">
      <c r="B6" s="49" t="s">
        <v>63</v>
      </c>
      <c r="C6" s="46">
        <v>2564</v>
      </c>
      <c r="D6" s="53" t="s">
        <v>22</v>
      </c>
      <c r="F6" s="66"/>
      <c r="L6" s="69">
        <v>0.5</v>
      </c>
      <c r="M6" s="75">
        <v>8</v>
      </c>
      <c r="N6" s="78">
        <f t="shared" si="0"/>
        <v>7</v>
      </c>
    </row>
    <row r="7" spans="2:14" ht="21" thickBot="1" x14ac:dyDescent="0.35">
      <c r="B7" s="49" t="s">
        <v>7</v>
      </c>
      <c r="C7" s="46">
        <v>100</v>
      </c>
      <c r="D7" s="53" t="s">
        <v>9</v>
      </c>
      <c r="F7" s="67" t="s">
        <v>68</v>
      </c>
      <c r="G7" s="55">
        <f>G4/C5</f>
        <v>0.14339345076224558</v>
      </c>
      <c r="L7" s="69">
        <v>0.8</v>
      </c>
      <c r="M7" s="75">
        <v>10</v>
      </c>
      <c r="N7" s="78">
        <f t="shared" si="0"/>
        <v>12</v>
      </c>
    </row>
    <row r="8" spans="2:14" ht="23.25" x14ac:dyDescent="0.4">
      <c r="B8" s="49" t="s">
        <v>64</v>
      </c>
      <c r="C8" s="46">
        <v>5000</v>
      </c>
      <c r="D8" s="53" t="s">
        <v>11</v>
      </c>
      <c r="L8" s="69">
        <v>1.25</v>
      </c>
      <c r="M8" s="75">
        <v>12.5</v>
      </c>
      <c r="N8" s="72">
        <f t="shared" si="0"/>
        <v>19</v>
      </c>
    </row>
    <row r="9" spans="2:14" ht="24" thickBot="1" x14ac:dyDescent="0.45">
      <c r="B9" s="50" t="s">
        <v>48</v>
      </c>
      <c r="C9" s="47">
        <v>300</v>
      </c>
      <c r="D9" s="53" t="s">
        <v>11</v>
      </c>
      <c r="L9" s="69">
        <v>2</v>
      </c>
      <c r="M9" s="75">
        <v>16</v>
      </c>
      <c r="N9" s="72">
        <f t="shared" si="0"/>
        <v>30</v>
      </c>
    </row>
    <row r="10" spans="2:14" ht="21" thickBot="1" x14ac:dyDescent="0.35">
      <c r="L10" s="70">
        <v>3.14</v>
      </c>
      <c r="M10" s="76">
        <v>20</v>
      </c>
      <c r="N10" s="73">
        <f t="shared" si="0"/>
        <v>48</v>
      </c>
    </row>
    <row r="12" spans="2:14" ht="19.5" thickBot="1" x14ac:dyDescent="0.35"/>
    <row r="13" spans="2:14" ht="21" thickBot="1" x14ac:dyDescent="0.35">
      <c r="L13" s="58" t="s">
        <v>69</v>
      </c>
      <c r="M13" s="56">
        <f>C4/8*10</f>
        <v>20</v>
      </c>
      <c r="N13" s="53" t="s">
        <v>9</v>
      </c>
    </row>
    <row r="14" spans="2:14" ht="21" thickBot="1" x14ac:dyDescent="0.35">
      <c r="L14" s="57" t="s">
        <v>70</v>
      </c>
      <c r="M14" s="56">
        <f>IF(20&lt;2*C4,20,2*C4)</f>
        <v>20</v>
      </c>
      <c r="N14" s="53" t="s">
        <v>9</v>
      </c>
    </row>
    <row r="15" spans="2:14" ht="21" thickBot="1" x14ac:dyDescent="0.35">
      <c r="L15" s="57" t="s">
        <v>71</v>
      </c>
      <c r="M15" s="56">
        <f>0.0015*C4*C7</f>
        <v>2.4</v>
      </c>
      <c r="N15" s="53" t="s">
        <v>31</v>
      </c>
    </row>
    <row r="16" spans="2:14" ht="21" thickBot="1" x14ac:dyDescent="0.35">
      <c r="L16" s="57" t="s">
        <v>72</v>
      </c>
      <c r="M16" s="56">
        <f>M15</f>
        <v>2.4</v>
      </c>
      <c r="N16" s="53" t="s">
        <v>31</v>
      </c>
    </row>
    <row r="17" spans="12:14" ht="21" thickBot="1" x14ac:dyDescent="0.35">
      <c r="L17" s="57" t="s">
        <v>73</v>
      </c>
      <c r="M17" s="59">
        <f>MAX(0.5*0.0015*C7*C4,0.9,G5/5)</f>
        <v>1.2975468511688801</v>
      </c>
      <c r="N17" s="53" t="s">
        <v>31</v>
      </c>
    </row>
  </sheetData>
  <mergeCells count="3">
    <mergeCell ref="L3:N3"/>
    <mergeCell ref="B3:C3"/>
    <mergeCell ref="F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2525-61D7-46B5-9BC6-1C3ED700488A}">
  <dimension ref="B1:AW31"/>
  <sheetViews>
    <sheetView showGridLines="0" zoomScaleNormal="100" workbookViewId="0">
      <selection activeCell="U27" sqref="U27"/>
    </sheetView>
  </sheetViews>
  <sheetFormatPr defaultRowHeight="15" x14ac:dyDescent="0.25"/>
  <cols>
    <col min="1" max="1" width="2" customWidth="1"/>
    <col min="2" max="2" width="9.140625" style="1"/>
    <col min="3" max="3" width="11.85546875" style="1" customWidth="1"/>
    <col min="4" max="4" width="15.85546875" customWidth="1"/>
    <col min="6" max="6" width="1.140625" style="14" customWidth="1"/>
    <col min="9" max="9" width="11.42578125" style="1" bestFit="1" customWidth="1"/>
    <col min="10" max="10" width="13.28515625" style="1" bestFit="1" customWidth="1"/>
    <col min="13" max="13" width="10.5703125" bestFit="1" customWidth="1"/>
    <col min="14" max="14" width="8.5703125" customWidth="1"/>
    <col min="15" max="15" width="0.7109375" style="14" customWidth="1"/>
    <col min="16" max="16" width="6.85546875" customWidth="1"/>
    <col min="18" max="18" width="5.140625" customWidth="1"/>
    <col min="19" max="19" width="6.5703125" customWidth="1"/>
    <col min="20" max="20" width="15.7109375" bestFit="1" customWidth="1"/>
    <col min="21" max="21" width="15.42578125" customWidth="1"/>
    <col min="22" max="22" width="10.140625" customWidth="1"/>
    <col min="23" max="23" width="10.28515625" customWidth="1"/>
    <col min="24" max="24" width="13.42578125" customWidth="1"/>
    <col min="25" max="25" width="15.140625" style="14" customWidth="1"/>
    <col min="26" max="26" width="16.5703125" style="14" customWidth="1"/>
    <col min="27" max="27" width="15.85546875" style="14" customWidth="1"/>
    <col min="28" max="28" width="49.42578125" style="14" customWidth="1"/>
    <col min="29" max="29" width="35.140625" customWidth="1"/>
    <col min="30" max="30" width="11.42578125" bestFit="1" customWidth="1"/>
    <col min="31" max="31" width="11" bestFit="1" customWidth="1"/>
  </cols>
  <sheetData>
    <row r="1" spans="2:49" ht="4.5" customHeight="1" thickBot="1" x14ac:dyDescent="0.3"/>
    <row r="2" spans="2:49" ht="21.75" thickBot="1" x14ac:dyDescent="0.4">
      <c r="B2" s="117" t="s">
        <v>37</v>
      </c>
      <c r="C2" s="118"/>
      <c r="D2" s="20"/>
      <c r="G2" s="120" t="s">
        <v>43</v>
      </c>
      <c r="H2" s="120"/>
      <c r="I2" s="120"/>
      <c r="J2" s="120"/>
      <c r="K2" s="120"/>
      <c r="L2" s="120"/>
      <c r="M2" s="120"/>
      <c r="N2" s="120"/>
      <c r="Q2" s="120" t="s">
        <v>44</v>
      </c>
      <c r="R2" s="120"/>
      <c r="S2" s="120"/>
      <c r="T2" s="120"/>
      <c r="U2" s="120"/>
      <c r="V2" s="120"/>
      <c r="W2" s="120"/>
    </row>
    <row r="3" spans="2:49" ht="21" x14ac:dyDescent="0.35">
      <c r="B3" s="25" t="s">
        <v>7</v>
      </c>
      <c r="C3" s="41">
        <v>171</v>
      </c>
      <c r="D3" s="20" t="s">
        <v>9</v>
      </c>
      <c r="P3" s="121" t="s">
        <v>45</v>
      </c>
      <c r="Q3" s="121"/>
      <c r="R3" s="121"/>
      <c r="S3" s="121"/>
      <c r="T3" s="121"/>
      <c r="U3" s="121"/>
      <c r="V3" s="121"/>
      <c r="W3" s="121"/>
      <c r="X3" s="121"/>
    </row>
    <row r="4" spans="2:49" ht="21" x14ac:dyDescent="0.35">
      <c r="B4" s="26" t="s">
        <v>8</v>
      </c>
      <c r="C4" s="42">
        <v>16</v>
      </c>
      <c r="D4" s="20" t="s">
        <v>9</v>
      </c>
      <c r="P4" s="121"/>
      <c r="Q4" s="121"/>
      <c r="R4" s="121"/>
      <c r="S4" s="121"/>
      <c r="T4" s="121"/>
      <c r="U4" s="121"/>
      <c r="V4" s="121"/>
      <c r="W4" s="121"/>
      <c r="X4" s="121"/>
    </row>
    <row r="5" spans="2:49" ht="21" x14ac:dyDescent="0.35">
      <c r="B5" s="26" t="s">
        <v>59</v>
      </c>
      <c r="C5" s="42">
        <v>1.5</v>
      </c>
      <c r="D5" s="20" t="s">
        <v>39</v>
      </c>
    </row>
    <row r="6" spans="2:49" ht="23.25" x14ac:dyDescent="0.4">
      <c r="B6" s="26" t="s">
        <v>47</v>
      </c>
      <c r="C6" s="42">
        <f>C4/2</f>
        <v>8</v>
      </c>
      <c r="D6" s="20" t="s">
        <v>9</v>
      </c>
    </row>
    <row r="7" spans="2:49" ht="23.25" x14ac:dyDescent="0.4">
      <c r="B7" s="26" t="s">
        <v>48</v>
      </c>
      <c r="C7" s="42">
        <v>300</v>
      </c>
      <c r="D7" s="20" t="s">
        <v>11</v>
      </c>
    </row>
    <row r="8" spans="2:49" ht="21.75" thickBot="1" x14ac:dyDescent="0.4">
      <c r="B8" s="27" t="s">
        <v>17</v>
      </c>
      <c r="C8" s="42">
        <v>210000</v>
      </c>
      <c r="D8" s="20" t="s">
        <v>10</v>
      </c>
      <c r="M8" s="11"/>
    </row>
    <row r="9" spans="2:49" ht="21" x14ac:dyDescent="0.35">
      <c r="B9" s="27" t="s">
        <v>19</v>
      </c>
      <c r="C9" s="42">
        <v>750</v>
      </c>
      <c r="D9" s="20" t="s">
        <v>21</v>
      </c>
      <c r="M9" s="9"/>
      <c r="T9" s="31" t="s">
        <v>16</v>
      </c>
      <c r="U9" s="32">
        <f>(0.8+0.2*(C7/800))*(1*5600*SQRT(C7/10))*10</f>
        <v>268384.0531775314</v>
      </c>
      <c r="V9" s="16" t="s">
        <v>11</v>
      </c>
    </row>
    <row r="10" spans="2:49" ht="21.75" thickBot="1" x14ac:dyDescent="0.4">
      <c r="B10" s="27" t="s">
        <v>20</v>
      </c>
      <c r="C10" s="42">
        <v>300</v>
      </c>
      <c r="D10" s="20" t="s">
        <v>21</v>
      </c>
      <c r="T10" s="33" t="s">
        <v>14</v>
      </c>
      <c r="U10" s="17">
        <f>(K11)*(C11/100)^2/8</f>
        <v>3413.1736800000008</v>
      </c>
      <c r="V10" s="16" t="s">
        <v>22</v>
      </c>
    </row>
    <row r="11" spans="2:49" ht="21.75" thickBot="1" x14ac:dyDescent="0.4">
      <c r="B11" s="27" t="s">
        <v>23</v>
      </c>
      <c r="C11" s="42">
        <v>436</v>
      </c>
      <c r="D11" s="20" t="s">
        <v>9</v>
      </c>
      <c r="I11" s="113" t="s">
        <v>38</v>
      </c>
      <c r="J11" s="114"/>
      <c r="K11" s="24">
        <f>(C9+0.3*C10)*C3/100</f>
        <v>1436.4</v>
      </c>
      <c r="L11" s="22" t="s">
        <v>76</v>
      </c>
      <c r="T11" s="33" t="s">
        <v>18</v>
      </c>
      <c r="U11" s="15">
        <f>10*C8/U9</f>
        <v>7.8246079643595161</v>
      </c>
      <c r="V11" s="16" t="s">
        <v>53</v>
      </c>
    </row>
    <row r="12" spans="2:49" ht="21.75" thickBot="1" x14ac:dyDescent="0.4">
      <c r="B12" s="27" t="s">
        <v>30</v>
      </c>
      <c r="C12" s="77">
        <f>DIMENSIONAMENTO!G5</f>
        <v>6.4877342558444004</v>
      </c>
      <c r="D12" s="20" t="s">
        <v>31</v>
      </c>
      <c r="T12" s="33" t="s">
        <v>25</v>
      </c>
      <c r="U12" s="15">
        <f>AS16</f>
        <v>2.3888184907020862</v>
      </c>
      <c r="V12" s="16" t="s">
        <v>35</v>
      </c>
      <c r="AD12" s="119"/>
      <c r="AE12" s="119"/>
    </row>
    <row r="13" spans="2:49" ht="21.75" thickBot="1" x14ac:dyDescent="0.4">
      <c r="B13" s="28" t="s">
        <v>34</v>
      </c>
      <c r="C13" s="43">
        <v>12</v>
      </c>
      <c r="D13" s="20" t="s">
        <v>35</v>
      </c>
      <c r="T13" s="33" t="s">
        <v>27</v>
      </c>
      <c r="U13" s="17">
        <f>(C3*U12^3/12)+C3*U12*((U12/2)^2)+U11*C12*(C13-U12)^2</f>
        <v>5466.3186340151979</v>
      </c>
      <c r="V13" s="16" t="s">
        <v>12</v>
      </c>
      <c r="AQ13" s="1" t="s">
        <v>28</v>
      </c>
      <c r="AR13" s="1" t="s">
        <v>29</v>
      </c>
      <c r="AS13" s="1">
        <f>2*C12*U11/C3</f>
        <v>0.5937307266541304</v>
      </c>
      <c r="AT13" s="1" t="s">
        <v>32</v>
      </c>
      <c r="AU13" s="1" t="s">
        <v>33</v>
      </c>
      <c r="AV13" s="1">
        <f>2*C12*C13*U11/C3</f>
        <v>7.1247687198495653</v>
      </c>
      <c r="AW13" s="1">
        <f>0</f>
        <v>0</v>
      </c>
    </row>
    <row r="14" spans="2:49" ht="18.75" x14ac:dyDescent="0.3">
      <c r="T14" s="33" t="s">
        <v>15</v>
      </c>
      <c r="U14" s="18">
        <f>U9*(((K23/U10)^3)*K21+(1-(K23/U10)^3)*U13)</f>
        <v>12840347886.965376</v>
      </c>
      <c r="V14" s="16" t="s">
        <v>26</v>
      </c>
      <c r="W14" t="s">
        <v>60</v>
      </c>
    </row>
    <row r="15" spans="2:49" ht="21" thickBot="1" x14ac:dyDescent="0.35">
      <c r="H15" s="120" t="s">
        <v>42</v>
      </c>
      <c r="I15" s="120"/>
      <c r="J15" s="120"/>
      <c r="K15" s="120"/>
      <c r="L15" s="120"/>
      <c r="M15" s="120"/>
      <c r="T15" s="34" t="s">
        <v>54</v>
      </c>
      <c r="U15" s="35">
        <f>U9*K21</f>
        <v>15665040415.866154</v>
      </c>
      <c r="V15" s="16" t="s">
        <v>26</v>
      </c>
      <c r="AR15" t="s">
        <v>36</v>
      </c>
      <c r="AS15">
        <f>SQRT(AS13*AS13-4*1*(-AV13))</f>
        <v>5.3713677080583029</v>
      </c>
    </row>
    <row r="16" spans="2:49" ht="15.75" thickBot="1" x14ac:dyDescent="0.3">
      <c r="AR16" t="s">
        <v>25</v>
      </c>
      <c r="AS16">
        <f>(-AS13+AS15)/2</f>
        <v>2.3888184907020862</v>
      </c>
    </row>
    <row r="17" spans="2:45" ht="19.5" thickBot="1" x14ac:dyDescent="0.35">
      <c r="T17" s="29" t="s">
        <v>55</v>
      </c>
      <c r="U17" s="30">
        <f>IF(K23&gt;U10,U15,U14)</f>
        <v>12840347886.965376</v>
      </c>
      <c r="V17" s="16" t="s">
        <v>26</v>
      </c>
      <c r="AS17">
        <f>(-AS13-AS15)/2</f>
        <v>-2.9825492173562167</v>
      </c>
    </row>
    <row r="18" spans="2:45" x14ac:dyDescent="0.25">
      <c r="AF18" s="1" t="s">
        <v>33</v>
      </c>
    </row>
    <row r="20" spans="2:45" ht="15.75" thickBot="1" x14ac:dyDescent="0.3"/>
    <row r="21" spans="2:45" ht="22.5" x14ac:dyDescent="0.3">
      <c r="J21" s="31" t="s">
        <v>46</v>
      </c>
      <c r="K21" s="21">
        <f>C3*C4^3/12</f>
        <v>58368</v>
      </c>
      <c r="L21" s="22" t="s">
        <v>52</v>
      </c>
    </row>
    <row r="22" spans="2:45" ht="21" thickBot="1" x14ac:dyDescent="0.4">
      <c r="J22" s="33" t="s">
        <v>51</v>
      </c>
      <c r="K22" s="23">
        <f>0.3*(C7/10)^(2/3)</f>
        <v>2.896468153816889</v>
      </c>
      <c r="L22" s="22" t="s">
        <v>10</v>
      </c>
      <c r="AD22" s="1"/>
      <c r="AE22" s="1"/>
    </row>
    <row r="23" spans="2:45" ht="19.5" thickBot="1" x14ac:dyDescent="0.35">
      <c r="J23" s="34" t="s">
        <v>13</v>
      </c>
      <c r="K23" s="36">
        <f>0.1*C5*K22*K21/C6</f>
        <v>3169.8947475372038</v>
      </c>
      <c r="L23" s="22" t="s">
        <v>24</v>
      </c>
      <c r="T23" s="39" t="s">
        <v>56</v>
      </c>
      <c r="U23" s="38">
        <f>0.01*(5/384)*K11*(C11)^4/U17</f>
        <v>0.52636056345022497</v>
      </c>
      <c r="V23" t="s">
        <v>9</v>
      </c>
      <c r="AD23" s="10"/>
    </row>
    <row r="24" spans="2:45" ht="18" x14ac:dyDescent="0.25">
      <c r="B24"/>
      <c r="C24" s="12" t="s">
        <v>40</v>
      </c>
      <c r="D24" s="1"/>
      <c r="X24" s="13"/>
      <c r="Y24" s="19"/>
      <c r="Z24" s="19"/>
      <c r="AA24" s="19"/>
      <c r="AB24" s="19"/>
    </row>
    <row r="25" spans="2:45" ht="19.5" x14ac:dyDescent="0.25">
      <c r="B25"/>
      <c r="C25" s="40" t="s">
        <v>41</v>
      </c>
      <c r="D25" s="40"/>
      <c r="J25"/>
      <c r="Q25" s="120" t="s">
        <v>49</v>
      </c>
      <c r="R25" s="120"/>
      <c r="S25" s="120"/>
      <c r="T25" s="120"/>
      <c r="U25" s="120"/>
      <c r="V25" s="120"/>
      <c r="W25" s="120"/>
    </row>
    <row r="26" spans="2:45" ht="15.75" thickBot="1" x14ac:dyDescent="0.3">
      <c r="B26"/>
      <c r="D26" s="1"/>
    </row>
    <row r="27" spans="2:45" ht="18.75" thickBot="1" x14ac:dyDescent="0.3">
      <c r="B27"/>
      <c r="D27" s="1"/>
      <c r="T27" s="37" t="s">
        <v>57</v>
      </c>
      <c r="U27" s="38">
        <f>U23*(1+2)</f>
        <v>1.5790816903506748</v>
      </c>
      <c r="V27" t="s">
        <v>9</v>
      </c>
    </row>
    <row r="28" spans="2:45" ht="18.75" thickBot="1" x14ac:dyDescent="0.3">
      <c r="B28"/>
      <c r="D28" s="1"/>
      <c r="T28" s="37" t="s">
        <v>58</v>
      </c>
      <c r="U28" s="38">
        <f>C11/250</f>
        <v>1.744</v>
      </c>
      <c r="V28" t="s">
        <v>9</v>
      </c>
    </row>
    <row r="29" spans="2:45" ht="16.5" thickBot="1" x14ac:dyDescent="0.3">
      <c r="C29" s="44" t="s">
        <v>50</v>
      </c>
      <c r="D29" s="44"/>
      <c r="E29" s="40"/>
      <c r="T29" s="115" t="str">
        <f>IF(U27&lt;=U28,"PASSOU","NÃO PASSOU")</f>
        <v>PASSOU</v>
      </c>
      <c r="U29" s="116"/>
    </row>
    <row r="30" spans="2:45" x14ac:dyDescent="0.25">
      <c r="B30"/>
      <c r="D30" s="1"/>
    </row>
    <row r="31" spans="2:45" x14ac:dyDescent="0.25">
      <c r="B31"/>
      <c r="D31" s="1"/>
    </row>
  </sheetData>
  <mergeCells count="9">
    <mergeCell ref="I11:J11"/>
    <mergeCell ref="T29:U29"/>
    <mergeCell ref="B2:C2"/>
    <mergeCell ref="AD12:AE12"/>
    <mergeCell ref="H15:M15"/>
    <mergeCell ref="G2:N2"/>
    <mergeCell ref="P3:X4"/>
    <mergeCell ref="Q2:W2"/>
    <mergeCell ref="Q25:W25"/>
  </mergeCells>
  <conditionalFormatting sqref="T29">
    <cfRule type="beginsWith" dxfId="3" priority="1" operator="beginsWith" text="N">
      <formula>LEFT(T29,LEN("N"))="N"</formula>
    </cfRule>
    <cfRule type="beginsWith" dxfId="2" priority="2" operator="beginsWith" text="P">
      <formula>LEFT(T29,LEN("P"))="P"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C90E-9ABC-460D-A546-197EE18DE64A}">
  <dimension ref="B2:P20"/>
  <sheetViews>
    <sheetView showGridLines="0" zoomScale="120" zoomScaleNormal="120" workbookViewId="0">
      <selection activeCell="L4" sqref="L4"/>
    </sheetView>
  </sheetViews>
  <sheetFormatPr defaultRowHeight="18.75" x14ac:dyDescent="0.3"/>
  <cols>
    <col min="1" max="1" width="5.28515625" customWidth="1"/>
    <col min="2" max="2" width="18.5703125" customWidth="1"/>
    <col min="3" max="3" width="13" customWidth="1"/>
    <col min="5" max="5" width="4.140625" customWidth="1"/>
    <col min="6" max="6" width="14.7109375" customWidth="1"/>
    <col min="7" max="7" width="17.140625" customWidth="1"/>
    <col min="10" max="10" width="1.28515625" style="54" customWidth="1"/>
    <col min="11" max="11" width="9.7109375" style="22" customWidth="1"/>
    <col min="12" max="12" width="19.7109375" customWidth="1"/>
    <col min="13" max="13" width="16.140625" customWidth="1"/>
    <col min="14" max="14" width="21.42578125" customWidth="1"/>
    <col min="15" max="15" width="12.7109375" bestFit="1" customWidth="1"/>
    <col min="16" max="16" width="15.85546875" bestFit="1" customWidth="1"/>
  </cols>
  <sheetData>
    <row r="2" spans="2:16" ht="19.5" thickBot="1" x14ac:dyDescent="0.35"/>
    <row r="3" spans="2:16" ht="21" thickBot="1" x14ac:dyDescent="0.35">
      <c r="B3" s="122" t="s">
        <v>37</v>
      </c>
      <c r="C3" s="123"/>
      <c r="F3" s="111" t="s">
        <v>85</v>
      </c>
      <c r="G3" s="112"/>
      <c r="L3" s="106" t="s">
        <v>97</v>
      </c>
      <c r="M3" s="107"/>
      <c r="N3" s="108"/>
    </row>
    <row r="4" spans="2:16" ht="20.25" x14ac:dyDescent="0.3">
      <c r="B4" s="48" t="s">
        <v>86</v>
      </c>
      <c r="C4" s="45">
        <v>130</v>
      </c>
      <c r="D4" t="s">
        <v>9</v>
      </c>
      <c r="F4" s="31" t="s">
        <v>19</v>
      </c>
      <c r="G4" s="81">
        <f>(C5*25+C8)*C10/100+(C7*C10/100)/(C4/100)</f>
        <v>144.30769230769232</v>
      </c>
      <c r="H4" t="s">
        <v>76</v>
      </c>
      <c r="L4" s="68" t="s">
        <v>66</v>
      </c>
      <c r="M4" s="74" t="s">
        <v>65</v>
      </c>
      <c r="N4" s="71" t="s">
        <v>87</v>
      </c>
    </row>
    <row r="5" spans="2:16" ht="20.25" x14ac:dyDescent="0.3">
      <c r="B5" s="49" t="s">
        <v>8</v>
      </c>
      <c r="C5" s="46">
        <v>12</v>
      </c>
      <c r="D5" s="53" t="s">
        <v>9</v>
      </c>
      <c r="F5" s="33" t="s">
        <v>20</v>
      </c>
      <c r="G5" s="83">
        <f>C9*C10/100</f>
        <v>70</v>
      </c>
      <c r="H5" t="s">
        <v>76</v>
      </c>
      <c r="I5" s="53"/>
      <c r="L5" s="69">
        <v>0.31</v>
      </c>
      <c r="M5" s="75">
        <v>6.3</v>
      </c>
      <c r="N5" s="87">
        <f>$G$14/L5</f>
        <v>7.8446611901271277</v>
      </c>
    </row>
    <row r="6" spans="2:16" ht="20.25" x14ac:dyDescent="0.3">
      <c r="B6" s="49" t="s">
        <v>34</v>
      </c>
      <c r="C6" s="46">
        <f>C5-3</f>
        <v>9</v>
      </c>
      <c r="D6" s="53" t="s">
        <v>9</v>
      </c>
      <c r="F6" s="33" t="s">
        <v>80</v>
      </c>
      <c r="G6" s="83">
        <f>G5+G4</f>
        <v>214.30769230769232</v>
      </c>
      <c r="H6" t="s">
        <v>76</v>
      </c>
      <c r="I6" s="53"/>
      <c r="L6" s="69">
        <v>0.5</v>
      </c>
      <c r="M6" s="75">
        <v>8</v>
      </c>
      <c r="N6" s="87">
        <f t="shared" ref="N6:N10" si="0">$G$14/L6</f>
        <v>4.863689937878819</v>
      </c>
    </row>
    <row r="7" spans="2:16" ht="21.75" thickBot="1" x14ac:dyDescent="0.4">
      <c r="B7" s="49" t="s">
        <v>79</v>
      </c>
      <c r="C7" s="46">
        <v>150</v>
      </c>
      <c r="D7" s="53" t="s">
        <v>24</v>
      </c>
      <c r="F7" s="84" t="s">
        <v>82</v>
      </c>
      <c r="G7" s="85">
        <f>C4+C11/2</f>
        <v>140</v>
      </c>
      <c r="H7" t="s">
        <v>9</v>
      </c>
      <c r="I7" s="53"/>
      <c r="L7" s="69">
        <v>0.8</v>
      </c>
      <c r="M7" s="75">
        <v>10</v>
      </c>
      <c r="N7" s="87">
        <f t="shared" si="0"/>
        <v>3.0398062111742616</v>
      </c>
    </row>
    <row r="8" spans="2:16" ht="21.75" thickBot="1" x14ac:dyDescent="0.4">
      <c r="B8" s="49" t="s">
        <v>95</v>
      </c>
      <c r="C8" s="46">
        <v>100</v>
      </c>
      <c r="D8" s="53" t="s">
        <v>78</v>
      </c>
      <c r="F8" s="79" t="s">
        <v>92</v>
      </c>
      <c r="G8" s="86">
        <f>G6*(G7/100)^2/2 + 1.1*C14</f>
        <v>320.02153846153846</v>
      </c>
      <c r="H8" t="s">
        <v>24</v>
      </c>
      <c r="I8" s="53"/>
      <c r="L8" s="69">
        <v>1.25</v>
      </c>
      <c r="M8" s="75">
        <v>12.5</v>
      </c>
      <c r="N8" s="87">
        <f t="shared" si="0"/>
        <v>1.9454759751515276</v>
      </c>
    </row>
    <row r="9" spans="2:16" ht="21.75" thickBot="1" x14ac:dyDescent="0.4">
      <c r="B9" s="49" t="s">
        <v>77</v>
      </c>
      <c r="C9" s="46">
        <v>250</v>
      </c>
      <c r="D9" s="53" t="s">
        <v>78</v>
      </c>
      <c r="F9" s="79" t="s">
        <v>93</v>
      </c>
      <c r="G9" s="86">
        <f>G4*(G7/100)^2/2 + 250*G7/100 + C14*1.1</f>
        <v>601.42153846153849</v>
      </c>
      <c r="H9" t="s">
        <v>24</v>
      </c>
      <c r="L9" s="69">
        <v>2</v>
      </c>
      <c r="M9" s="75">
        <v>16</v>
      </c>
      <c r="N9" s="87">
        <f t="shared" si="0"/>
        <v>1.2159224844697047</v>
      </c>
    </row>
    <row r="10" spans="2:16" ht="24" thickBot="1" x14ac:dyDescent="0.45">
      <c r="B10" s="49" t="s">
        <v>96</v>
      </c>
      <c r="C10" s="46">
        <v>28</v>
      </c>
      <c r="D10" s="53" t="s">
        <v>9</v>
      </c>
      <c r="L10" s="70">
        <v>3.14</v>
      </c>
      <c r="M10" s="76">
        <v>20</v>
      </c>
      <c r="N10" s="89">
        <f t="shared" si="0"/>
        <v>0.77447292004439794</v>
      </c>
      <c r="O10" s="88" t="s">
        <v>94</v>
      </c>
    </row>
    <row r="11" spans="2:16" ht="21" thickBot="1" x14ac:dyDescent="0.35">
      <c r="B11" s="49" t="s">
        <v>81</v>
      </c>
      <c r="C11" s="46">
        <v>20</v>
      </c>
      <c r="D11" s="53" t="s">
        <v>9</v>
      </c>
    </row>
    <row r="12" spans="2:16" ht="24" thickBot="1" x14ac:dyDescent="0.45">
      <c r="B12" s="49" t="s">
        <v>64</v>
      </c>
      <c r="C12" s="46">
        <v>5000</v>
      </c>
      <c r="D12" s="53" t="s">
        <v>11</v>
      </c>
      <c r="F12" s="111" t="s">
        <v>67</v>
      </c>
      <c r="G12" s="112"/>
    </row>
    <row r="13" spans="2:16" ht="21" customHeight="1" thickBot="1" x14ac:dyDescent="0.45">
      <c r="B13" s="49" t="s">
        <v>48</v>
      </c>
      <c r="C13" s="46">
        <v>300</v>
      </c>
      <c r="D13" s="53" t="s">
        <v>11</v>
      </c>
      <c r="F13" s="31" t="s">
        <v>61</v>
      </c>
      <c r="G13" s="51">
        <f>(C6/0.8)*(1-SQRT(1-(2*1.4*100*(MAX(G8,G9))/(0.85*C13*C10*C6*C6/(1.4)))))</f>
        <v>2.5914801459286116</v>
      </c>
      <c r="H13" s="53" t="s">
        <v>9</v>
      </c>
      <c r="L13" s="90" t="s">
        <v>88</v>
      </c>
      <c r="M13" s="93">
        <f>0.3*(C13/10)^(2/3)*20*C10/(C12/10)</f>
        <v>3.2440443322749157</v>
      </c>
      <c r="N13" s="53" t="s">
        <v>31</v>
      </c>
      <c r="P13" s="91"/>
    </row>
    <row r="14" spans="2:16" ht="21" thickBot="1" x14ac:dyDescent="0.35">
      <c r="B14" s="50" t="s">
        <v>84</v>
      </c>
      <c r="C14" s="47">
        <v>100</v>
      </c>
      <c r="D14" s="82" t="s">
        <v>83</v>
      </c>
      <c r="F14" s="34" t="s">
        <v>30</v>
      </c>
      <c r="G14" s="52">
        <f>0.68*(C13/1.4)*C10*G13/(C12/1.15)</f>
        <v>2.4318449689394095</v>
      </c>
      <c r="H14" s="53" t="s">
        <v>62</v>
      </c>
      <c r="L14" s="94" t="s">
        <v>65</v>
      </c>
      <c r="M14" s="95" t="s">
        <v>89</v>
      </c>
      <c r="N14" s="95" t="s">
        <v>90</v>
      </c>
    </row>
    <row r="15" spans="2:16" ht="21" thickBot="1" x14ac:dyDescent="0.35">
      <c r="F15" s="66"/>
      <c r="L15" s="97">
        <v>6.3</v>
      </c>
      <c r="M15" s="98">
        <f>INT(L5*200/$M$13)</f>
        <v>19</v>
      </c>
      <c r="N15" s="80">
        <f>$C$4/M15</f>
        <v>6.8421052631578947</v>
      </c>
    </row>
    <row r="16" spans="2:16" ht="21" thickBot="1" x14ac:dyDescent="0.35">
      <c r="F16" s="67" t="s">
        <v>68</v>
      </c>
      <c r="G16" s="55">
        <f>G13/C6</f>
        <v>0.2879422384365124</v>
      </c>
      <c r="L16" s="99">
        <v>8</v>
      </c>
      <c r="M16" s="96">
        <f t="shared" ref="M16:M17" si="1">INT(L6*200/$M$13)</f>
        <v>30</v>
      </c>
      <c r="N16" s="100">
        <f t="shared" ref="N16:N17" si="2">$C$4/M16</f>
        <v>4.333333333333333</v>
      </c>
      <c r="P16" s="92"/>
    </row>
    <row r="17" spans="11:15" ht="21" thickBot="1" x14ac:dyDescent="0.35">
      <c r="L17" s="101">
        <v>10</v>
      </c>
      <c r="M17" s="102">
        <f t="shared" si="1"/>
        <v>49</v>
      </c>
      <c r="N17" s="103">
        <f t="shared" si="2"/>
        <v>2.6530612244897958</v>
      </c>
    </row>
    <row r="18" spans="11:15" x14ac:dyDescent="0.3">
      <c r="K18"/>
      <c r="N18" s="88" t="s">
        <v>91</v>
      </c>
    </row>
    <row r="19" spans="11:15" x14ac:dyDescent="0.3">
      <c r="K19"/>
    </row>
    <row r="20" spans="11:15" x14ac:dyDescent="0.3">
      <c r="K20"/>
      <c r="O20" s="88"/>
    </row>
  </sheetData>
  <mergeCells count="4">
    <mergeCell ref="B3:C3"/>
    <mergeCell ref="F12:G12"/>
    <mergeCell ref="L3:N3"/>
    <mergeCell ref="F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5F18-1528-4DF8-A5FE-3866136EAEB7}">
  <dimension ref="B1:AW31"/>
  <sheetViews>
    <sheetView showGridLines="0" tabSelected="1" zoomScaleNormal="100" workbookViewId="0">
      <selection activeCell="I24" sqref="I24"/>
    </sheetView>
  </sheetViews>
  <sheetFormatPr defaultRowHeight="15" x14ac:dyDescent="0.25"/>
  <cols>
    <col min="1" max="1" width="2" customWidth="1"/>
    <col min="2" max="2" width="9.140625" style="1"/>
    <col min="3" max="3" width="11.85546875" style="1" customWidth="1"/>
    <col min="4" max="4" width="15.85546875" customWidth="1"/>
    <col min="6" max="6" width="1.140625" style="14" customWidth="1"/>
    <col min="9" max="9" width="11.42578125" style="1" bestFit="1" customWidth="1"/>
    <col min="10" max="10" width="13.28515625" style="1" bestFit="1" customWidth="1"/>
    <col min="13" max="13" width="10.5703125" bestFit="1" customWidth="1"/>
    <col min="14" max="14" width="8.5703125" customWidth="1"/>
    <col min="15" max="15" width="0.7109375" style="14" customWidth="1"/>
    <col min="16" max="16" width="6.85546875" customWidth="1"/>
    <col min="18" max="18" width="5.140625" customWidth="1"/>
    <col min="19" max="19" width="6.5703125" customWidth="1"/>
    <col min="20" max="20" width="15.7109375" bestFit="1" customWidth="1"/>
    <col min="21" max="21" width="15.42578125" customWidth="1"/>
    <col min="22" max="22" width="10.140625" customWidth="1"/>
    <col min="23" max="23" width="10.28515625" customWidth="1"/>
    <col min="24" max="24" width="13.42578125" customWidth="1"/>
    <col min="25" max="25" width="15.140625" style="14" customWidth="1"/>
    <col min="26" max="26" width="16.5703125" style="14" customWidth="1"/>
    <col min="27" max="27" width="15.85546875" style="14" customWidth="1"/>
    <col min="28" max="28" width="49.42578125" style="14" customWidth="1"/>
    <col min="29" max="29" width="35.140625" customWidth="1"/>
    <col min="30" max="30" width="11.42578125" bestFit="1" customWidth="1"/>
    <col min="31" max="31" width="11" bestFit="1" customWidth="1"/>
  </cols>
  <sheetData>
    <row r="1" spans="2:49" ht="4.5" customHeight="1" thickBot="1" x14ac:dyDescent="0.3"/>
    <row r="2" spans="2:49" ht="21.75" thickBot="1" x14ac:dyDescent="0.4">
      <c r="B2" s="117" t="s">
        <v>37</v>
      </c>
      <c r="C2" s="118"/>
      <c r="D2" s="20"/>
      <c r="G2" s="120" t="s">
        <v>43</v>
      </c>
      <c r="H2" s="120"/>
      <c r="I2" s="120"/>
      <c r="J2" s="120"/>
      <c r="K2" s="120"/>
      <c r="L2" s="120"/>
      <c r="M2" s="120"/>
      <c r="N2" s="120"/>
      <c r="Q2" s="120" t="s">
        <v>44</v>
      </c>
      <c r="R2" s="120"/>
      <c r="S2" s="120"/>
      <c r="T2" s="120"/>
      <c r="U2" s="120"/>
      <c r="V2" s="120"/>
      <c r="W2" s="120"/>
    </row>
    <row r="3" spans="2:49" ht="21" x14ac:dyDescent="0.35">
      <c r="B3" s="25" t="s">
        <v>7</v>
      </c>
      <c r="C3" s="41">
        <v>28</v>
      </c>
      <c r="D3" s="20" t="s">
        <v>9</v>
      </c>
      <c r="P3" s="121" t="s">
        <v>45</v>
      </c>
      <c r="Q3" s="121"/>
      <c r="R3" s="121"/>
      <c r="S3" s="121"/>
      <c r="T3" s="121"/>
      <c r="U3" s="121"/>
      <c r="V3" s="121"/>
      <c r="W3" s="121"/>
      <c r="X3" s="121"/>
    </row>
    <row r="4" spans="2:49" ht="21" x14ac:dyDescent="0.35">
      <c r="B4" s="26" t="s">
        <v>8</v>
      </c>
      <c r="C4" s="42">
        <v>12</v>
      </c>
      <c r="D4" s="20" t="s">
        <v>9</v>
      </c>
      <c r="P4" s="121"/>
      <c r="Q4" s="121"/>
      <c r="R4" s="121"/>
      <c r="S4" s="121"/>
      <c r="T4" s="121"/>
      <c r="U4" s="121"/>
      <c r="V4" s="121"/>
      <c r="W4" s="121"/>
      <c r="X4" s="121"/>
    </row>
    <row r="5" spans="2:49" ht="21" x14ac:dyDescent="0.35">
      <c r="B5" s="26" t="s">
        <v>59</v>
      </c>
      <c r="C5" s="42">
        <v>1.5</v>
      </c>
      <c r="D5" s="20" t="s">
        <v>39</v>
      </c>
    </row>
    <row r="6" spans="2:49" ht="23.25" x14ac:dyDescent="0.4">
      <c r="B6" s="26" t="s">
        <v>47</v>
      </c>
      <c r="C6" s="42">
        <f>C4/2</f>
        <v>6</v>
      </c>
      <c r="D6" s="20" t="s">
        <v>9</v>
      </c>
    </row>
    <row r="7" spans="2:49" ht="23.25" x14ac:dyDescent="0.4">
      <c r="B7" s="26" t="s">
        <v>48</v>
      </c>
      <c r="C7" s="42">
        <v>306</v>
      </c>
      <c r="D7" s="20" t="s">
        <v>11</v>
      </c>
    </row>
    <row r="8" spans="2:49" ht="21.75" thickBot="1" x14ac:dyDescent="0.4">
      <c r="B8" s="27" t="s">
        <v>17</v>
      </c>
      <c r="C8" s="42">
        <v>210000</v>
      </c>
      <c r="D8" s="20" t="s">
        <v>10</v>
      </c>
      <c r="M8" s="11"/>
    </row>
    <row r="9" spans="2:49" ht="21" x14ac:dyDescent="0.35">
      <c r="B9" s="27" t="s">
        <v>19</v>
      </c>
      <c r="C9" s="42">
        <v>550</v>
      </c>
      <c r="D9" s="20" t="s">
        <v>21</v>
      </c>
      <c r="M9" s="9"/>
      <c r="T9" s="31" t="s">
        <v>16</v>
      </c>
      <c r="U9" s="32">
        <f>(0.8+0.2*(C7/800))*(1*5600*SQRT(C7/10))*10</f>
        <v>271519.2720850585</v>
      </c>
      <c r="V9" s="16" t="s">
        <v>11</v>
      </c>
    </row>
    <row r="10" spans="2:49" ht="21.75" thickBot="1" x14ac:dyDescent="0.4">
      <c r="B10" s="27" t="s">
        <v>20</v>
      </c>
      <c r="C10" s="42">
        <v>250</v>
      </c>
      <c r="D10" s="20" t="s">
        <v>21</v>
      </c>
      <c r="T10" s="33" t="s">
        <v>14</v>
      </c>
      <c r="U10" s="17">
        <f>(K11)*(C11/100)^2/2</f>
        <v>171.49999999999997</v>
      </c>
      <c r="V10" s="16" t="s">
        <v>22</v>
      </c>
    </row>
    <row r="11" spans="2:49" ht="21.75" thickBot="1" x14ac:dyDescent="0.4">
      <c r="B11" s="27" t="s">
        <v>23</v>
      </c>
      <c r="C11" s="42">
        <v>140</v>
      </c>
      <c r="D11" s="20" t="s">
        <v>9</v>
      </c>
      <c r="I11" s="113" t="s">
        <v>38</v>
      </c>
      <c r="J11" s="114"/>
      <c r="K11" s="24">
        <f>(C9+0.3*C10)*C3/100</f>
        <v>175</v>
      </c>
      <c r="L11" s="22" t="s">
        <v>76</v>
      </c>
      <c r="T11" s="33" t="s">
        <v>18</v>
      </c>
      <c r="U11" s="15">
        <f>10*C8/U9</f>
        <v>7.7342576233120415</v>
      </c>
      <c r="V11" s="16" t="s">
        <v>53</v>
      </c>
    </row>
    <row r="12" spans="2:49" ht="21" x14ac:dyDescent="0.35">
      <c r="B12" s="27" t="s">
        <v>30</v>
      </c>
      <c r="C12" s="77">
        <f>DIMENSIONAMENTO!G5</f>
        <v>6.4877342558444004</v>
      </c>
      <c r="D12" s="20" t="s">
        <v>31</v>
      </c>
      <c r="T12" s="33" t="s">
        <v>25</v>
      </c>
      <c r="U12" s="15">
        <f>AS16</f>
        <v>4.163492309125215</v>
      </c>
      <c r="V12" s="16" t="s">
        <v>35</v>
      </c>
    </row>
    <row r="13" spans="2:49" ht="21.75" thickBot="1" x14ac:dyDescent="0.4">
      <c r="B13" s="28" t="s">
        <v>34</v>
      </c>
      <c r="C13" s="43">
        <f>C4-3</f>
        <v>9</v>
      </c>
      <c r="D13" s="20" t="s">
        <v>35</v>
      </c>
      <c r="T13" s="33" t="s">
        <v>27</v>
      </c>
      <c r="U13" s="17">
        <f>(C3*U12^3/12)+C3*U12*((U12/2)^2)+U11*C12*(C13-U12)^2</f>
        <v>1847.361991318955</v>
      </c>
      <c r="V13" s="16" t="s">
        <v>12</v>
      </c>
      <c r="AQ13" s="1" t="s">
        <v>28</v>
      </c>
      <c r="AR13" s="1" t="s">
        <v>29</v>
      </c>
      <c r="AS13" s="1">
        <f>2*C12*U11/C3</f>
        <v>3.5841291518776592</v>
      </c>
      <c r="AT13" s="1" t="s">
        <v>32</v>
      </c>
      <c r="AU13" s="1" t="s">
        <v>33</v>
      </c>
      <c r="AV13" s="1">
        <f>2*C12*C13*U11/C3</f>
        <v>32.257162366898932</v>
      </c>
      <c r="AW13" s="1">
        <f>0</f>
        <v>0</v>
      </c>
    </row>
    <row r="14" spans="2:49" ht="18.75" x14ac:dyDescent="0.3">
      <c r="T14" s="33" t="s">
        <v>15</v>
      </c>
      <c r="U14" s="104">
        <f>U9*(((K23/U10)^3)*K21+(1-(K23/U10)^3)*U13)</f>
        <v>3546515080.8847685</v>
      </c>
      <c r="V14" s="16" t="s">
        <v>26</v>
      </c>
      <c r="W14" t="s">
        <v>60</v>
      </c>
    </row>
    <row r="15" spans="2:49" ht="21" thickBot="1" x14ac:dyDescent="0.35">
      <c r="H15" s="120" t="s">
        <v>42</v>
      </c>
      <c r="I15" s="120"/>
      <c r="J15" s="120"/>
      <c r="K15" s="120"/>
      <c r="L15" s="120"/>
      <c r="M15" s="120"/>
      <c r="T15" s="34" t="s">
        <v>54</v>
      </c>
      <c r="U15" s="105">
        <f>U9*K21</f>
        <v>1094765705.0469558</v>
      </c>
      <c r="V15" s="16" t="s">
        <v>26</v>
      </c>
      <c r="AR15" t="s">
        <v>36</v>
      </c>
      <c r="AS15">
        <f>SQRT(AS13*AS13-4*1*(-AV13))</f>
        <v>11.91111377012809</v>
      </c>
    </row>
    <row r="16" spans="2:49" ht="15.75" thickBot="1" x14ac:dyDescent="0.3">
      <c r="AR16" t="s">
        <v>25</v>
      </c>
      <c r="AS16">
        <f>(-AS13+AS15)/2</f>
        <v>4.163492309125215</v>
      </c>
    </row>
    <row r="17" spans="2:45" ht="19.5" thickBot="1" x14ac:dyDescent="0.35">
      <c r="T17" s="29" t="s">
        <v>55</v>
      </c>
      <c r="U17" s="30">
        <f>IF(K23&gt;U10,U15,U14)</f>
        <v>1094765705.0469558</v>
      </c>
      <c r="V17" s="16" t="s">
        <v>26</v>
      </c>
      <c r="AS17">
        <f>(-AS13-AS15)/2</f>
        <v>-7.7476214610028746</v>
      </c>
    </row>
    <row r="18" spans="2:45" x14ac:dyDescent="0.25">
      <c r="AF18" s="1" t="s">
        <v>33</v>
      </c>
    </row>
    <row r="20" spans="2:45" ht="15.75" thickBot="1" x14ac:dyDescent="0.3"/>
    <row r="21" spans="2:45" ht="22.5" x14ac:dyDescent="0.3">
      <c r="J21" s="31" t="s">
        <v>46</v>
      </c>
      <c r="K21" s="21">
        <f>C3*C4^3/12</f>
        <v>4032</v>
      </c>
      <c r="L21" s="22" t="s">
        <v>52</v>
      </c>
    </row>
    <row r="22" spans="2:45" ht="21" thickBot="1" x14ac:dyDescent="0.4">
      <c r="J22" s="33" t="s">
        <v>51</v>
      </c>
      <c r="K22" s="23">
        <f>0.3*(C7/10)^(2/3)</f>
        <v>2.9349601283923725</v>
      </c>
      <c r="L22" s="22" t="s">
        <v>10</v>
      </c>
    </row>
    <row r="23" spans="2:45" ht="19.5" thickBot="1" x14ac:dyDescent="0.35">
      <c r="J23" s="34" t="s">
        <v>13</v>
      </c>
      <c r="K23" s="36">
        <f>0.1*C5*K22*K21/C6</f>
        <v>295.8439809419512</v>
      </c>
      <c r="L23" s="22" t="s">
        <v>24</v>
      </c>
      <c r="T23" s="39" t="s">
        <v>56</v>
      </c>
      <c r="U23" s="38">
        <f>0.01*(1/8)*K11*(C11)^4/U17</f>
        <v>7.6760716573959206E-2</v>
      </c>
      <c r="V23" t="s">
        <v>9</v>
      </c>
    </row>
    <row r="24" spans="2:45" ht="18" x14ac:dyDescent="0.25">
      <c r="B24"/>
      <c r="C24" s="12" t="s">
        <v>40</v>
      </c>
      <c r="D24" s="1"/>
      <c r="X24" s="13"/>
      <c r="Y24" s="19"/>
      <c r="Z24" s="19"/>
      <c r="AA24" s="19"/>
      <c r="AB24" s="19"/>
    </row>
    <row r="25" spans="2:45" ht="19.5" x14ac:dyDescent="0.25">
      <c r="B25"/>
      <c r="C25" s="40" t="s">
        <v>41</v>
      </c>
      <c r="D25" s="40"/>
      <c r="J25"/>
      <c r="Q25" s="120" t="s">
        <v>49</v>
      </c>
      <c r="R25" s="120"/>
      <c r="S25" s="120"/>
      <c r="T25" s="120"/>
      <c r="U25" s="120"/>
      <c r="V25" s="120"/>
      <c r="W25" s="120"/>
    </row>
    <row r="26" spans="2:45" ht="15.75" thickBot="1" x14ac:dyDescent="0.3">
      <c r="B26"/>
      <c r="D26" s="1"/>
    </row>
    <row r="27" spans="2:45" ht="18.75" thickBot="1" x14ac:dyDescent="0.3">
      <c r="B27"/>
      <c r="D27" s="1"/>
      <c r="T27" s="37" t="s">
        <v>57</v>
      </c>
      <c r="U27" s="38">
        <f>U23*(1+2)</f>
        <v>0.2302821497218776</v>
      </c>
      <c r="V27" t="s">
        <v>9</v>
      </c>
    </row>
    <row r="28" spans="2:45" ht="18.75" thickBot="1" x14ac:dyDescent="0.3">
      <c r="B28"/>
      <c r="D28" s="1"/>
      <c r="T28" s="37" t="s">
        <v>58</v>
      </c>
      <c r="U28" s="38">
        <f>C11/250</f>
        <v>0.56000000000000005</v>
      </c>
      <c r="V28" t="s">
        <v>9</v>
      </c>
    </row>
    <row r="29" spans="2:45" ht="16.5" thickBot="1" x14ac:dyDescent="0.3">
      <c r="C29" s="44" t="s">
        <v>50</v>
      </c>
      <c r="D29" s="44"/>
      <c r="E29" s="40"/>
      <c r="T29" s="115" t="str">
        <f>IF(U27&lt;=U28,"PASSOU","NÃO PASSOU")</f>
        <v>PASSOU</v>
      </c>
      <c r="U29" s="116"/>
    </row>
    <row r="30" spans="2:45" x14ac:dyDescent="0.25">
      <c r="B30"/>
      <c r="D30" s="1"/>
    </row>
    <row r="31" spans="2:45" x14ac:dyDescent="0.25">
      <c r="B31"/>
      <c r="D31" s="1"/>
    </row>
  </sheetData>
  <mergeCells count="8">
    <mergeCell ref="H15:M15"/>
    <mergeCell ref="Q25:W25"/>
    <mergeCell ref="T29:U29"/>
    <mergeCell ref="B2:C2"/>
    <mergeCell ref="G2:N2"/>
    <mergeCell ref="Q2:W2"/>
    <mergeCell ref="P3:X4"/>
    <mergeCell ref="I11:J11"/>
  </mergeCells>
  <conditionalFormatting sqref="T29">
    <cfRule type="beginsWith" dxfId="1" priority="1" operator="beginsWith" text="N">
      <formula>LEFT(T29,LEN("N"))="N"</formula>
    </cfRule>
    <cfRule type="beginsWith" dxfId="0" priority="2" operator="beginsWith" text="P">
      <formula>LEFT(T29,LEN("P"))="P"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BLONDEL</vt:lpstr>
      <vt:lpstr>DIMENSIONAMENTO</vt:lpstr>
      <vt:lpstr>FLECHA</vt:lpstr>
      <vt:lpstr>BALANÇO</vt:lpstr>
      <vt:lpstr>FLECHA BALANCO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2020-04-13T03:00:47Z</dcterms:created>
  <dcterms:modified xsi:type="dcterms:W3CDTF">2020-06-11T02:18:42Z</dcterms:modified>
</cp:coreProperties>
</file>