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EF PROJETOS)\1- CURSOS\2- Curso Instalações hidráulicas\"/>
    </mc:Choice>
  </mc:AlternateContent>
  <bookViews>
    <workbookView xWindow="360" yWindow="105" windowWidth="17175" windowHeight="6150"/>
  </bookViews>
  <sheets>
    <sheet name="Plan1" sheetId="1" r:id="rId1"/>
    <sheet name="Plan2" sheetId="2" r:id="rId2"/>
    <sheet name="Plan3" sheetId="3" r:id="rId3"/>
  </sheets>
  <definedNames>
    <definedName name="D_INTERNO">Plan1!$AA$9:$AA$15</definedName>
    <definedName name="D_NOMINAL">Plan1!$Z$9:$Z$15</definedName>
  </definedNames>
  <calcPr calcId="152511"/>
</workbook>
</file>

<file path=xl/calcChain.xml><?xml version="1.0" encoding="utf-8"?>
<calcChain xmlns="http://schemas.openxmlformats.org/spreadsheetml/2006/main">
  <c r="R15" i="1" l="1"/>
  <c r="R13" i="1"/>
  <c r="R10" i="1"/>
  <c r="O9" i="1" l="1"/>
  <c r="D9" i="1"/>
  <c r="B9" i="1"/>
  <c r="D12" i="1"/>
  <c r="B12" i="1"/>
  <c r="P10" i="1" l="1"/>
  <c r="P12" i="1"/>
  <c r="P13" i="1"/>
  <c r="P15" i="1"/>
  <c r="P9" i="1"/>
  <c r="V10" i="1"/>
  <c r="V12" i="1"/>
  <c r="R12" i="1" s="1"/>
  <c r="V13" i="1"/>
  <c r="V15" i="1"/>
  <c r="V9" i="1"/>
  <c r="R9" i="1" s="1"/>
  <c r="F9" i="1" l="1"/>
  <c r="H9" i="1" s="1"/>
  <c r="F15" i="1"/>
  <c r="H15" i="1" l="1"/>
  <c r="J15" i="1" s="1"/>
  <c r="F13" i="1" l="1"/>
  <c r="F12" i="1" l="1"/>
  <c r="H13" i="1"/>
  <c r="J13" i="1" s="1"/>
  <c r="H12" i="1" l="1"/>
  <c r="J12" i="1" s="1"/>
  <c r="F10" i="1" l="1"/>
  <c r="H10" i="1" l="1"/>
  <c r="J10" i="1" s="1"/>
  <c r="J9" i="1" l="1"/>
  <c r="S9" i="1" l="1"/>
  <c r="T9" i="1" l="1"/>
  <c r="W9" i="1" s="1"/>
  <c r="Q12" i="1"/>
  <c r="Q10" i="1"/>
  <c r="K9" i="1"/>
  <c r="S10" i="1" l="1"/>
  <c r="T10" i="1" s="1"/>
  <c r="K10" i="1" l="1"/>
  <c r="S12" i="1" l="1"/>
  <c r="Q15" i="1" s="1"/>
  <c r="T12" i="1" l="1"/>
  <c r="K12" i="1"/>
  <c r="Q13" i="1"/>
  <c r="S13" i="1" l="1"/>
  <c r="T13" i="1" s="1"/>
  <c r="K13" i="1" l="1"/>
  <c r="S15" i="1" l="1"/>
  <c r="T15" i="1" s="1"/>
  <c r="K15" i="1" l="1"/>
  <c r="W15" i="1" l="1"/>
  <c r="W13" i="1" l="1"/>
  <c r="W12" i="1" l="1"/>
  <c r="W10" i="1" l="1"/>
</calcChain>
</file>

<file path=xl/sharedStrings.xml><?xml version="1.0" encoding="utf-8"?>
<sst xmlns="http://schemas.openxmlformats.org/spreadsheetml/2006/main" count="46" uniqueCount="41">
  <si>
    <t>TRECHO</t>
  </si>
  <si>
    <t>POTÊNCIA COMPUTADA (kcal/h)</t>
  </si>
  <si>
    <t>F.S (%)</t>
  </si>
  <si>
    <t>PRUMADA 2 APTOS</t>
  </si>
  <si>
    <t>PRUMADA 4 APTOS</t>
  </si>
  <si>
    <t>POTENCIA NOMINAL DE CONSUMO:</t>
  </si>
  <si>
    <t>POTÊNCIA ADOTADA (kcal/h)</t>
  </si>
  <si>
    <t>kcal/h</t>
  </si>
  <si>
    <t>POTÊNCIA COMPUTADA (kW)</t>
  </si>
  <si>
    <t>PCI=</t>
  </si>
  <si>
    <t>kW</t>
  </si>
  <si>
    <t>kcal/m3</t>
  </si>
  <si>
    <t>Leq(m)</t>
  </si>
  <si>
    <t>Ltotal(m)</t>
  </si>
  <si>
    <t>P  INICIAL (kPa)</t>
  </si>
  <si>
    <t>P FINAL (kPa)</t>
  </si>
  <si>
    <t>D NOM. (pol.)</t>
  </si>
  <si>
    <t>D INT. (mm)</t>
  </si>
  <si>
    <t>DENSIDADE RELATIVA</t>
  </si>
  <si>
    <t>1/2"</t>
  </si>
  <si>
    <t>3/4"</t>
  </si>
  <si>
    <t>1"</t>
  </si>
  <si>
    <t>1 1/4"</t>
  </si>
  <si>
    <t>1 1/2"</t>
  </si>
  <si>
    <t>2"</t>
  </si>
  <si>
    <t>2 1/2"</t>
  </si>
  <si>
    <t>V (m/s)</t>
  </si>
  <si>
    <t>L SOBE(m)</t>
  </si>
  <si>
    <t>L HORIZ.(m)</t>
  </si>
  <si>
    <t>L DESCE(m)</t>
  </si>
  <si>
    <t>OBSERVAÇÕES</t>
  </si>
  <si>
    <t>ΔP</t>
  </si>
  <si>
    <t>P. DE CARGA</t>
  </si>
  <si>
    <t>APARTAMENTOS</t>
  </si>
  <si>
    <t>PLANILHA DE CALCULO REDE DE GÁS</t>
  </si>
  <si>
    <t>A-B</t>
  </si>
  <si>
    <t>B-C</t>
  </si>
  <si>
    <t>B-B'</t>
  </si>
  <si>
    <t>C-C'</t>
  </si>
  <si>
    <t>C-D</t>
  </si>
  <si>
    <t>VAZÃO DO GN (m3/h)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</si>
</sst>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12" fontId="0" fillId="0" borderId="0" xfId="0" applyNumberFormat="1"/>
    <xf numFmtId="165" fontId="0" fillId="0" borderId="0" xfId="0" applyNumberFormat="1"/>
    <xf numFmtId="0" fontId="1" fillId="3" borderId="9" xfId="0" applyFont="1" applyFill="1" applyBorder="1" applyAlignment="1">
      <alignment horizontal="center" wrapText="1"/>
    </xf>
    <xf numFmtId="49" fontId="0" fillId="0" borderId="0" xfId="0" applyNumberFormat="1"/>
    <xf numFmtId="49" fontId="2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49" fontId="2" fillId="5" borderId="9" xfId="0" applyNumberFormat="1" applyFont="1" applyFill="1" applyBorder="1"/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3" fillId="0" borderId="9" xfId="0" applyNumberFormat="1" applyFont="1" applyBorder="1"/>
    <xf numFmtId="0" fontId="0" fillId="2" borderId="9" xfId="0" applyFill="1" applyBorder="1" applyAlignment="1">
      <alignment horizontal="center"/>
    </xf>
    <xf numFmtId="49" fontId="2" fillId="4" borderId="9" xfId="0" applyNumberFormat="1" applyFont="1" applyFill="1" applyBorder="1"/>
    <xf numFmtId="2" fontId="0" fillId="0" borderId="9" xfId="0" applyNumberFormat="1" applyFont="1" applyBorder="1"/>
    <xf numFmtId="0" fontId="0" fillId="4" borderId="9" xfId="0" applyFill="1" applyBorder="1"/>
    <xf numFmtId="2" fontId="0" fillId="4" borderId="9" xfId="0" applyNumberFormat="1" applyFill="1" applyBorder="1"/>
    <xf numFmtId="0" fontId="0" fillId="4" borderId="9" xfId="0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9" xfId="0" applyFill="1" applyBorder="1"/>
    <xf numFmtId="164" fontId="0" fillId="5" borderId="9" xfId="0" applyNumberFormat="1" applyFill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B1" zoomScale="120" zoomScaleNormal="120" workbookViewId="0">
      <selection activeCell="K13" sqref="K13"/>
    </sheetView>
  </sheetViews>
  <sheetFormatPr defaultRowHeight="15" x14ac:dyDescent="0.25"/>
  <cols>
    <col min="1" max="1" width="9.140625" style="18"/>
    <col min="2" max="2" width="9.140625" customWidth="1"/>
    <col min="4" max="4" width="9.28515625" bestFit="1" customWidth="1"/>
    <col min="6" max="6" width="11.7109375" bestFit="1" customWidth="1"/>
    <col min="8" max="8" width="10" bestFit="1" customWidth="1"/>
    <col min="10" max="10" width="9.28515625" bestFit="1" customWidth="1"/>
    <col min="11" max="11" width="12" bestFit="1" customWidth="1"/>
    <col min="12" max="14" width="10.28515625" customWidth="1"/>
    <col min="15" max="20" width="9.28515625" bestFit="1" customWidth="1"/>
    <col min="22" max="22" width="9.28515625" bestFit="1" customWidth="1"/>
    <col min="23" max="23" width="18.28515625" customWidth="1"/>
    <col min="24" max="24" width="6.7109375" customWidth="1"/>
  </cols>
  <sheetData>
    <row r="1" spans="1:27" ht="21" x14ac:dyDescent="0.35">
      <c r="C1" s="33" t="s">
        <v>34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7" x14ac:dyDescent="0.25">
      <c r="C2" s="36" t="s">
        <v>5</v>
      </c>
      <c r="D2" s="37"/>
      <c r="E2" s="37"/>
      <c r="F2" s="37"/>
      <c r="G2" s="6"/>
      <c r="I2" s="23" t="s">
        <v>9</v>
      </c>
      <c r="J2" s="41">
        <v>8600</v>
      </c>
      <c r="K2" s="23" t="s">
        <v>11</v>
      </c>
    </row>
    <row r="3" spans="1:27" x14ac:dyDescent="0.25">
      <c r="C3" s="12"/>
      <c r="D3" s="7"/>
      <c r="E3" s="7"/>
      <c r="F3" s="4" t="s">
        <v>7</v>
      </c>
      <c r="G3" s="3" t="s">
        <v>10</v>
      </c>
    </row>
    <row r="4" spans="1:27" x14ac:dyDescent="0.25">
      <c r="C4" s="38" t="s">
        <v>33</v>
      </c>
      <c r="D4" s="39"/>
      <c r="E4" s="2"/>
      <c r="F4" s="4"/>
      <c r="G4" s="8"/>
      <c r="I4" s="40" t="s">
        <v>18</v>
      </c>
      <c r="J4" s="40"/>
      <c r="K4" s="40"/>
      <c r="L4" s="41">
        <v>0.6</v>
      </c>
    </row>
    <row r="5" spans="1:27" x14ac:dyDescent="0.25">
      <c r="C5" s="11" t="s">
        <v>3</v>
      </c>
      <c r="D5" s="2"/>
      <c r="E5" s="4"/>
      <c r="F5" s="4"/>
      <c r="G5" s="8"/>
    </row>
    <row r="6" spans="1:27" x14ac:dyDescent="0.25">
      <c r="C6" s="10" t="s">
        <v>4</v>
      </c>
      <c r="D6" s="5"/>
      <c r="E6" s="5"/>
      <c r="F6" s="13"/>
      <c r="G6" s="9"/>
    </row>
    <row r="8" spans="1:27" ht="26.25" customHeight="1" x14ac:dyDescent="0.25">
      <c r="A8" s="19" t="s">
        <v>0</v>
      </c>
      <c r="B8" s="34" t="s">
        <v>1</v>
      </c>
      <c r="C8" s="34"/>
      <c r="D8" s="34" t="s">
        <v>8</v>
      </c>
      <c r="E8" s="34"/>
      <c r="F8" s="20" t="s">
        <v>2</v>
      </c>
      <c r="G8" s="34" t="s">
        <v>6</v>
      </c>
      <c r="H8" s="34"/>
      <c r="I8" s="35" t="s">
        <v>40</v>
      </c>
      <c r="J8" s="35"/>
      <c r="K8" s="17" t="s">
        <v>26</v>
      </c>
      <c r="L8" s="17" t="s">
        <v>28</v>
      </c>
      <c r="M8" s="20" t="s">
        <v>27</v>
      </c>
      <c r="N8" s="17" t="s">
        <v>29</v>
      </c>
      <c r="O8" s="20" t="s">
        <v>12</v>
      </c>
      <c r="P8" s="21" t="s">
        <v>13</v>
      </c>
      <c r="Q8" s="17" t="s">
        <v>14</v>
      </c>
      <c r="R8" s="17" t="s">
        <v>31</v>
      </c>
      <c r="S8" s="17" t="s">
        <v>15</v>
      </c>
      <c r="T8" s="17" t="s">
        <v>32</v>
      </c>
      <c r="U8" s="17" t="s">
        <v>16</v>
      </c>
      <c r="V8" s="17" t="s">
        <v>17</v>
      </c>
      <c r="W8" s="17" t="s">
        <v>30</v>
      </c>
      <c r="X8" s="14"/>
    </row>
    <row r="9" spans="1:27" x14ac:dyDescent="0.25">
      <c r="A9" s="22" t="s">
        <v>35</v>
      </c>
      <c r="B9" s="30">
        <f>+B10+B12</f>
        <v>34410</v>
      </c>
      <c r="C9" s="30"/>
      <c r="D9" s="30">
        <f>+D10+D12</f>
        <v>36.86</v>
      </c>
      <c r="E9" s="30"/>
      <c r="F9" s="24">
        <f>IF(D9&lt;24.43,100,IF(D9&lt;670.9,100/(1+0.01016*((D9-24.37)^0.8712)),IF(D9&lt;1396,100/(1+0.7997*((D9-73.67)^0.19931)),IF(D9&gt;1396,23))))</f>
        <v>91.602921217716599</v>
      </c>
      <c r="G9" s="23"/>
      <c r="H9" s="24">
        <f>B9*F9/100</f>
        <v>31520.565191016281</v>
      </c>
      <c r="I9" s="23"/>
      <c r="J9" s="42">
        <f t="shared" ref="J9:J15" si="0">H9/$J$2</f>
        <v>3.6651819989553815</v>
      </c>
      <c r="K9" s="24">
        <f>354*J9*((S9/100)+1.033)^-0.1*(V9^-2)</f>
        <v>2.6659930412380439</v>
      </c>
      <c r="L9" s="30">
        <v>6</v>
      </c>
      <c r="M9" s="30"/>
      <c r="N9" s="30">
        <v>0.5</v>
      </c>
      <c r="O9" s="30">
        <f>4.5+3.1</f>
        <v>7.6</v>
      </c>
      <c r="P9" s="23">
        <f>SUM(L9:O9)</f>
        <v>14.1</v>
      </c>
      <c r="Q9" s="41">
        <v>2.4500000000000002</v>
      </c>
      <c r="R9" s="25">
        <f>(((206580*(J9^1.8)*(0.6^0.8)*O9)/(V9^4.8))/9.81)-(0.01318*M9*($L$4-1))+(0.01318*N9*($L$4-1))</f>
        <v>0.39409576209159736</v>
      </c>
      <c r="S9" s="31">
        <f>SQRT(Q9^2-R9)</f>
        <v>2.3682069668651016</v>
      </c>
      <c r="T9" s="26">
        <f>Q9-S9</f>
        <v>8.1793033134898607E-2</v>
      </c>
      <c r="U9" s="32" t="s">
        <v>20</v>
      </c>
      <c r="V9" s="30">
        <f>IF(U9=$Z$9,$AA$9,IF(U9=$Z$10,$AA$10,IF(U9=$Z$11,$AA$11,IF(U9=$Z$12,$AA$12,IF(U9=$Z$13,$AA$13,IF(U9=$Z$14,$AA$14,IF(U9=$Z$15,$AA$15,IF(U9=#REF!,#REF!,IF(U9=#REF!,#REF!,"")))))))))</f>
        <v>22</v>
      </c>
      <c r="W9" s="27" t="str">
        <f>IF(T9&gt;0.1*S9,"REDIMENSIONAR","ATENDE")</f>
        <v>ATENDE</v>
      </c>
      <c r="X9" s="1"/>
      <c r="Z9" t="s">
        <v>19</v>
      </c>
      <c r="AA9" s="16">
        <v>15</v>
      </c>
    </row>
    <row r="10" spans="1:27" x14ac:dyDescent="0.25">
      <c r="A10" s="28" t="s">
        <v>37</v>
      </c>
      <c r="B10" s="30">
        <v>13390</v>
      </c>
      <c r="C10" s="30"/>
      <c r="D10" s="30">
        <v>12.79</v>
      </c>
      <c r="E10" s="30"/>
      <c r="F10" s="24">
        <f t="shared" ref="F10:F15" si="1">IF(D10&lt;24.43,100,IF(D10&lt;670.9,100/(1+0.01016*((D10-24.37)^0.8712)),IF(D10&lt;1396,100/(1+0.7997*((D10-73.67)^0.19931)),IF(D10&gt;1396,23))))</f>
        <v>100</v>
      </c>
      <c r="G10" s="23"/>
      <c r="H10" s="24">
        <f>B10*F10/100</f>
        <v>13390</v>
      </c>
      <c r="I10" s="23"/>
      <c r="J10" s="25">
        <f t="shared" si="0"/>
        <v>1.5569767441860465</v>
      </c>
      <c r="K10" s="24">
        <f t="shared" ref="K10:K15" si="2">354*J10*((S10/100)+1.033)^-0.1*(V10^-2)</f>
        <v>2.4362178113438313</v>
      </c>
      <c r="L10" s="30"/>
      <c r="M10" s="30">
        <v>0.72</v>
      </c>
      <c r="N10" s="30"/>
      <c r="O10" s="30">
        <v>1.2</v>
      </c>
      <c r="P10" s="23">
        <f t="shared" ref="P10:P15" si="3">SUM(L10:O10)</f>
        <v>1.92</v>
      </c>
      <c r="Q10" s="24">
        <f>S9</f>
        <v>2.3682069668651016</v>
      </c>
      <c r="R10" s="25">
        <f>(((206580*(J10^1.8)*(0.6^0.8)*O10)/(V10^4.8))/9.81)-(0.01318*M10*($L$4-1))+(0.01318*N10*($L$4-1))</f>
        <v>8.8127625408796859E-2</v>
      </c>
      <c r="S10" s="24">
        <f t="shared" ref="S10:S15" si="4">SQRT(Q10^2-R10)</f>
        <v>2.3495268912058886</v>
      </c>
      <c r="T10" s="26">
        <f>Q10-S10+T9</f>
        <v>0.10047310879411153</v>
      </c>
      <c r="U10" s="32" t="s">
        <v>19</v>
      </c>
      <c r="V10" s="30">
        <f>IF(U10=$Z$9,$AA$9,IF(U10=$Z$10,$AA$10,IF(U10=$Z$11,$AA$11,IF(U10=$Z$12,$AA$12,IF(U10=$Z$13,$AA$13,IF(U10=$Z$14,$AA$14,IF(U10=$Z$15,$AA$15,IF(U10=#REF!,#REF!,IF(U10=#REF!,#REF!,"")))))))))</f>
        <v>15</v>
      </c>
      <c r="W10" s="27" t="str">
        <f t="shared" ref="W10:W15" si="5">IF(T10&gt;0.1*S10,"REDIMENSIONAR","ATENDE")</f>
        <v>ATENDE</v>
      </c>
      <c r="X10" s="1"/>
      <c r="Z10" t="s">
        <v>20</v>
      </c>
      <c r="AA10" s="16">
        <v>22</v>
      </c>
    </row>
    <row r="11" spans="1:27" x14ac:dyDescent="0.25">
      <c r="A11" s="28"/>
      <c r="B11" s="30"/>
      <c r="C11" s="30"/>
      <c r="D11" s="30"/>
      <c r="E11" s="30"/>
      <c r="F11" s="24"/>
      <c r="G11" s="23"/>
      <c r="H11" s="24"/>
      <c r="I11" s="23"/>
      <c r="J11" s="25"/>
      <c r="K11" s="24"/>
      <c r="L11" s="30"/>
      <c r="M11" s="30"/>
      <c r="N11" s="30"/>
      <c r="O11" s="30"/>
      <c r="P11" s="23"/>
      <c r="Q11" s="29"/>
      <c r="R11" s="25"/>
      <c r="S11" s="24"/>
      <c r="T11" s="26"/>
      <c r="U11" s="32"/>
      <c r="V11" s="30"/>
      <c r="W11" s="27"/>
      <c r="X11" s="1"/>
      <c r="Z11" t="s">
        <v>21</v>
      </c>
      <c r="AA11" s="16">
        <v>28</v>
      </c>
    </row>
    <row r="12" spans="1:27" x14ac:dyDescent="0.25">
      <c r="A12" s="28" t="s">
        <v>36</v>
      </c>
      <c r="B12" s="30">
        <f>+B13+B15</f>
        <v>21020</v>
      </c>
      <c r="C12" s="30"/>
      <c r="D12" s="30">
        <f>+D13+D15</f>
        <v>24.07</v>
      </c>
      <c r="E12" s="30"/>
      <c r="F12" s="24">
        <f t="shared" si="1"/>
        <v>100</v>
      </c>
      <c r="G12" s="23"/>
      <c r="H12" s="24">
        <f t="shared" ref="H12:H15" si="6">B12*F12/100</f>
        <v>21020</v>
      </c>
      <c r="I12" s="23"/>
      <c r="J12" s="25">
        <f t="shared" si="0"/>
        <v>2.4441860465116281</v>
      </c>
      <c r="K12" s="24">
        <f t="shared" si="2"/>
        <v>1.7778885094420045</v>
      </c>
      <c r="L12" s="30">
        <v>2</v>
      </c>
      <c r="M12" s="30"/>
      <c r="N12" s="30"/>
      <c r="O12" s="30">
        <v>3.1</v>
      </c>
      <c r="P12" s="23">
        <f t="shared" si="3"/>
        <v>5.0999999999999996</v>
      </c>
      <c r="Q12" s="29">
        <f>S9</f>
        <v>2.3682069668651016</v>
      </c>
      <c r="R12" s="25">
        <f>(((206580*(J12^1.8)*(0.6^0.8)*O12)/(V12^4.8))/9.81)-(0.01318*M12*($L$4-1))+(0.01318*N12*($L$4-1))</f>
        <v>7.8039550764796919E-2</v>
      </c>
      <c r="S12" s="24">
        <f t="shared" si="4"/>
        <v>2.3516727423567265</v>
      </c>
      <c r="T12" s="26">
        <f>Q12-S12+T11</f>
        <v>1.6534224508375051E-2</v>
      </c>
      <c r="U12" s="32" t="s">
        <v>20</v>
      </c>
      <c r="V12" s="30">
        <f>IF(U12=$Z$9,$AA$9,IF(U12=$Z$10,$AA$10,IF(U12=$Z$11,$AA$11,IF(U12=$Z$12,$AA$12,IF(U12=$Z$13,$AA$13,IF(U12=$Z$14,$AA$14,IF(U12=$Z$15,$AA$15,IF(U12=#REF!,#REF!,IF(U12=#REF!,#REF!,"")))))))))</f>
        <v>22</v>
      </c>
      <c r="W12" s="27" t="str">
        <f t="shared" si="5"/>
        <v>ATENDE</v>
      </c>
      <c r="X12" s="1"/>
      <c r="Z12" s="15" t="s">
        <v>22</v>
      </c>
      <c r="AA12" s="16">
        <v>35</v>
      </c>
    </row>
    <row r="13" spans="1:27" x14ac:dyDescent="0.25">
      <c r="A13" s="28" t="s">
        <v>38</v>
      </c>
      <c r="B13" s="30">
        <v>15000</v>
      </c>
      <c r="C13" s="30"/>
      <c r="D13" s="30">
        <v>17.09</v>
      </c>
      <c r="E13" s="30"/>
      <c r="F13" s="24">
        <f t="shared" si="1"/>
        <v>100</v>
      </c>
      <c r="G13" s="23"/>
      <c r="H13" s="24">
        <f t="shared" si="6"/>
        <v>15000</v>
      </c>
      <c r="I13" s="23"/>
      <c r="J13" s="25">
        <f t="shared" si="0"/>
        <v>1.7441860465116279</v>
      </c>
      <c r="K13" s="24">
        <f t="shared" si="2"/>
        <v>2.7292537908642345</v>
      </c>
      <c r="L13" s="30">
        <v>3</v>
      </c>
      <c r="M13" s="30">
        <v>1.1000000000000001</v>
      </c>
      <c r="N13" s="30"/>
      <c r="O13" s="30">
        <v>2.2999999999999998</v>
      </c>
      <c r="P13" s="23">
        <f t="shared" si="3"/>
        <v>6.3999999999999995</v>
      </c>
      <c r="Q13" s="29">
        <f t="shared" ref="Q13" si="7">S12</f>
        <v>2.3516727423567265</v>
      </c>
      <c r="R13" s="25">
        <f>(((206580*(J13^1.8)*(0.6^0.8)*O13)/(V13^4.8))/9.81)-(0.01318*M13*($L$4-1))+(0.01318*N13*($L$4-1))</f>
        <v>0.20408751059690491</v>
      </c>
      <c r="S13" s="24">
        <f t="shared" si="4"/>
        <v>2.3078728683674719</v>
      </c>
      <c r="T13" s="26">
        <f>Q13-S13+T12</f>
        <v>6.0334098497629718E-2</v>
      </c>
      <c r="U13" s="32" t="s">
        <v>19</v>
      </c>
      <c r="V13" s="30">
        <f>IF(U13=$Z$9,$AA$9,IF(U13=$Z$10,$AA$10,IF(U13=$Z$11,$AA$11,IF(U13=$Z$12,$AA$12,IF(U13=$Z$13,$AA$13,IF(U13=$Z$14,$AA$14,IF(U13=$Z$15,$AA$15,IF(U13=#REF!,#REF!,IF(U13=#REF!,#REF!,"")))))))))</f>
        <v>15</v>
      </c>
      <c r="W13" s="27" t="str">
        <f t="shared" si="5"/>
        <v>ATENDE</v>
      </c>
      <c r="X13" s="1"/>
      <c r="Z13" t="s">
        <v>23</v>
      </c>
      <c r="AA13" s="16">
        <v>42</v>
      </c>
    </row>
    <row r="14" spans="1:27" x14ac:dyDescent="0.25">
      <c r="A14" s="28"/>
      <c r="B14" s="30"/>
      <c r="C14" s="30"/>
      <c r="D14" s="30"/>
      <c r="E14" s="30"/>
      <c r="F14" s="24"/>
      <c r="G14" s="23"/>
      <c r="H14" s="24"/>
      <c r="I14" s="23"/>
      <c r="J14" s="25"/>
      <c r="K14" s="24"/>
      <c r="L14" s="30"/>
      <c r="M14" s="30"/>
      <c r="N14" s="30"/>
      <c r="O14" s="30"/>
      <c r="P14" s="23"/>
      <c r="Q14" s="29"/>
      <c r="R14" s="25"/>
      <c r="S14" s="24"/>
      <c r="T14" s="26"/>
      <c r="U14" s="32"/>
      <c r="V14" s="30"/>
      <c r="W14" s="27"/>
      <c r="X14" s="1"/>
      <c r="Z14" t="s">
        <v>24</v>
      </c>
      <c r="AA14" s="16">
        <v>54</v>
      </c>
    </row>
    <row r="15" spans="1:27" x14ac:dyDescent="0.25">
      <c r="A15" s="28" t="s">
        <v>39</v>
      </c>
      <c r="B15" s="30">
        <v>6020</v>
      </c>
      <c r="C15" s="30"/>
      <c r="D15" s="30">
        <v>6.98</v>
      </c>
      <c r="E15" s="30"/>
      <c r="F15" s="24">
        <f t="shared" si="1"/>
        <v>100</v>
      </c>
      <c r="G15" s="23"/>
      <c r="H15" s="24">
        <f t="shared" si="6"/>
        <v>6020</v>
      </c>
      <c r="I15" s="23"/>
      <c r="J15" s="25">
        <f t="shared" si="0"/>
        <v>0.7</v>
      </c>
      <c r="K15" s="24">
        <f t="shared" si="2"/>
        <v>1.0953040350728511</v>
      </c>
      <c r="L15" s="30">
        <v>4</v>
      </c>
      <c r="M15" s="30">
        <v>0.4</v>
      </c>
      <c r="N15" s="30"/>
      <c r="O15" s="30">
        <v>2.2999999999999998</v>
      </c>
      <c r="P15" s="23">
        <f t="shared" si="3"/>
        <v>6.7</v>
      </c>
      <c r="Q15" s="29">
        <f>S12</f>
        <v>2.3516727423567265</v>
      </c>
      <c r="R15" s="25">
        <f>(((206580*(J15^1.8)*(0.6^0.8)*O15)/(V15^4.8))/9.81)-(0.01318*M15*($L$4-1))+(0.01318*N15*($L$4-1))</f>
        <v>4.044477653893068E-2</v>
      </c>
      <c r="S15" s="24">
        <f t="shared" si="4"/>
        <v>2.3430578120491767</v>
      </c>
      <c r="T15" s="26">
        <f>Q15-S15+T14</f>
        <v>8.6149303075497841E-3</v>
      </c>
      <c r="U15" s="32" t="s">
        <v>19</v>
      </c>
      <c r="V15" s="30">
        <f>IF(U15=$Z$9,$AA$9,IF(U15=$Z$10,$AA$10,IF(U15=$Z$11,$AA$11,IF(U15=$Z$12,$AA$12,IF(U15=$Z$13,$AA$13,IF(U15=$Z$14,$AA$14,IF(U15=$Z$15,$AA$15,IF(U15=#REF!,#REF!,IF(U15=#REF!,#REF!,"")))))))))</f>
        <v>15</v>
      </c>
      <c r="W15" s="27" t="str">
        <f t="shared" si="5"/>
        <v>ATENDE</v>
      </c>
      <c r="X15" s="1"/>
      <c r="Z15" t="s">
        <v>25</v>
      </c>
      <c r="AA15" s="16">
        <v>64.7</v>
      </c>
    </row>
    <row r="16" spans="1:27" x14ac:dyDescent="0.25">
      <c r="X16" s="1"/>
    </row>
    <row r="17" spans="24:24" ht="14.25" customHeight="1" x14ac:dyDescent="0.25">
      <c r="X17" s="1"/>
    </row>
    <row r="18" spans="24:24" x14ac:dyDescent="0.25">
      <c r="X18" s="1"/>
    </row>
    <row r="19" spans="24:24" x14ac:dyDescent="0.25">
      <c r="X19" s="1"/>
    </row>
    <row r="20" spans="24:24" x14ac:dyDescent="0.25">
      <c r="X20" s="1"/>
    </row>
    <row r="21" spans="24:24" x14ac:dyDescent="0.25">
      <c r="X21" s="1"/>
    </row>
    <row r="22" spans="24:24" x14ac:dyDescent="0.25">
      <c r="X22" s="1"/>
    </row>
    <row r="23" spans="24:24" x14ac:dyDescent="0.25">
      <c r="X23" s="1"/>
    </row>
    <row r="24" spans="24:24" x14ac:dyDescent="0.25">
      <c r="X24" s="1"/>
    </row>
    <row r="25" spans="24:24" x14ac:dyDescent="0.25">
      <c r="X25" s="1"/>
    </row>
    <row r="26" spans="24:24" x14ac:dyDescent="0.25">
      <c r="X26" s="1"/>
    </row>
  </sheetData>
  <mergeCells count="8">
    <mergeCell ref="C1:W1"/>
    <mergeCell ref="G8:H8"/>
    <mergeCell ref="D8:E8"/>
    <mergeCell ref="I8:J8"/>
    <mergeCell ref="I4:K4"/>
    <mergeCell ref="B8:C8"/>
    <mergeCell ref="C2:F2"/>
    <mergeCell ref="C4:D4"/>
  </mergeCells>
  <conditionalFormatting sqref="K9:K15">
    <cfRule type="cellIs" dxfId="2" priority="5" operator="greaterThan">
      <formula>20</formula>
    </cfRule>
  </conditionalFormatting>
  <conditionalFormatting sqref="W9:W15">
    <cfRule type="cellIs" dxfId="1" priority="1" operator="equal">
      <formula>"""REDIMENSIONAR"""</formula>
    </cfRule>
    <cfRule type="cellIs" dxfId="0" priority="2" operator="equal">
      <formula>"""REDIMENSIONAR"""</formula>
    </cfRule>
  </conditionalFormatting>
  <dataValidations count="1">
    <dataValidation type="list" allowBlank="1" showInputMessage="1" showErrorMessage="1" sqref="U9:U15">
      <formula1>D_NOMINAL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D_INTERNO</vt:lpstr>
      <vt:lpstr>D_NOMINAL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EFPROENG0012</dc:creator>
  <cp:lastModifiedBy>EDERSON FANTI</cp:lastModifiedBy>
  <cp:lastPrinted>2014-11-05T16:27:41Z</cp:lastPrinted>
  <dcterms:created xsi:type="dcterms:W3CDTF">2014-10-15T16:42:33Z</dcterms:created>
  <dcterms:modified xsi:type="dcterms:W3CDTF">2016-03-03T00:37:51Z</dcterms:modified>
</cp:coreProperties>
</file>