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 CURSOS\2- Curso Instalações hidráulicas\"/>
    </mc:Choice>
  </mc:AlternateContent>
  <bookViews>
    <workbookView minimized="1" xWindow="360" yWindow="105" windowWidth="17175" windowHeight="6150"/>
  </bookViews>
  <sheets>
    <sheet name="Plan1" sheetId="1" r:id="rId1"/>
    <sheet name="Plan2" sheetId="2" r:id="rId2"/>
    <sheet name="Plan3" sheetId="3" r:id="rId3"/>
  </sheets>
  <definedNames>
    <definedName name="D_INTERNO">Plan1!$AA$1:$AA$9</definedName>
    <definedName name="D_NOMINAL">Plan1!$Z$1:$Z$9</definedName>
  </definedNames>
  <calcPr calcId="171027"/>
</workbook>
</file>

<file path=xl/calcChain.xml><?xml version="1.0" encoding="utf-8"?>
<calcChain xmlns="http://schemas.openxmlformats.org/spreadsheetml/2006/main">
  <c r="V38" i="1" l="1"/>
  <c r="P38" i="1"/>
  <c r="V37" i="1"/>
  <c r="P37" i="1"/>
  <c r="V36" i="1"/>
  <c r="P36" i="1"/>
  <c r="V35" i="1"/>
  <c r="P35" i="1"/>
  <c r="V34" i="1"/>
  <c r="P34" i="1"/>
  <c r="V33" i="1"/>
  <c r="P33" i="1"/>
  <c r="V32" i="1"/>
  <c r="P32" i="1"/>
  <c r="V31" i="1"/>
  <c r="P31" i="1"/>
  <c r="V30" i="1"/>
  <c r="P30" i="1"/>
  <c r="E38" i="1"/>
  <c r="E37" i="1"/>
  <c r="E36" i="1"/>
  <c r="E35" i="1"/>
  <c r="E34" i="1"/>
  <c r="E33" i="1"/>
  <c r="E32" i="1"/>
  <c r="E31" i="1"/>
  <c r="E30" i="1"/>
  <c r="V39" i="1"/>
  <c r="P39" i="1"/>
  <c r="E39" i="1"/>
  <c r="D39" i="1" s="1"/>
  <c r="F39" i="1" s="1"/>
  <c r="H39" i="1" s="1"/>
  <c r="J39" i="1" s="1"/>
  <c r="B39" i="1"/>
  <c r="B38" i="1" s="1"/>
  <c r="B37" i="1" s="1"/>
  <c r="B36" i="1" s="1"/>
  <c r="B35" i="1" s="1"/>
  <c r="B34" i="1" s="1"/>
  <c r="B33" i="1" s="1"/>
  <c r="B32" i="1" s="1"/>
  <c r="B31" i="1" s="1"/>
  <c r="B30" i="1" s="1"/>
  <c r="C10" i="1"/>
  <c r="C21" i="1"/>
  <c r="E21" i="1" s="1"/>
  <c r="E2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41" i="1"/>
  <c r="E42" i="1"/>
  <c r="E43" i="1"/>
  <c r="E44" i="1"/>
  <c r="E45" i="1"/>
  <c r="E46" i="1"/>
  <c r="E47" i="1"/>
  <c r="E48" i="1"/>
  <c r="E49" i="1"/>
  <c r="E50" i="1"/>
  <c r="E51" i="1"/>
  <c r="E52" i="1"/>
  <c r="D52" i="1" s="1"/>
  <c r="B52" i="1"/>
  <c r="B51" i="1" s="1"/>
  <c r="B50" i="1" s="1"/>
  <c r="B49" i="1" s="1"/>
  <c r="E53" i="1"/>
  <c r="D53" i="1"/>
  <c r="F53" i="1" s="1"/>
  <c r="H53" i="1" s="1"/>
  <c r="J53" i="1" s="1"/>
  <c r="V53" i="1"/>
  <c r="P53" i="1"/>
  <c r="V52" i="1"/>
  <c r="P52" i="1"/>
  <c r="V51" i="1"/>
  <c r="P51" i="1"/>
  <c r="V50" i="1"/>
  <c r="P50" i="1"/>
  <c r="V49" i="1"/>
  <c r="P49" i="1"/>
  <c r="V48" i="1"/>
  <c r="P48" i="1"/>
  <c r="D38" i="1" l="1"/>
  <c r="F38" i="1" s="1"/>
  <c r="H38" i="1" s="1"/>
  <c r="J38" i="1" s="1"/>
  <c r="R38" i="1" s="1"/>
  <c r="D37" i="1"/>
  <c r="R39" i="1"/>
  <c r="D51" i="1"/>
  <c r="D50" i="1" s="1"/>
  <c r="F50" i="1" s="1"/>
  <c r="H50" i="1" s="1"/>
  <c r="J50" i="1" s="1"/>
  <c r="R50" i="1" s="1"/>
  <c r="F52" i="1"/>
  <c r="H52" i="1" s="1"/>
  <c r="J52" i="1" s="1"/>
  <c r="R52" i="1" s="1"/>
  <c r="B48" i="1"/>
  <c r="B47" i="1" s="1"/>
  <c r="B46" i="1" s="1"/>
  <c r="B45" i="1" s="1"/>
  <c r="B44" i="1" s="1"/>
  <c r="B43" i="1" s="1"/>
  <c r="B42" i="1" s="1"/>
  <c r="B41" i="1" s="1"/>
  <c r="R53" i="1"/>
  <c r="V47" i="1"/>
  <c r="P47" i="1"/>
  <c r="V46" i="1"/>
  <c r="P46" i="1"/>
  <c r="V45" i="1"/>
  <c r="P45" i="1"/>
  <c r="V44" i="1"/>
  <c r="P44" i="1"/>
  <c r="V43" i="1"/>
  <c r="P43" i="1"/>
  <c r="V42" i="1"/>
  <c r="P42" i="1"/>
  <c r="V41" i="1"/>
  <c r="P41" i="1"/>
  <c r="V28" i="1"/>
  <c r="P28" i="1"/>
  <c r="V27" i="1"/>
  <c r="P27" i="1"/>
  <c r="V26" i="1"/>
  <c r="P26" i="1"/>
  <c r="V25" i="1"/>
  <c r="P25" i="1"/>
  <c r="V24" i="1"/>
  <c r="P24" i="1"/>
  <c r="V23" i="1"/>
  <c r="P23" i="1"/>
  <c r="V22" i="1"/>
  <c r="P22" i="1"/>
  <c r="V21" i="1"/>
  <c r="P21" i="1"/>
  <c r="D36" i="1" l="1"/>
  <c r="F37" i="1"/>
  <c r="H37" i="1" s="1"/>
  <c r="J37" i="1" s="1"/>
  <c r="R37" i="1" s="1"/>
  <c r="B28" i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F51" i="1"/>
  <c r="H51" i="1" s="1"/>
  <c r="J51" i="1" s="1"/>
  <c r="R51" i="1" s="1"/>
  <c r="D49" i="1"/>
  <c r="D48" i="1" s="1"/>
  <c r="F49" i="1"/>
  <c r="H49" i="1" s="1"/>
  <c r="J49" i="1" s="1"/>
  <c r="R49" i="1" s="1"/>
  <c r="D35" i="1" l="1"/>
  <c r="F36" i="1"/>
  <c r="H36" i="1" s="1"/>
  <c r="J36" i="1" s="1"/>
  <c r="R36" i="1" s="1"/>
  <c r="D47" i="1"/>
  <c r="F48" i="1"/>
  <c r="H48" i="1" s="1"/>
  <c r="J48" i="1" s="1"/>
  <c r="R48" i="1" s="1"/>
  <c r="P10" i="1"/>
  <c r="P11" i="1"/>
  <c r="P12" i="1"/>
  <c r="P13" i="1"/>
  <c r="P14" i="1"/>
  <c r="P15" i="1"/>
  <c r="P16" i="1"/>
  <c r="P17" i="1"/>
  <c r="P18" i="1"/>
  <c r="P19" i="1"/>
  <c r="P20" i="1"/>
  <c r="P9" i="1"/>
  <c r="V10" i="1"/>
  <c r="V11" i="1"/>
  <c r="V12" i="1"/>
  <c r="V13" i="1"/>
  <c r="V14" i="1"/>
  <c r="V15" i="1"/>
  <c r="V16" i="1"/>
  <c r="V17" i="1"/>
  <c r="V18" i="1"/>
  <c r="V19" i="1"/>
  <c r="V20" i="1"/>
  <c r="V9" i="1"/>
  <c r="F35" i="1" l="1"/>
  <c r="H35" i="1" s="1"/>
  <c r="J35" i="1" s="1"/>
  <c r="R35" i="1" s="1"/>
  <c r="D34" i="1"/>
  <c r="D46" i="1"/>
  <c r="F47" i="1"/>
  <c r="H47" i="1" s="1"/>
  <c r="J47" i="1" s="1"/>
  <c r="R47" i="1" s="1"/>
  <c r="D33" i="1" l="1"/>
  <c r="F34" i="1"/>
  <c r="H34" i="1" s="1"/>
  <c r="J34" i="1" s="1"/>
  <c r="R34" i="1" s="1"/>
  <c r="D45" i="1"/>
  <c r="F46" i="1"/>
  <c r="H46" i="1" s="1"/>
  <c r="J46" i="1" s="1"/>
  <c r="R46" i="1" s="1"/>
  <c r="D32" i="1" l="1"/>
  <c r="F33" i="1"/>
  <c r="H33" i="1" s="1"/>
  <c r="J33" i="1" s="1"/>
  <c r="R33" i="1" s="1"/>
  <c r="D44" i="1"/>
  <c r="F45" i="1"/>
  <c r="H45" i="1" s="1"/>
  <c r="J45" i="1" s="1"/>
  <c r="R45" i="1" s="1"/>
  <c r="D31" i="1" l="1"/>
  <c r="F32" i="1"/>
  <c r="H32" i="1" s="1"/>
  <c r="J32" i="1" s="1"/>
  <c r="R32" i="1" s="1"/>
  <c r="D43" i="1"/>
  <c r="F44" i="1"/>
  <c r="H44" i="1" s="1"/>
  <c r="J44" i="1" s="1"/>
  <c r="R44" i="1" s="1"/>
  <c r="D30" i="1" l="1"/>
  <c r="F31" i="1"/>
  <c r="H31" i="1" s="1"/>
  <c r="J31" i="1" s="1"/>
  <c r="R31" i="1" s="1"/>
  <c r="D42" i="1"/>
  <c r="F43" i="1"/>
  <c r="H43" i="1" s="1"/>
  <c r="J43" i="1" s="1"/>
  <c r="R43" i="1" s="1"/>
  <c r="F30" i="1" l="1"/>
  <c r="H30" i="1" s="1"/>
  <c r="J30" i="1" s="1"/>
  <c r="R30" i="1" s="1"/>
  <c r="D41" i="1"/>
  <c r="D28" i="1" s="1"/>
  <c r="F42" i="1"/>
  <c r="H42" i="1" s="1"/>
  <c r="J42" i="1" s="1"/>
  <c r="R42" i="1" s="1"/>
  <c r="F41" i="1" l="1"/>
  <c r="H41" i="1" s="1"/>
  <c r="J41" i="1" s="1"/>
  <c r="R41" i="1" s="1"/>
  <c r="D27" i="1" l="1"/>
  <c r="F28" i="1"/>
  <c r="H28" i="1" s="1"/>
  <c r="J28" i="1" s="1"/>
  <c r="R28" i="1" s="1"/>
  <c r="D26" i="1" l="1"/>
  <c r="F27" i="1"/>
  <c r="H27" i="1" s="1"/>
  <c r="J27" i="1" s="1"/>
  <c r="R27" i="1" s="1"/>
  <c r="D25" i="1" l="1"/>
  <c r="F26" i="1"/>
  <c r="H26" i="1" s="1"/>
  <c r="J26" i="1" s="1"/>
  <c r="R26" i="1" s="1"/>
  <c r="D24" i="1" l="1"/>
  <c r="F25" i="1"/>
  <c r="H25" i="1" s="1"/>
  <c r="J25" i="1" s="1"/>
  <c r="R25" i="1" s="1"/>
  <c r="D23" i="1" l="1"/>
  <c r="F24" i="1"/>
  <c r="H24" i="1" s="1"/>
  <c r="J24" i="1" s="1"/>
  <c r="R24" i="1" s="1"/>
  <c r="D22" i="1" l="1"/>
  <c r="F23" i="1"/>
  <c r="H23" i="1" s="1"/>
  <c r="J23" i="1" s="1"/>
  <c r="R23" i="1" s="1"/>
  <c r="D21" i="1" l="1"/>
  <c r="F22" i="1"/>
  <c r="H22" i="1" s="1"/>
  <c r="J22" i="1" s="1"/>
  <c r="R22" i="1" s="1"/>
  <c r="D20" i="1" l="1"/>
  <c r="F21" i="1"/>
  <c r="H21" i="1" s="1"/>
  <c r="J21" i="1" s="1"/>
  <c r="R21" i="1" s="1"/>
  <c r="D19" i="1" l="1"/>
  <c r="F20" i="1"/>
  <c r="H20" i="1" s="1"/>
  <c r="J20" i="1" s="1"/>
  <c r="R20" i="1" s="1"/>
  <c r="D18" i="1" l="1"/>
  <c r="F19" i="1"/>
  <c r="H19" i="1" s="1"/>
  <c r="J19" i="1" s="1"/>
  <c r="R19" i="1" s="1"/>
  <c r="D17" i="1" l="1"/>
  <c r="F18" i="1"/>
  <c r="H18" i="1" s="1"/>
  <c r="J18" i="1" s="1"/>
  <c r="R18" i="1" s="1"/>
  <c r="D16" i="1" l="1"/>
  <c r="F17" i="1"/>
  <c r="H17" i="1" s="1"/>
  <c r="J17" i="1" s="1"/>
  <c r="R17" i="1" s="1"/>
  <c r="D15" i="1" l="1"/>
  <c r="F16" i="1"/>
  <c r="H16" i="1" s="1"/>
  <c r="J16" i="1" s="1"/>
  <c r="R16" i="1" s="1"/>
  <c r="D14" i="1" l="1"/>
  <c r="F15" i="1"/>
  <c r="H15" i="1" s="1"/>
  <c r="J15" i="1" s="1"/>
  <c r="R15" i="1" s="1"/>
  <c r="D13" i="1" l="1"/>
  <c r="F14" i="1"/>
  <c r="H14" i="1" s="1"/>
  <c r="J14" i="1" s="1"/>
  <c r="R14" i="1" s="1"/>
  <c r="D12" i="1" l="1"/>
  <c r="F13" i="1"/>
  <c r="H13" i="1" s="1"/>
  <c r="J13" i="1" s="1"/>
  <c r="R13" i="1" l="1"/>
  <c r="D11" i="1"/>
  <c r="F12" i="1"/>
  <c r="H12" i="1" s="1"/>
  <c r="J12" i="1" s="1"/>
  <c r="R12" i="1" l="1"/>
  <c r="D10" i="1"/>
  <c r="F11" i="1"/>
  <c r="H11" i="1" s="1"/>
  <c r="J11" i="1" s="1"/>
  <c r="R11" i="1" l="1"/>
  <c r="D9" i="1"/>
  <c r="F9" i="1" s="1"/>
  <c r="H9" i="1" s="1"/>
  <c r="J9" i="1" s="1"/>
  <c r="F10" i="1"/>
  <c r="H10" i="1" s="1"/>
  <c r="J10" i="1" s="1"/>
  <c r="R10" i="1" l="1"/>
  <c r="R9" i="1"/>
  <c r="S9" i="1" s="1"/>
  <c r="K9" i="1" s="1"/>
  <c r="T9" i="1" l="1"/>
  <c r="W9" i="1" s="1"/>
  <c r="Q10" i="1"/>
  <c r="S10" i="1" s="1"/>
  <c r="T10" i="1" l="1"/>
  <c r="Q14" i="1"/>
  <c r="S14" i="1" s="1"/>
  <c r="Q11" i="1"/>
  <c r="K10" i="1"/>
  <c r="S11" i="1" l="1"/>
  <c r="T11" i="1" s="1"/>
  <c r="T14" i="1"/>
  <c r="Q15" i="1"/>
  <c r="S15" i="1" s="1"/>
  <c r="Q16" i="1"/>
  <c r="S16" i="1" s="1"/>
  <c r="K14" i="1"/>
  <c r="T15" i="1" l="1"/>
  <c r="K15" i="1"/>
  <c r="T16" i="1"/>
  <c r="Q17" i="1"/>
  <c r="S17" i="1" s="1"/>
  <c r="Q18" i="1"/>
  <c r="K16" i="1"/>
  <c r="Q12" i="1"/>
  <c r="K11" i="1"/>
  <c r="T17" i="1" l="1"/>
  <c r="K17" i="1"/>
  <c r="S12" i="1"/>
  <c r="T12" i="1" s="1"/>
  <c r="S18" i="1"/>
  <c r="T18" i="1" s="1"/>
  <c r="Q13" i="1" l="1"/>
  <c r="S13" i="1" s="1"/>
  <c r="K12" i="1"/>
  <c r="Q19" i="1"/>
  <c r="K18" i="1"/>
  <c r="S19" i="1" l="1"/>
  <c r="T19" i="1" s="1"/>
  <c r="W19" i="1" s="1"/>
  <c r="T13" i="1"/>
  <c r="K13" i="1"/>
  <c r="Q20" i="1" l="1"/>
  <c r="K19" i="1"/>
  <c r="W18" i="1"/>
  <c r="S20" i="1" l="1"/>
  <c r="T20" i="1" s="1"/>
  <c r="W20" i="1" s="1"/>
  <c r="W17" i="1"/>
  <c r="K20" i="1" l="1"/>
  <c r="Q21" i="1"/>
  <c r="S21" i="1" s="1"/>
  <c r="W16" i="1"/>
  <c r="T21" i="1" l="1"/>
  <c r="W21" i="1" s="1"/>
  <c r="Q22" i="1"/>
  <c r="K21" i="1"/>
  <c r="W15" i="1"/>
  <c r="S22" i="1" l="1"/>
  <c r="W14" i="1"/>
  <c r="T22" i="1" l="1"/>
  <c r="W22" i="1" s="1"/>
  <c r="K22" i="1"/>
  <c r="Q23" i="1"/>
  <c r="S23" i="1" s="1"/>
  <c r="W13" i="1"/>
  <c r="T23" i="1" l="1"/>
  <c r="W23" i="1" s="1"/>
  <c r="K23" i="1"/>
  <c r="Q24" i="1"/>
  <c r="S24" i="1" s="1"/>
  <c r="W12" i="1"/>
  <c r="T24" i="1" l="1"/>
  <c r="W24" i="1" s="1"/>
  <c r="Q25" i="1"/>
  <c r="K24" i="1"/>
  <c r="W11" i="1"/>
  <c r="S25" i="1" l="1"/>
  <c r="W10" i="1"/>
  <c r="T25" i="1" l="1"/>
  <c r="W25" i="1" s="1"/>
  <c r="K25" i="1"/>
  <c r="Q26" i="1"/>
  <c r="S26" i="1" l="1"/>
  <c r="T26" i="1" l="1"/>
  <c r="W26" i="1" s="1"/>
  <c r="Q27" i="1"/>
  <c r="S27" i="1" s="1"/>
  <c r="K26" i="1"/>
  <c r="T27" i="1" l="1"/>
  <c r="W27" i="1" s="1"/>
  <c r="Q28" i="1"/>
  <c r="S28" i="1" s="1"/>
  <c r="K27" i="1"/>
  <c r="Q30" i="1" l="1"/>
  <c r="T28" i="1"/>
  <c r="W28" i="1" s="1"/>
  <c r="Q41" i="1"/>
  <c r="K28" i="1"/>
  <c r="S30" i="1" l="1"/>
  <c r="S41" i="1"/>
  <c r="T41" i="1" s="1"/>
  <c r="W41" i="1" s="1"/>
  <c r="K30" i="1" l="1"/>
  <c r="Q31" i="1"/>
  <c r="S31" i="1" s="1"/>
  <c r="T30" i="1"/>
  <c r="K41" i="1"/>
  <c r="Q42" i="1"/>
  <c r="T31" i="1" l="1"/>
  <c r="W31" i="1" s="1"/>
  <c r="Q32" i="1"/>
  <c r="S32" i="1" s="1"/>
  <c r="K31" i="1"/>
  <c r="W30" i="1"/>
  <c r="S42" i="1"/>
  <c r="T42" i="1" s="1"/>
  <c r="W42" i="1" s="1"/>
  <c r="T32" i="1" l="1"/>
  <c r="Q33" i="1"/>
  <c r="S33" i="1" s="1"/>
  <c r="K32" i="1"/>
  <c r="W32" i="1"/>
  <c r="K42" i="1"/>
  <c r="Q43" i="1"/>
  <c r="T33" i="1" l="1"/>
  <c r="W33" i="1" s="1"/>
  <c r="Q34" i="1"/>
  <c r="K33" i="1"/>
  <c r="S43" i="1"/>
  <c r="T43" i="1" s="1"/>
  <c r="W43" i="1" s="1"/>
  <c r="S34" i="1" l="1"/>
  <c r="Q44" i="1"/>
  <c r="S44" i="1" s="1"/>
  <c r="K43" i="1"/>
  <c r="Q35" i="1" l="1"/>
  <c r="K34" i="1"/>
  <c r="T34" i="1"/>
  <c r="W34" i="1" s="1"/>
  <c r="T44" i="1"/>
  <c r="W44" i="1" s="1"/>
  <c r="Q45" i="1"/>
  <c r="K44" i="1"/>
  <c r="S35" i="1" l="1"/>
  <c r="T35" i="1"/>
  <c r="W35" i="1" s="1"/>
  <c r="S45" i="1"/>
  <c r="T45" i="1" s="1"/>
  <c r="W45" i="1" s="1"/>
  <c r="Q36" i="1" l="1"/>
  <c r="K35" i="1"/>
  <c r="K45" i="1"/>
  <c r="Q46" i="1"/>
  <c r="S36" i="1" l="1"/>
  <c r="S46" i="1"/>
  <c r="Q37" i="1" l="1"/>
  <c r="K36" i="1"/>
  <c r="T36" i="1"/>
  <c r="W36" i="1" s="1"/>
  <c r="K46" i="1"/>
  <c r="Q47" i="1"/>
  <c r="T46" i="1"/>
  <c r="W46" i="1" s="1"/>
  <c r="S37" i="1" l="1"/>
  <c r="T37" i="1" s="1"/>
  <c r="W37" i="1" s="1"/>
  <c r="S47" i="1"/>
  <c r="Q38" i="1" l="1"/>
  <c r="K37" i="1"/>
  <c r="Q48" i="1"/>
  <c r="K47" i="1"/>
  <c r="T47" i="1"/>
  <c r="W47" i="1" s="1"/>
  <c r="S38" i="1" l="1"/>
  <c r="T38" i="1" s="1"/>
  <c r="W38" i="1" s="1"/>
  <c r="S48" i="1"/>
  <c r="T48" i="1" s="1"/>
  <c r="W48" i="1" s="1"/>
  <c r="K38" i="1" l="1"/>
  <c r="Q39" i="1"/>
  <c r="K48" i="1"/>
  <c r="Q49" i="1"/>
  <c r="S39" i="1" l="1"/>
  <c r="K39" i="1" s="1"/>
  <c r="S49" i="1"/>
  <c r="T49" i="1" s="1"/>
  <c r="W49" i="1" s="1"/>
  <c r="T39" i="1" l="1"/>
  <c r="W39" i="1" s="1"/>
  <c r="K49" i="1"/>
  <c r="Q50" i="1"/>
  <c r="S50" i="1" l="1"/>
  <c r="K50" i="1" l="1"/>
  <c r="Q51" i="1"/>
  <c r="T50" i="1"/>
  <c r="W50" i="1" s="1"/>
  <c r="S51" i="1" l="1"/>
  <c r="Q52" i="1" l="1"/>
  <c r="K51" i="1"/>
  <c r="T51" i="1"/>
  <c r="W51" i="1" s="1"/>
  <c r="S52" i="1" l="1"/>
  <c r="K52" i="1" l="1"/>
  <c r="Q53" i="1"/>
  <c r="T52" i="1"/>
  <c r="W52" i="1" s="1"/>
  <c r="S53" i="1" l="1"/>
  <c r="K53" i="1" s="1"/>
  <c r="T53" i="1" l="1"/>
  <c r="W53" i="1" s="1"/>
</calcChain>
</file>

<file path=xl/sharedStrings.xml><?xml version="1.0" encoding="utf-8"?>
<sst xmlns="http://schemas.openxmlformats.org/spreadsheetml/2006/main" count="124" uniqueCount="81">
  <si>
    <t>TRECHO</t>
  </si>
  <si>
    <t>POTÊNCIA COMPUTADA (kcal/h)</t>
  </si>
  <si>
    <t>F.S (%)</t>
  </si>
  <si>
    <t>PRUMADA 2 APTOS</t>
  </si>
  <si>
    <t>PRUMADA 4 APTOS</t>
  </si>
  <si>
    <t>POTENCIA NOMINAL DE CONSUMO:</t>
  </si>
  <si>
    <t>POTÊNCIA ADOTADA (kcal/h)</t>
  </si>
  <si>
    <t>kcal/h</t>
  </si>
  <si>
    <t>POTÊNCIA COMPUTADA (kW)</t>
  </si>
  <si>
    <t>VAZÃO DO GLP (m3/h)</t>
  </si>
  <si>
    <t>PCI=</t>
  </si>
  <si>
    <t>kW</t>
  </si>
  <si>
    <t>kcal/m3</t>
  </si>
  <si>
    <t>Leq(m)</t>
  </si>
  <si>
    <t>Ltotal(m)</t>
  </si>
  <si>
    <t>P  INICIAL (kPa)</t>
  </si>
  <si>
    <t>P FINAL (kPa)</t>
  </si>
  <si>
    <t>D NOM. (pol.)</t>
  </si>
  <si>
    <t>D INT. (mm)</t>
  </si>
  <si>
    <t>DENSIDADE RELATIVA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</si>
  <si>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</si>
  <si>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</si>
  <si>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</si>
  <si>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</si>
  <si>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</si>
  <si>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</si>
  <si>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</si>
  <si>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</si>
  <si>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</si>
  <si>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V (m/s)</t>
  </si>
  <si>
    <t>L SOBE(m)</t>
  </si>
  <si>
    <t>L HORIZ.(m)</t>
  </si>
  <si>
    <t>L DESCE(m)</t>
  </si>
  <si>
    <t>OBSERVAÇÕES</t>
  </si>
  <si>
    <t>ΔP</t>
  </si>
  <si>
    <t>P. DE CARGA</t>
  </si>
  <si>
    <t>APARTAMENTOS</t>
  </si>
  <si>
    <t>PLANILHA DE CALCULO REDE DE GÁS - GLP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</si>
  <si>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</si>
  <si>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</si>
  <si>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</si>
  <si>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</si>
  <si>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</si>
  <si>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</si>
  <si>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</si>
  <si>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</si>
  <si>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</si>
  <si>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</si>
  <si>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</si>
  <si>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</si>
  <si>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</si>
  <si>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</si>
  <si>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</si>
  <si>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</si>
  <si>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</si>
  <si>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</si>
  <si>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</si>
  <si>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</si>
  <si>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</si>
  <si>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</si>
  <si>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</si>
  <si>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</si>
  <si>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</si>
  <si>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</si>
  <si>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27-28</t>
  </si>
  <si>
    <t>28-29-</t>
  </si>
  <si>
    <t>29-30</t>
  </si>
  <si>
    <t>30-31</t>
  </si>
  <si>
    <t>31-32</t>
  </si>
  <si>
    <t>32-33</t>
  </si>
  <si>
    <t>33-34</t>
  </si>
  <si>
    <t>21-35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</si>
  <si>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</si>
  <si>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</si>
  <si>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</si>
  <si>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</si>
  <si>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</si>
  <si>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</si>
  <si>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</si>
  <si>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</si>
  <si>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43-44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</si>
</sst>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12" fontId="0" fillId="0" borderId="0" xfId="0" applyNumberFormat="1"/>
    <xf numFmtId="165" fontId="0" fillId="0" borderId="0" xfId="0" applyNumberFormat="1"/>
    <xf numFmtId="0" fontId="1" fillId="3" borderId="9" xfId="0" applyFont="1" applyFill="1" applyBorder="1" applyAlignment="1">
      <alignment horizontal="center" wrapText="1"/>
    </xf>
    <xf numFmtId="49" fontId="0" fillId="0" borderId="0" xfId="0" applyNumberFormat="1"/>
    <xf numFmtId="49" fontId="2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49" fontId="2" fillId="5" borderId="9" xfId="0" applyNumberFormat="1" applyFont="1" applyFill="1" applyBorder="1"/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3" fillId="0" borderId="9" xfId="0" applyNumberFormat="1" applyFont="1" applyBorder="1"/>
    <xf numFmtId="0" fontId="0" fillId="2" borderId="9" xfId="0" applyFill="1" applyBorder="1" applyAlignment="1">
      <alignment horizontal="center"/>
    </xf>
    <xf numFmtId="49" fontId="2" fillId="4" borderId="9" xfId="0" applyNumberFormat="1" applyFont="1" applyFill="1" applyBorder="1"/>
    <xf numFmtId="2" fontId="0" fillId="0" borderId="9" xfId="0" applyNumberFormat="1" applyFont="1" applyBorder="1"/>
    <xf numFmtId="0" fontId="0" fillId="4" borderId="9" xfId="0" applyFill="1" applyBorder="1"/>
    <xf numFmtId="2" fontId="0" fillId="4" borderId="9" xfId="0" applyNumberFormat="1" applyFill="1" applyBorder="1"/>
    <xf numFmtId="0" fontId="0" fillId="4" borderId="9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5" borderId="9" xfId="0" applyFill="1" applyBorder="1"/>
    <xf numFmtId="0" fontId="0" fillId="5" borderId="0" xfId="0" applyFill="1"/>
    <xf numFmtId="2" fontId="0" fillId="5" borderId="9" xfId="0" applyNumberFormat="1" applyFont="1" applyFill="1" applyBorder="1"/>
    <xf numFmtId="0" fontId="4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164" fontId="0" fillId="5" borderId="9" xfId="0" applyNumberFormat="1" applyFill="1" applyBorder="1"/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topLeftCell="D1" zoomScale="130" zoomScaleNormal="130" workbookViewId="0">
      <selection activeCell="J9" sqref="J9"/>
    </sheetView>
  </sheetViews>
  <sheetFormatPr defaultRowHeight="15" x14ac:dyDescent="0.25"/>
  <cols>
    <col min="1" max="1" width="9.140625" style="18"/>
    <col min="2" max="2" width="9.140625" customWidth="1"/>
    <col min="4" max="4" width="9.28515625" bestFit="1" customWidth="1"/>
    <col min="6" max="6" width="11.7109375" bestFit="1" customWidth="1"/>
    <col min="8" max="8" width="10" bestFit="1" customWidth="1"/>
    <col min="10" max="10" width="9.28515625" bestFit="1" customWidth="1"/>
    <col min="11" max="11" width="12" bestFit="1" customWidth="1"/>
    <col min="12" max="14" width="10.28515625" customWidth="1"/>
    <col min="15" max="17" width="9.28515625" bestFit="1" customWidth="1"/>
    <col min="18" max="18" width="10" bestFit="1" customWidth="1"/>
    <col min="19" max="20" width="9.28515625" bestFit="1" customWidth="1"/>
    <col min="22" max="22" width="9.28515625" bestFit="1" customWidth="1"/>
    <col min="23" max="23" width="18.28515625" customWidth="1"/>
    <col min="24" max="24" width="6.7109375" customWidth="1"/>
  </cols>
  <sheetData>
    <row r="1" spans="1:27" ht="21" x14ac:dyDescent="0.35">
      <c r="C1" s="37" t="s">
        <v>37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Z1" t="s">
        <v>20</v>
      </c>
      <c r="AA1" s="16">
        <v>14</v>
      </c>
    </row>
    <row r="2" spans="1:27" x14ac:dyDescent="0.25">
      <c r="C2" s="41" t="s">
        <v>5</v>
      </c>
      <c r="D2" s="42"/>
      <c r="E2" s="42"/>
      <c r="F2" s="42"/>
      <c r="G2" s="6"/>
      <c r="I2" t="s">
        <v>10</v>
      </c>
      <c r="J2" s="35">
        <v>24000</v>
      </c>
      <c r="K2" t="s">
        <v>12</v>
      </c>
      <c r="Z2" t="s">
        <v>21</v>
      </c>
      <c r="AA2" s="16">
        <v>20.8</v>
      </c>
    </row>
    <row r="3" spans="1:27" x14ac:dyDescent="0.25">
      <c r="C3" s="12"/>
      <c r="D3" s="7"/>
      <c r="E3" s="7"/>
      <c r="F3" s="4" t="s">
        <v>7</v>
      </c>
      <c r="G3" s="3" t="s">
        <v>11</v>
      </c>
      <c r="Z3" t="s">
        <v>22</v>
      </c>
      <c r="AA3" s="16">
        <v>26.8</v>
      </c>
    </row>
    <row r="4" spans="1:27" x14ac:dyDescent="0.25">
      <c r="C4" s="43" t="s">
        <v>36</v>
      </c>
      <c r="D4" s="44"/>
      <c r="E4" s="2"/>
      <c r="F4" s="4">
        <v>9288</v>
      </c>
      <c r="G4" s="8">
        <v>10.8</v>
      </c>
      <c r="I4" s="40" t="s">
        <v>19</v>
      </c>
      <c r="J4" s="40"/>
      <c r="K4" s="40"/>
      <c r="L4" s="35">
        <v>1.8</v>
      </c>
      <c r="Z4" s="15" t="s">
        <v>23</v>
      </c>
      <c r="AA4" s="16">
        <v>33.6</v>
      </c>
    </row>
    <row r="5" spans="1:27" x14ac:dyDescent="0.25">
      <c r="C5" s="11" t="s">
        <v>3</v>
      </c>
      <c r="D5" s="2"/>
      <c r="E5" s="4"/>
      <c r="F5" s="4"/>
      <c r="G5" s="8"/>
      <c r="Z5" t="s">
        <v>24</v>
      </c>
      <c r="AA5" s="16">
        <v>40.4</v>
      </c>
    </row>
    <row r="6" spans="1:27" x14ac:dyDescent="0.25">
      <c r="C6" s="10" t="s">
        <v>4</v>
      </c>
      <c r="D6" s="5"/>
      <c r="E6" s="5"/>
      <c r="F6" s="13"/>
      <c r="G6" s="9"/>
      <c r="Z6" t="s">
        <v>25</v>
      </c>
      <c r="AA6" s="16">
        <v>52.2</v>
      </c>
    </row>
    <row r="7" spans="1:27" x14ac:dyDescent="0.25">
      <c r="Z7" t="s">
        <v>26</v>
      </c>
      <c r="AA7" s="16">
        <v>64.7</v>
      </c>
    </row>
    <row r="8" spans="1:27" ht="26.25" customHeight="1" x14ac:dyDescent="0.25">
      <c r="A8" s="19" t="s">
        <v>0</v>
      </c>
      <c r="B8" s="38" t="s">
        <v>1</v>
      </c>
      <c r="C8" s="38"/>
      <c r="D8" s="38" t="s">
        <v>8</v>
      </c>
      <c r="E8" s="38"/>
      <c r="F8" s="20" t="s">
        <v>2</v>
      </c>
      <c r="G8" s="38" t="s">
        <v>6</v>
      </c>
      <c r="H8" s="38"/>
      <c r="I8" s="39" t="s">
        <v>9</v>
      </c>
      <c r="J8" s="39"/>
      <c r="K8" s="17" t="s">
        <v>29</v>
      </c>
      <c r="L8" s="17" t="s">
        <v>31</v>
      </c>
      <c r="M8" s="20" t="s">
        <v>30</v>
      </c>
      <c r="N8" s="17" t="s">
        <v>32</v>
      </c>
      <c r="O8" s="20" t="s">
        <v>13</v>
      </c>
      <c r="P8" s="21" t="s">
        <v>14</v>
      </c>
      <c r="Q8" s="17" t="s">
        <v>15</v>
      </c>
      <c r="R8" s="17" t="s">
        <v>34</v>
      </c>
      <c r="S8" s="17" t="s">
        <v>16</v>
      </c>
      <c r="T8" s="17" t="s">
        <v>35</v>
      </c>
      <c r="U8" s="17" t="s">
        <v>17</v>
      </c>
      <c r="V8" s="17" t="s">
        <v>18</v>
      </c>
      <c r="W8" s="17" t="s">
        <v>33</v>
      </c>
      <c r="X8" s="14"/>
      <c r="Z8" t="s">
        <v>27</v>
      </c>
      <c r="AA8" s="16">
        <v>77</v>
      </c>
    </row>
    <row r="9" spans="1:27" x14ac:dyDescent="0.25">
      <c r="A9" s="22" t="s">
        <v>38</v>
      </c>
      <c r="B9" s="30">
        <f t="shared" ref="B9:B51" si="0">+C9+B10</f>
        <v>3906000</v>
      </c>
      <c r="C9" s="30">
        <v>62000</v>
      </c>
      <c r="D9" s="30">
        <f t="shared" ref="D9:D51" si="1">+E9+D10</f>
        <v>4544.2911324662036</v>
      </c>
      <c r="E9" s="30">
        <f t="shared" ref="E9:E52" si="2">+C9/859.54</f>
        <v>72.13160527724132</v>
      </c>
      <c r="F9" s="24">
        <f>IF(D9&lt;24.43,100,IF(D9&lt;670.9,100/(1+0.01016*((D9-24.37)^0.8712)),IF(D9&lt;1396,100/(1+0.7997*((D9-73.67)^0.19931)),IF(D9&gt;1396,23))))</f>
        <v>23</v>
      </c>
      <c r="G9" s="23"/>
      <c r="H9" s="24">
        <f>B9*F9/100</f>
        <v>898380</v>
      </c>
      <c r="I9" s="23"/>
      <c r="J9" s="45">
        <f t="shared" ref="J9:J20" si="3">H9/$J$2</f>
        <v>37.432499999999997</v>
      </c>
      <c r="K9" s="24">
        <f>354*J9*((S9/100)+1.033)^-0.1*(V9^-2)</f>
        <v>16.878469363670277</v>
      </c>
      <c r="L9" s="30">
        <v>33.799999999999997</v>
      </c>
      <c r="M9" s="30"/>
      <c r="N9" s="30"/>
      <c r="O9" s="30">
        <v>1.66</v>
      </c>
      <c r="P9" s="23">
        <f>SUM(L9:O9)</f>
        <v>35.459999999999994</v>
      </c>
      <c r="Q9" s="34">
        <v>150</v>
      </c>
      <c r="R9" s="25">
        <f>((467000*$L$4*P9*J9^1.82/V9^4.82))-(0.01318*M9*($L$4-1))+(0.01318*N9*($L$4-1))</f>
        <v>2844.666027647846</v>
      </c>
      <c r="S9" s="31">
        <f>SQRT(Q9^2-R9)</f>
        <v>140.19748204711863</v>
      </c>
      <c r="T9" s="26">
        <f>Q9-S9</f>
        <v>9.8025179528813737</v>
      </c>
      <c r="U9" s="32" t="s">
        <v>22</v>
      </c>
      <c r="V9" s="30">
        <f t="shared" ref="V9:V20" si="4">IF(U9=$Z$1,$AA$1,IF(U9=$Z$2,$AA$2,IF(U9=$Z$3,$AA$3,IF(U9=$Z$4,$AA$4,IF(U9=$Z$5,$AA$5,IF(U9=$Z$6,$AA$6,IF(U9=$Z$7,$AA$7,IF(U9=$Z$8,$AA$8,IF(U9=$Z$9,$AA$9,"")))))))))</f>
        <v>26.8</v>
      </c>
      <c r="W9" s="27" t="str">
        <f>IF(T9&gt;0.1*S9,"REDIMENSIONAR","ATENDE")</f>
        <v>ATENDE</v>
      </c>
      <c r="X9" s="1"/>
      <c r="Z9" t="s">
        <v>28</v>
      </c>
      <c r="AA9" s="16">
        <v>102.4</v>
      </c>
    </row>
    <row r="10" spans="1:27" x14ac:dyDescent="0.25">
      <c r="A10" s="22" t="s">
        <v>39</v>
      </c>
      <c r="B10" s="34">
        <f t="shared" si="0"/>
        <v>3844000</v>
      </c>
      <c r="C10" s="34">
        <f>+C11*15</f>
        <v>930000</v>
      </c>
      <c r="D10" s="30">
        <f t="shared" si="1"/>
        <v>4472.1595271889619</v>
      </c>
      <c r="E10" s="30">
        <f t="shared" si="2"/>
        <v>1081.9740791586198</v>
      </c>
      <c r="F10" s="24">
        <f t="shared" ref="F10:F20" si="5">IF(D10&lt;24.43,100,IF(D10&lt;670.9,100/(1+0.01016*((D10-24.37)^0.8712)),IF(D10&lt;1396,100/(1+0.7997*((D10-73.67)^0.19931)),IF(D10&gt;1396,23))))</f>
        <v>23</v>
      </c>
      <c r="G10" s="23"/>
      <c r="H10" s="24">
        <f>B10*F10/100</f>
        <v>884120</v>
      </c>
      <c r="I10" s="23"/>
      <c r="J10" s="25">
        <f t="shared" si="3"/>
        <v>36.838333333333331</v>
      </c>
      <c r="K10" s="24">
        <f t="shared" ref="K10:K20" si="6">354*J10*((S10/100)+1.033)^-0.1*(V10^-2)</f>
        <v>16.611014409221038</v>
      </c>
      <c r="L10" s="30">
        <v>2.87</v>
      </c>
      <c r="M10" s="30"/>
      <c r="N10" s="30"/>
      <c r="O10" s="30">
        <v>1.66</v>
      </c>
      <c r="P10" s="23">
        <f t="shared" ref="P10:P20" si="7">SUM(L10:O10)</f>
        <v>4.53</v>
      </c>
      <c r="Q10" s="24">
        <f>S9</f>
        <v>140.19748204711863</v>
      </c>
      <c r="R10" s="25">
        <f t="shared" ref="R10:R20" si="8">SQRT((467000*$L$4*P10*J10^1.82/V10^4.82))-(0.01318*M10*($L$4-1))+(0.01318*N10*($L$4-1))</f>
        <v>18.787626420408866</v>
      </c>
      <c r="S10" s="24">
        <f t="shared" ref="S10:S20" si="9">SQRT(Q10^2-R10)</f>
        <v>140.13046187725115</v>
      </c>
      <c r="T10" s="26">
        <f>Q10-S10+T9</f>
        <v>9.8695381227488497</v>
      </c>
      <c r="U10" s="32" t="s">
        <v>22</v>
      </c>
      <c r="V10" s="30">
        <f t="shared" si="4"/>
        <v>26.8</v>
      </c>
      <c r="W10" s="27" t="str">
        <f t="shared" ref="W10:W20" si="10">IF(T10&gt;0.1*S10,"REDIMENSIONAR","ATENDE")</f>
        <v>ATENDE</v>
      </c>
      <c r="X10" s="1"/>
    </row>
    <row r="11" spans="1:27" x14ac:dyDescent="0.25">
      <c r="A11" s="28" t="s">
        <v>40</v>
      </c>
      <c r="B11" s="30">
        <f t="shared" si="0"/>
        <v>2914000</v>
      </c>
      <c r="C11" s="30">
        <v>62000</v>
      </c>
      <c r="D11" s="30">
        <f t="shared" si="1"/>
        <v>3390.1854480303418</v>
      </c>
      <c r="E11" s="30">
        <f t="shared" si="2"/>
        <v>72.13160527724132</v>
      </c>
      <c r="F11" s="24">
        <f t="shared" si="5"/>
        <v>23</v>
      </c>
      <c r="G11" s="23"/>
      <c r="H11" s="24">
        <f t="shared" ref="H11:H20" si="11">B11*F11/100</f>
        <v>670220</v>
      </c>
      <c r="I11" s="23"/>
      <c r="J11" s="25">
        <f t="shared" si="3"/>
        <v>27.925833333333333</v>
      </c>
      <c r="K11" s="24">
        <f t="shared" si="6"/>
        <v>12.592760536626589</v>
      </c>
      <c r="L11" s="30">
        <v>16.5</v>
      </c>
      <c r="M11" s="30"/>
      <c r="N11" s="30"/>
      <c r="O11" s="30">
        <v>1.66</v>
      </c>
      <c r="P11" s="23">
        <f t="shared" si="7"/>
        <v>18.16</v>
      </c>
      <c r="Q11" s="29">
        <f>S10</f>
        <v>140.13046187725115</v>
      </c>
      <c r="R11" s="25">
        <f t="shared" si="8"/>
        <v>29.235690141159814</v>
      </c>
      <c r="S11" s="24">
        <f t="shared" si="9"/>
        <v>140.02610705075887</v>
      </c>
      <c r="T11" s="26">
        <f>Q11-S11+T10</f>
        <v>9.973892949241133</v>
      </c>
      <c r="U11" s="32" t="s">
        <v>22</v>
      </c>
      <c r="V11" s="30">
        <f t="shared" si="4"/>
        <v>26.8</v>
      </c>
      <c r="W11" s="27" t="str">
        <f t="shared" si="10"/>
        <v>ATENDE</v>
      </c>
      <c r="X11" s="1"/>
    </row>
    <row r="12" spans="1:27" x14ac:dyDescent="0.25">
      <c r="A12" s="28" t="s">
        <v>41</v>
      </c>
      <c r="B12" s="30">
        <f t="shared" si="0"/>
        <v>2852000</v>
      </c>
      <c r="C12" s="30">
        <v>62000</v>
      </c>
      <c r="D12" s="30">
        <f t="shared" si="1"/>
        <v>3318.0538427531005</v>
      </c>
      <c r="E12" s="30">
        <f t="shared" si="2"/>
        <v>72.13160527724132</v>
      </c>
      <c r="F12" s="24">
        <f t="shared" si="5"/>
        <v>23</v>
      </c>
      <c r="G12" s="23"/>
      <c r="H12" s="24">
        <f t="shared" si="11"/>
        <v>655960</v>
      </c>
      <c r="I12" s="23"/>
      <c r="J12" s="25">
        <f t="shared" si="3"/>
        <v>27.331666666666667</v>
      </c>
      <c r="K12" s="24">
        <f t="shared" si="6"/>
        <v>12.325047858208835</v>
      </c>
      <c r="L12" s="30">
        <v>1.56</v>
      </c>
      <c r="M12" s="30"/>
      <c r="N12" s="30"/>
      <c r="O12" s="30">
        <v>1.66</v>
      </c>
      <c r="P12" s="23">
        <f t="shared" si="7"/>
        <v>3.2199999999999998</v>
      </c>
      <c r="Q12" s="29">
        <f>S11</f>
        <v>140.02610705075887</v>
      </c>
      <c r="R12" s="25">
        <f t="shared" si="8"/>
        <v>12.072131018121107</v>
      </c>
      <c r="S12" s="24">
        <f t="shared" si="9"/>
        <v>139.98299369842204</v>
      </c>
      <c r="T12" s="26">
        <f>Q12-S12+T11</f>
        <v>10.017006301577965</v>
      </c>
      <c r="U12" s="32" t="s">
        <v>22</v>
      </c>
      <c r="V12" s="30">
        <f t="shared" si="4"/>
        <v>26.8</v>
      </c>
      <c r="W12" s="27" t="str">
        <f t="shared" si="10"/>
        <v>ATENDE</v>
      </c>
      <c r="X12" s="1"/>
    </row>
    <row r="13" spans="1:27" x14ac:dyDescent="0.25">
      <c r="A13" s="28" t="s">
        <v>42</v>
      </c>
      <c r="B13" s="30">
        <f t="shared" si="0"/>
        <v>2790000</v>
      </c>
      <c r="C13" s="30">
        <v>62000</v>
      </c>
      <c r="D13" s="30">
        <f t="shared" si="1"/>
        <v>3245.9222374758592</v>
      </c>
      <c r="E13" s="30">
        <f t="shared" si="2"/>
        <v>72.13160527724132</v>
      </c>
      <c r="F13" s="24">
        <f t="shared" si="5"/>
        <v>23</v>
      </c>
      <c r="G13" s="23"/>
      <c r="H13" s="24">
        <f t="shared" si="11"/>
        <v>641700</v>
      </c>
      <c r="I13" s="23"/>
      <c r="J13" s="25">
        <f t="shared" si="3"/>
        <v>26.737500000000001</v>
      </c>
      <c r="K13" s="24">
        <f t="shared" si="6"/>
        <v>12.057655664814359</v>
      </c>
      <c r="L13" s="30">
        <v>20</v>
      </c>
      <c r="M13" s="30"/>
      <c r="N13" s="30"/>
      <c r="O13" s="30">
        <v>1.66</v>
      </c>
      <c r="P13" s="23">
        <f t="shared" si="7"/>
        <v>21.66</v>
      </c>
      <c r="Q13" s="29">
        <f t="shared" ref="Q13" si="12">S12</f>
        <v>139.98299369842204</v>
      </c>
      <c r="R13" s="25">
        <f t="shared" si="8"/>
        <v>30.690148592979636</v>
      </c>
      <c r="S13" s="24">
        <f t="shared" si="9"/>
        <v>139.87332975295712</v>
      </c>
      <c r="T13" s="26">
        <f>Q13-S13+T12</f>
        <v>10.126670247042881</v>
      </c>
      <c r="U13" s="32" t="s">
        <v>22</v>
      </c>
      <c r="V13" s="30">
        <f t="shared" si="4"/>
        <v>26.8</v>
      </c>
      <c r="W13" s="27" t="str">
        <f t="shared" si="10"/>
        <v>ATENDE</v>
      </c>
      <c r="X13" s="1"/>
    </row>
    <row r="14" spans="1:27" x14ac:dyDescent="0.25">
      <c r="A14" s="28" t="s">
        <v>43</v>
      </c>
      <c r="B14" s="30">
        <f t="shared" si="0"/>
        <v>2728000</v>
      </c>
      <c r="C14" s="30">
        <v>62000</v>
      </c>
      <c r="D14" s="30">
        <f t="shared" si="1"/>
        <v>3173.7906321986179</v>
      </c>
      <c r="E14" s="30">
        <f t="shared" si="2"/>
        <v>72.13160527724132</v>
      </c>
      <c r="F14" s="24">
        <f t="shared" si="5"/>
        <v>23</v>
      </c>
      <c r="G14" s="23"/>
      <c r="H14" s="24">
        <f t="shared" si="11"/>
        <v>627440</v>
      </c>
      <c r="I14" s="23"/>
      <c r="J14" s="25">
        <f t="shared" si="3"/>
        <v>26.143333333333334</v>
      </c>
      <c r="K14" s="24">
        <f t="shared" si="6"/>
        <v>11.78866221246385</v>
      </c>
      <c r="L14" s="30">
        <v>1.56</v>
      </c>
      <c r="M14" s="30"/>
      <c r="N14" s="30"/>
      <c r="O14" s="30">
        <v>1.66</v>
      </c>
      <c r="P14" s="23">
        <f t="shared" si="7"/>
        <v>3.2199999999999998</v>
      </c>
      <c r="Q14" s="29">
        <f>S10</f>
        <v>140.13046187725115</v>
      </c>
      <c r="R14" s="25">
        <f t="shared" si="8"/>
        <v>11.593544916699488</v>
      </c>
      <c r="S14" s="24">
        <f t="shared" si="9"/>
        <v>140.08908880071652</v>
      </c>
      <c r="T14" s="26">
        <f>Q14-S14+T10</f>
        <v>9.9109111992834755</v>
      </c>
      <c r="U14" s="32" t="s">
        <v>22</v>
      </c>
      <c r="V14" s="30">
        <f t="shared" si="4"/>
        <v>26.8</v>
      </c>
      <c r="W14" s="27" t="str">
        <f t="shared" si="10"/>
        <v>ATENDE</v>
      </c>
      <c r="X14" s="1"/>
    </row>
    <row r="15" spans="1:27" x14ac:dyDescent="0.25">
      <c r="A15" s="28" t="s">
        <v>44</v>
      </c>
      <c r="B15" s="30">
        <f t="shared" si="0"/>
        <v>2666000</v>
      </c>
      <c r="C15" s="30">
        <v>62000</v>
      </c>
      <c r="D15" s="30">
        <f t="shared" si="1"/>
        <v>3101.6590269213766</v>
      </c>
      <c r="E15" s="30">
        <f t="shared" si="2"/>
        <v>72.13160527724132</v>
      </c>
      <c r="F15" s="24">
        <f t="shared" si="5"/>
        <v>23</v>
      </c>
      <c r="G15" s="23"/>
      <c r="H15" s="24">
        <f t="shared" si="11"/>
        <v>613180</v>
      </c>
      <c r="I15" s="23"/>
      <c r="J15" s="25">
        <f t="shared" si="3"/>
        <v>25.549166666666668</v>
      </c>
      <c r="K15" s="24">
        <f t="shared" si="6"/>
        <v>11.521235857632877</v>
      </c>
      <c r="L15" s="30">
        <v>20</v>
      </c>
      <c r="M15" s="30"/>
      <c r="N15" s="30"/>
      <c r="O15" s="30">
        <v>1.66</v>
      </c>
      <c r="P15" s="23">
        <f t="shared" si="7"/>
        <v>21.66</v>
      </c>
      <c r="Q15" s="29">
        <f>S14</f>
        <v>140.08908880071652</v>
      </c>
      <c r="R15" s="25">
        <f t="shared" si="8"/>
        <v>29.44637904625645</v>
      </c>
      <c r="S15" s="24">
        <f t="shared" si="9"/>
        <v>139.98395058708974</v>
      </c>
      <c r="T15" s="26">
        <f>Q15-S15+T14</f>
        <v>10.016049412910263</v>
      </c>
      <c r="U15" s="32" t="s">
        <v>22</v>
      </c>
      <c r="V15" s="30">
        <f t="shared" si="4"/>
        <v>26.8</v>
      </c>
      <c r="W15" s="27" t="str">
        <f t="shared" si="10"/>
        <v>ATENDE</v>
      </c>
      <c r="X15" s="1"/>
    </row>
    <row r="16" spans="1:27" x14ac:dyDescent="0.25">
      <c r="A16" s="28" t="s">
        <v>45</v>
      </c>
      <c r="B16" s="30">
        <f t="shared" si="0"/>
        <v>2604000</v>
      </c>
      <c r="C16" s="30">
        <v>62000</v>
      </c>
      <c r="D16" s="30">
        <f t="shared" si="1"/>
        <v>3029.5274216441353</v>
      </c>
      <c r="E16" s="30">
        <f t="shared" si="2"/>
        <v>72.13160527724132</v>
      </c>
      <c r="F16" s="24">
        <f t="shared" si="5"/>
        <v>23</v>
      </c>
      <c r="G16" s="23"/>
      <c r="H16" s="24">
        <f t="shared" si="11"/>
        <v>598920</v>
      </c>
      <c r="I16" s="23"/>
      <c r="J16" s="25">
        <f t="shared" si="3"/>
        <v>24.954999999999998</v>
      </c>
      <c r="K16" s="24">
        <f t="shared" si="6"/>
        <v>11.252997354570621</v>
      </c>
      <c r="L16" s="30">
        <v>1.56</v>
      </c>
      <c r="M16" s="30"/>
      <c r="N16" s="30"/>
      <c r="O16" s="30">
        <v>1.66</v>
      </c>
      <c r="P16" s="23">
        <f t="shared" si="7"/>
        <v>3.2199999999999998</v>
      </c>
      <c r="Q16" s="29">
        <f>S14</f>
        <v>140.08908880071652</v>
      </c>
      <c r="R16" s="25">
        <f t="shared" si="8"/>
        <v>11.112996244855056</v>
      </c>
      <c r="S16" s="24">
        <f t="shared" si="9"/>
        <v>140.04941915184864</v>
      </c>
      <c r="T16" s="26">
        <f>Q16-S16+T14</f>
        <v>9.9505808481513611</v>
      </c>
      <c r="U16" s="32" t="s">
        <v>22</v>
      </c>
      <c r="V16" s="30">
        <f t="shared" si="4"/>
        <v>26.8</v>
      </c>
      <c r="W16" s="27" t="str">
        <f t="shared" si="10"/>
        <v>ATENDE</v>
      </c>
      <c r="X16" s="1"/>
    </row>
    <row r="17" spans="1:24" x14ac:dyDescent="0.25">
      <c r="A17" s="28" t="s">
        <v>46</v>
      </c>
      <c r="B17" s="30">
        <f t="shared" si="0"/>
        <v>2542000</v>
      </c>
      <c r="C17" s="30">
        <v>62000</v>
      </c>
      <c r="D17" s="30">
        <f t="shared" si="1"/>
        <v>2957.395816366894</v>
      </c>
      <c r="E17" s="30">
        <f t="shared" si="2"/>
        <v>72.13160527724132</v>
      </c>
      <c r="F17" s="24">
        <f t="shared" si="5"/>
        <v>23</v>
      </c>
      <c r="G17" s="23"/>
      <c r="H17" s="24">
        <f t="shared" si="11"/>
        <v>584660</v>
      </c>
      <c r="I17" s="23"/>
      <c r="J17" s="25">
        <f t="shared" si="3"/>
        <v>24.360833333333332</v>
      </c>
      <c r="K17" s="24">
        <f t="shared" si="6"/>
        <v>10.985523546295083</v>
      </c>
      <c r="L17" s="30">
        <v>20</v>
      </c>
      <c r="M17" s="30"/>
      <c r="N17" s="30"/>
      <c r="O17" s="30">
        <v>1.66</v>
      </c>
      <c r="P17" s="23">
        <f t="shared" si="7"/>
        <v>21.66</v>
      </c>
      <c r="Q17" s="29">
        <f>S16</f>
        <v>140.04941915184864</v>
      </c>
      <c r="R17" s="25">
        <f t="shared" si="8"/>
        <v>28.197390138164462</v>
      </c>
      <c r="S17" s="24">
        <f t="shared" si="9"/>
        <v>139.94871351545902</v>
      </c>
      <c r="T17" s="26">
        <f>Q17-S17+T16</f>
        <v>10.051286484540981</v>
      </c>
      <c r="U17" s="32" t="s">
        <v>22</v>
      </c>
      <c r="V17" s="30">
        <f t="shared" si="4"/>
        <v>26.8</v>
      </c>
      <c r="W17" s="27" t="str">
        <f t="shared" si="10"/>
        <v>ATENDE</v>
      </c>
      <c r="X17" s="1"/>
    </row>
    <row r="18" spans="1:24" x14ac:dyDescent="0.25">
      <c r="A18" s="28" t="s">
        <v>47</v>
      </c>
      <c r="B18" s="30">
        <f t="shared" si="0"/>
        <v>2480000</v>
      </c>
      <c r="C18" s="30">
        <v>62000</v>
      </c>
      <c r="D18" s="30">
        <f t="shared" si="1"/>
        <v>2885.2642110896527</v>
      </c>
      <c r="E18" s="30">
        <f t="shared" si="2"/>
        <v>72.13160527724132</v>
      </c>
      <c r="F18" s="24">
        <f t="shared" si="5"/>
        <v>23</v>
      </c>
      <c r="G18" s="23"/>
      <c r="H18" s="24">
        <f t="shared" si="11"/>
        <v>570400</v>
      </c>
      <c r="I18" s="23"/>
      <c r="J18" s="25">
        <f t="shared" si="3"/>
        <v>23.766666666666666</v>
      </c>
      <c r="K18" s="24">
        <f t="shared" si="6"/>
        <v>10.717307516915529</v>
      </c>
      <c r="L18" s="30">
        <v>1.56</v>
      </c>
      <c r="M18" s="30"/>
      <c r="N18" s="30"/>
      <c r="O18" s="30">
        <v>1.66</v>
      </c>
      <c r="P18" s="23">
        <f t="shared" si="7"/>
        <v>3.2199999999999998</v>
      </c>
      <c r="Q18" s="29">
        <f>S16</f>
        <v>140.04941915184864</v>
      </c>
      <c r="R18" s="25">
        <f t="shared" si="8"/>
        <v>10.630382841558387</v>
      </c>
      <c r="S18" s="24">
        <f t="shared" si="9"/>
        <v>140.01146175198883</v>
      </c>
      <c r="T18" s="26">
        <f>Q18-S18+T16</f>
        <v>9.9885382480111673</v>
      </c>
      <c r="U18" s="32" t="s">
        <v>22</v>
      </c>
      <c r="V18" s="30">
        <f t="shared" si="4"/>
        <v>26.8</v>
      </c>
      <c r="W18" s="27" t="str">
        <f t="shared" si="10"/>
        <v>ATENDE</v>
      </c>
      <c r="X18" s="1"/>
    </row>
    <row r="19" spans="1:24" x14ac:dyDescent="0.25">
      <c r="A19" s="28" t="s">
        <v>48</v>
      </c>
      <c r="B19" s="30">
        <f t="shared" si="0"/>
        <v>2418000</v>
      </c>
      <c r="C19" s="30">
        <v>62000</v>
      </c>
      <c r="D19" s="30">
        <f t="shared" si="1"/>
        <v>2813.1326058124114</v>
      </c>
      <c r="E19" s="30">
        <f t="shared" si="2"/>
        <v>72.13160527724132</v>
      </c>
      <c r="F19" s="24">
        <f t="shared" si="5"/>
        <v>23</v>
      </c>
      <c r="G19" s="23"/>
      <c r="H19" s="24">
        <f t="shared" si="11"/>
        <v>556140</v>
      </c>
      <c r="I19" s="23"/>
      <c r="J19" s="25">
        <f t="shared" si="3"/>
        <v>23.172499999999999</v>
      </c>
      <c r="K19" s="24">
        <f t="shared" si="6"/>
        <v>10.449788278385304</v>
      </c>
      <c r="L19" s="30">
        <v>20</v>
      </c>
      <c r="M19" s="30"/>
      <c r="N19" s="30"/>
      <c r="O19" s="30">
        <v>1.66</v>
      </c>
      <c r="P19" s="23">
        <f t="shared" si="7"/>
        <v>21.66</v>
      </c>
      <c r="Q19" s="29">
        <f>S18</f>
        <v>140.01146175198883</v>
      </c>
      <c r="R19" s="25">
        <f t="shared" si="8"/>
        <v>26.942903525084489</v>
      </c>
      <c r="S19" s="24">
        <f t="shared" si="9"/>
        <v>139.91521189064306</v>
      </c>
      <c r="T19" s="26">
        <f>Q19-S19+T18</f>
        <v>10.084788109356936</v>
      </c>
      <c r="U19" s="32" t="s">
        <v>22</v>
      </c>
      <c r="V19" s="30">
        <f t="shared" si="4"/>
        <v>26.8</v>
      </c>
      <c r="W19" s="27" t="str">
        <f t="shared" si="10"/>
        <v>ATENDE</v>
      </c>
      <c r="X19" s="1"/>
    </row>
    <row r="20" spans="1:24" x14ac:dyDescent="0.25">
      <c r="A20" s="28" t="s">
        <v>49</v>
      </c>
      <c r="B20" s="30">
        <f t="shared" si="0"/>
        <v>2356000</v>
      </c>
      <c r="C20" s="30">
        <v>62000</v>
      </c>
      <c r="D20" s="30">
        <f t="shared" si="1"/>
        <v>2741.0010005351701</v>
      </c>
      <c r="E20" s="30">
        <f t="shared" si="2"/>
        <v>72.13160527724132</v>
      </c>
      <c r="F20" s="24">
        <f t="shared" si="5"/>
        <v>23</v>
      </c>
      <c r="G20" s="23"/>
      <c r="H20" s="24">
        <f t="shared" si="11"/>
        <v>541880</v>
      </c>
      <c r="I20" s="23"/>
      <c r="J20" s="25">
        <f t="shared" si="3"/>
        <v>22.578333333333333</v>
      </c>
      <c r="K20" s="24">
        <f t="shared" si="6"/>
        <v>10.181996802592529</v>
      </c>
      <c r="L20" s="30">
        <v>1.56</v>
      </c>
      <c r="M20" s="30"/>
      <c r="N20" s="30"/>
      <c r="O20" s="30">
        <v>1.66</v>
      </c>
      <c r="P20" s="23">
        <f t="shared" si="7"/>
        <v>3.2199999999999998</v>
      </c>
      <c r="Q20" s="29">
        <f>S19</f>
        <v>139.91521189064306</v>
      </c>
      <c r="R20" s="25">
        <f t="shared" si="8"/>
        <v>10.145591833275851</v>
      </c>
      <c r="S20" s="24">
        <f t="shared" si="9"/>
        <v>139.87895097751581</v>
      </c>
      <c r="T20" s="26">
        <f>Q20-S20+T19</f>
        <v>10.121049022484186</v>
      </c>
      <c r="U20" s="32" t="s">
        <v>22</v>
      </c>
      <c r="V20" s="30">
        <f t="shared" si="4"/>
        <v>26.8</v>
      </c>
      <c r="W20" s="27" t="str">
        <f t="shared" si="10"/>
        <v>ATENDE</v>
      </c>
      <c r="X20" s="1"/>
    </row>
    <row r="21" spans="1:24" x14ac:dyDescent="0.25">
      <c r="A21" s="22" t="s">
        <v>50</v>
      </c>
      <c r="B21" s="34">
        <f t="shared" si="0"/>
        <v>2294000</v>
      </c>
      <c r="C21" s="34">
        <f>+C22*8</f>
        <v>496000</v>
      </c>
      <c r="D21" s="30">
        <f t="shared" si="1"/>
        <v>2668.8693952579288</v>
      </c>
      <c r="E21" s="30">
        <f t="shared" si="2"/>
        <v>577.05284221793056</v>
      </c>
      <c r="F21" s="24">
        <f t="shared" ref="F21:F47" si="13">IF(D21&lt;24.43,100,IF(D21&lt;670.9,100/(1+0.01016*((D21-24.37)^0.8712)),IF(D21&lt;1396,100/(1+0.7997*((D21-73.67)^0.19931)),IF(D21&gt;1396,23))))</f>
        <v>23</v>
      </c>
      <c r="G21" s="23"/>
      <c r="H21" s="24">
        <f t="shared" ref="H21:H47" si="14">B21*F21/100</f>
        <v>527620</v>
      </c>
      <c r="I21" s="23"/>
      <c r="J21" s="25">
        <f t="shared" ref="J21:J47" si="15">H21/$J$2</f>
        <v>21.984166666666667</v>
      </c>
      <c r="K21" s="24">
        <f t="shared" ref="K21:K47" si="16">354*J21*((S21/100)+1.033)^-0.1*(V21^-2)</f>
        <v>9.9143970741443397</v>
      </c>
      <c r="L21" s="30">
        <v>17</v>
      </c>
      <c r="M21" s="30"/>
      <c r="N21" s="30"/>
      <c r="O21" s="30">
        <v>1.66</v>
      </c>
      <c r="P21" s="23">
        <f t="shared" ref="P21:P47" si="17">SUM(L21:O21)</f>
        <v>18.66</v>
      </c>
      <c r="Q21" s="29">
        <f t="shared" ref="Q21:Q47" si="18">S20</f>
        <v>139.87895097751581</v>
      </c>
      <c r="R21" s="25">
        <f t="shared" ref="R21:R47" si="19">SQRT((467000*$L$4*P21*J21^1.82/V21^4.82))-(0.01318*M21*($L$4-1))+(0.01318*N21*($L$4-1))</f>
        <v>23.837777736409858</v>
      </c>
      <c r="S21" s="24">
        <f t="shared" ref="S21:S47" si="20">SQRT(Q21^2-R21)</f>
        <v>139.79371641398572</v>
      </c>
      <c r="T21" s="26">
        <f t="shared" ref="T21:T47" si="21">Q21-S21+T20</f>
        <v>10.20628358601428</v>
      </c>
      <c r="U21" s="32" t="s">
        <v>22</v>
      </c>
      <c r="V21" s="30">
        <f t="shared" ref="V21:V47" si="22">IF(U21=$Z$1,$AA$1,IF(U21=$Z$2,$AA$2,IF(U21=$Z$3,$AA$3,IF(U21=$Z$4,$AA$4,IF(U21=$Z$5,$AA$5,IF(U21=$Z$6,$AA$6,IF(U21=$Z$7,$AA$7,IF(U21=$Z$8,$AA$8,IF(U21=$Z$9,$AA$9,"")))))))))</f>
        <v>26.8</v>
      </c>
      <c r="W21" s="27" t="str">
        <f t="shared" ref="W21:W47" si="23">IF(T21&gt;0.1*S21,"REDIMENSIONAR","ATENDE")</f>
        <v>ATENDE</v>
      </c>
      <c r="X21" s="1"/>
    </row>
    <row r="22" spans="1:24" ht="14.25" customHeight="1" x14ac:dyDescent="0.25">
      <c r="A22" s="28" t="s">
        <v>51</v>
      </c>
      <c r="B22" s="30">
        <f t="shared" si="0"/>
        <v>1798000</v>
      </c>
      <c r="C22" s="30">
        <v>62000</v>
      </c>
      <c r="D22" s="30">
        <f t="shared" si="1"/>
        <v>2091.8165530399983</v>
      </c>
      <c r="E22" s="30">
        <f t="shared" si="2"/>
        <v>72.13160527724132</v>
      </c>
      <c r="F22" s="24">
        <f t="shared" si="13"/>
        <v>23</v>
      </c>
      <c r="G22" s="23"/>
      <c r="H22" s="24">
        <f t="shared" si="14"/>
        <v>413540</v>
      </c>
      <c r="I22" s="23"/>
      <c r="J22" s="25">
        <f t="shared" si="15"/>
        <v>17.230833333333333</v>
      </c>
      <c r="K22" s="24">
        <f t="shared" si="16"/>
        <v>7.7708403728730113</v>
      </c>
      <c r="L22" s="30">
        <v>2</v>
      </c>
      <c r="M22" s="30"/>
      <c r="N22" s="30"/>
      <c r="O22" s="30">
        <v>1.66</v>
      </c>
      <c r="P22" s="23">
        <f t="shared" si="17"/>
        <v>3.66</v>
      </c>
      <c r="Q22" s="29">
        <f t="shared" si="18"/>
        <v>139.79371641398572</v>
      </c>
      <c r="R22" s="25">
        <f t="shared" si="19"/>
        <v>8.458027605484169</v>
      </c>
      <c r="S22" s="24">
        <f t="shared" si="20"/>
        <v>139.76346132386811</v>
      </c>
      <c r="T22" s="26">
        <f t="shared" si="21"/>
        <v>10.236538676131886</v>
      </c>
      <c r="U22" s="32" t="s">
        <v>22</v>
      </c>
      <c r="V22" s="30">
        <f t="shared" si="22"/>
        <v>26.8</v>
      </c>
      <c r="W22" s="27" t="str">
        <f t="shared" si="23"/>
        <v>ATENDE</v>
      </c>
      <c r="X22" s="1"/>
    </row>
    <row r="23" spans="1:24" x14ac:dyDescent="0.25">
      <c r="A23" s="28" t="s">
        <v>52</v>
      </c>
      <c r="B23" s="30">
        <f t="shared" si="0"/>
        <v>1736000</v>
      </c>
      <c r="C23" s="30">
        <v>62000</v>
      </c>
      <c r="D23" s="30">
        <f t="shared" si="1"/>
        <v>2019.6849477627568</v>
      </c>
      <c r="E23" s="30">
        <f t="shared" si="2"/>
        <v>72.13160527724132</v>
      </c>
      <c r="F23" s="24">
        <f t="shared" si="13"/>
        <v>23</v>
      </c>
      <c r="G23" s="23"/>
      <c r="H23" s="24">
        <f t="shared" si="14"/>
        <v>399280</v>
      </c>
      <c r="I23" s="23"/>
      <c r="J23" s="25">
        <f t="shared" si="15"/>
        <v>16.636666666666667</v>
      </c>
      <c r="K23" s="24">
        <f t="shared" si="16"/>
        <v>7.5029652277393897</v>
      </c>
      <c r="L23" s="30">
        <v>1.56</v>
      </c>
      <c r="M23" s="30"/>
      <c r="N23" s="30"/>
      <c r="O23" s="30">
        <v>1.66</v>
      </c>
      <c r="P23" s="23">
        <f t="shared" si="17"/>
        <v>3.2199999999999998</v>
      </c>
      <c r="Q23" s="29">
        <f t="shared" si="18"/>
        <v>139.76346132386811</v>
      </c>
      <c r="R23" s="25">
        <f t="shared" si="19"/>
        <v>7.6840135470046889</v>
      </c>
      <c r="S23" s="24">
        <f t="shared" si="20"/>
        <v>139.73596926948113</v>
      </c>
      <c r="T23" s="26">
        <f t="shared" si="21"/>
        <v>10.264030730518868</v>
      </c>
      <c r="U23" s="32" t="s">
        <v>22</v>
      </c>
      <c r="V23" s="30">
        <f t="shared" si="22"/>
        <v>26.8</v>
      </c>
      <c r="W23" s="27" t="str">
        <f t="shared" si="23"/>
        <v>ATENDE</v>
      </c>
      <c r="X23" s="1"/>
    </row>
    <row r="24" spans="1:24" x14ac:dyDescent="0.25">
      <c r="A24" s="28" t="s">
        <v>53</v>
      </c>
      <c r="B24" s="30">
        <f t="shared" si="0"/>
        <v>1674000</v>
      </c>
      <c r="C24" s="30">
        <v>62000</v>
      </c>
      <c r="D24" s="30">
        <f t="shared" si="1"/>
        <v>1947.5533424855155</v>
      </c>
      <c r="E24" s="30">
        <f t="shared" si="2"/>
        <v>72.13160527724132</v>
      </c>
      <c r="F24" s="24">
        <f t="shared" si="13"/>
        <v>23</v>
      </c>
      <c r="G24" s="23"/>
      <c r="H24" s="24">
        <f t="shared" si="14"/>
        <v>385020</v>
      </c>
      <c r="I24" s="23"/>
      <c r="J24" s="25">
        <f t="shared" si="15"/>
        <v>16.0425</v>
      </c>
      <c r="K24" s="24">
        <f t="shared" si="16"/>
        <v>7.2352076412074888</v>
      </c>
      <c r="L24" s="30">
        <v>20</v>
      </c>
      <c r="M24" s="30"/>
      <c r="N24" s="30"/>
      <c r="O24" s="30">
        <v>1.66</v>
      </c>
      <c r="P24" s="23">
        <f t="shared" si="17"/>
        <v>21.66</v>
      </c>
      <c r="Q24" s="29">
        <f t="shared" si="18"/>
        <v>139.73596926948113</v>
      </c>
      <c r="R24" s="25">
        <f t="shared" si="19"/>
        <v>19.280426161149766</v>
      </c>
      <c r="S24" s="24">
        <f t="shared" si="20"/>
        <v>139.66696345779206</v>
      </c>
      <c r="T24" s="26">
        <f t="shared" si="21"/>
        <v>10.333036542207935</v>
      </c>
      <c r="U24" s="32" t="s">
        <v>22</v>
      </c>
      <c r="V24" s="30">
        <f t="shared" si="22"/>
        <v>26.8</v>
      </c>
      <c r="W24" s="27" t="str">
        <f t="shared" si="23"/>
        <v>ATENDE</v>
      </c>
      <c r="X24" s="1"/>
    </row>
    <row r="25" spans="1:24" x14ac:dyDescent="0.25">
      <c r="A25" s="28" t="s">
        <v>54</v>
      </c>
      <c r="B25" s="30">
        <f t="shared" si="0"/>
        <v>1612000</v>
      </c>
      <c r="C25" s="30">
        <v>62000</v>
      </c>
      <c r="D25" s="30">
        <f t="shared" si="1"/>
        <v>1875.4217372082742</v>
      </c>
      <c r="E25" s="30">
        <f t="shared" si="2"/>
        <v>72.13160527724132</v>
      </c>
      <c r="F25" s="24">
        <f t="shared" si="13"/>
        <v>23</v>
      </c>
      <c r="G25" s="23"/>
      <c r="H25" s="24">
        <f t="shared" si="14"/>
        <v>370760</v>
      </c>
      <c r="I25" s="23"/>
      <c r="J25" s="25">
        <f t="shared" si="15"/>
        <v>15.448333333333334</v>
      </c>
      <c r="K25" s="24">
        <f t="shared" si="16"/>
        <v>6.9673107366363327</v>
      </c>
      <c r="L25" s="30">
        <v>1.56</v>
      </c>
      <c r="M25" s="30"/>
      <c r="N25" s="30"/>
      <c r="O25" s="30">
        <v>1.66</v>
      </c>
      <c r="P25" s="23">
        <f t="shared" si="17"/>
        <v>3.2199999999999998</v>
      </c>
      <c r="Q25" s="29">
        <f t="shared" si="18"/>
        <v>139.66696345779206</v>
      </c>
      <c r="R25" s="25">
        <f t="shared" si="19"/>
        <v>7.1829039651306168</v>
      </c>
      <c r="S25" s="24">
        <f t="shared" si="20"/>
        <v>139.64124669149547</v>
      </c>
      <c r="T25" s="26">
        <f t="shared" si="21"/>
        <v>10.358753308504532</v>
      </c>
      <c r="U25" s="32" t="s">
        <v>22</v>
      </c>
      <c r="V25" s="30">
        <f t="shared" si="22"/>
        <v>26.8</v>
      </c>
      <c r="W25" s="27" t="str">
        <f t="shared" si="23"/>
        <v>ATENDE</v>
      </c>
      <c r="X25" s="1"/>
    </row>
    <row r="26" spans="1:24" x14ac:dyDescent="0.25">
      <c r="A26" s="28" t="s">
        <v>55</v>
      </c>
      <c r="B26" s="30">
        <f t="shared" si="0"/>
        <v>1550000</v>
      </c>
      <c r="C26" s="30">
        <v>62000</v>
      </c>
      <c r="D26" s="30">
        <f t="shared" si="1"/>
        <v>1803.2901319310329</v>
      </c>
      <c r="E26" s="30">
        <f t="shared" si="2"/>
        <v>72.13160527724132</v>
      </c>
      <c r="F26" s="24">
        <f t="shared" si="13"/>
        <v>23</v>
      </c>
      <c r="G26" s="23"/>
      <c r="H26" s="24">
        <f t="shared" si="14"/>
        <v>356500</v>
      </c>
      <c r="I26" s="23"/>
      <c r="J26" s="25">
        <f t="shared" si="15"/>
        <v>14.854166666666666</v>
      </c>
      <c r="K26" s="24">
        <f t="shared" si="16"/>
        <v>6.6995148092925731</v>
      </c>
      <c r="L26" s="30">
        <v>20</v>
      </c>
      <c r="M26" s="30"/>
      <c r="N26" s="30"/>
      <c r="O26" s="30">
        <v>1.66</v>
      </c>
      <c r="P26" s="23">
        <f t="shared" si="17"/>
        <v>21.66</v>
      </c>
      <c r="Q26" s="29">
        <f t="shared" si="18"/>
        <v>139.64124669149547</v>
      </c>
      <c r="R26" s="25">
        <f t="shared" si="19"/>
        <v>17.976329151038584</v>
      </c>
      <c r="S26" s="24">
        <f t="shared" si="20"/>
        <v>139.57686573499225</v>
      </c>
      <c r="T26" s="26">
        <f t="shared" si="21"/>
        <v>10.423134265007747</v>
      </c>
      <c r="U26" s="32" t="s">
        <v>22</v>
      </c>
      <c r="V26" s="30">
        <f t="shared" si="22"/>
        <v>26.8</v>
      </c>
      <c r="W26" s="27" t="str">
        <f t="shared" si="23"/>
        <v>ATENDE</v>
      </c>
      <c r="X26" s="1"/>
    </row>
    <row r="27" spans="1:24" x14ac:dyDescent="0.25">
      <c r="A27" s="28" t="s">
        <v>56</v>
      </c>
      <c r="B27" s="30">
        <f t="shared" si="0"/>
        <v>1488000</v>
      </c>
      <c r="C27" s="30">
        <v>62000</v>
      </c>
      <c r="D27" s="30">
        <f t="shared" si="1"/>
        <v>1731.1585266537916</v>
      </c>
      <c r="E27" s="30">
        <f t="shared" si="2"/>
        <v>72.13160527724132</v>
      </c>
      <c r="F27" s="24">
        <f t="shared" si="13"/>
        <v>23</v>
      </c>
      <c r="G27" s="23"/>
      <c r="H27" s="24">
        <f t="shared" si="14"/>
        <v>342240</v>
      </c>
      <c r="I27" s="23"/>
      <c r="J27" s="25">
        <f t="shared" si="15"/>
        <v>14.26</v>
      </c>
      <c r="K27" s="24">
        <f t="shared" si="16"/>
        <v>6.4315975765016695</v>
      </c>
      <c r="L27" s="30">
        <v>1.56</v>
      </c>
      <c r="M27" s="30"/>
      <c r="N27" s="30"/>
      <c r="O27" s="30">
        <v>1.66</v>
      </c>
      <c r="P27" s="23">
        <f t="shared" si="17"/>
        <v>3.2199999999999998</v>
      </c>
      <c r="Q27" s="29">
        <f t="shared" si="18"/>
        <v>139.57686573499225</v>
      </c>
      <c r="R27" s="25">
        <f t="shared" si="19"/>
        <v>6.6783095174815834</v>
      </c>
      <c r="S27" s="24">
        <f t="shared" si="20"/>
        <v>139.55294027316864</v>
      </c>
      <c r="T27" s="26">
        <f t="shared" si="21"/>
        <v>10.447059726831355</v>
      </c>
      <c r="U27" s="32" t="s">
        <v>22</v>
      </c>
      <c r="V27" s="30">
        <f t="shared" si="22"/>
        <v>26.8</v>
      </c>
      <c r="W27" s="27" t="str">
        <f t="shared" si="23"/>
        <v>ATENDE</v>
      </c>
      <c r="X27" s="1"/>
    </row>
    <row r="28" spans="1:24" x14ac:dyDescent="0.25">
      <c r="A28" s="22" t="s">
        <v>57</v>
      </c>
      <c r="B28" s="34">
        <f>+B30+B41</f>
        <v>1426000</v>
      </c>
      <c r="C28" s="34"/>
      <c r="D28" s="30">
        <f>+D30+D41</f>
        <v>1659.0269213765503</v>
      </c>
      <c r="E28" s="30">
        <f t="shared" si="2"/>
        <v>0</v>
      </c>
      <c r="F28" s="24">
        <f t="shared" si="13"/>
        <v>23</v>
      </c>
      <c r="G28" s="23"/>
      <c r="H28" s="24">
        <f t="shared" si="14"/>
        <v>327980</v>
      </c>
      <c r="I28" s="23"/>
      <c r="J28" s="25">
        <f t="shared" si="15"/>
        <v>13.665833333333333</v>
      </c>
      <c r="K28" s="24">
        <f t="shared" si="16"/>
        <v>6.1636918130750891</v>
      </c>
      <c r="L28" s="30">
        <v>4</v>
      </c>
      <c r="M28" s="30"/>
      <c r="N28" s="30"/>
      <c r="O28" s="30">
        <v>1.66</v>
      </c>
      <c r="P28" s="23">
        <f t="shared" si="17"/>
        <v>5.66</v>
      </c>
      <c r="Q28" s="29">
        <f t="shared" si="18"/>
        <v>139.55294027316864</v>
      </c>
      <c r="R28" s="25">
        <f t="shared" si="19"/>
        <v>8.5177899059836673</v>
      </c>
      <c r="S28" s="24">
        <f t="shared" si="20"/>
        <v>139.52241880422153</v>
      </c>
      <c r="T28" s="26">
        <f t="shared" si="21"/>
        <v>10.47758119577847</v>
      </c>
      <c r="U28" s="32" t="s">
        <v>22</v>
      </c>
      <c r="V28" s="30">
        <f t="shared" si="22"/>
        <v>26.8</v>
      </c>
      <c r="W28" s="27" t="str">
        <f t="shared" si="23"/>
        <v>ATENDE</v>
      </c>
      <c r="X28" s="1"/>
    </row>
    <row r="29" spans="1:24" x14ac:dyDescent="0.25">
      <c r="A29" s="22"/>
      <c r="B29" s="34"/>
      <c r="C29" s="34"/>
      <c r="D29" s="30"/>
      <c r="E29" s="30"/>
      <c r="F29" s="24"/>
      <c r="G29" s="23"/>
      <c r="H29" s="24"/>
      <c r="I29" s="23"/>
      <c r="J29" s="25"/>
      <c r="K29" s="24"/>
      <c r="L29" s="30"/>
      <c r="M29" s="30"/>
      <c r="N29" s="30"/>
      <c r="O29" s="30"/>
      <c r="P29" s="23"/>
      <c r="Q29" s="29"/>
      <c r="R29" s="25"/>
      <c r="S29" s="24"/>
      <c r="T29" s="26"/>
      <c r="U29" s="32"/>
      <c r="V29" s="30"/>
      <c r="W29" s="27"/>
      <c r="X29" s="33"/>
    </row>
    <row r="30" spans="1:24" x14ac:dyDescent="0.25">
      <c r="A30" s="22" t="s">
        <v>71</v>
      </c>
      <c r="B30" s="30">
        <f t="shared" ref="B30:B38" si="24">+C30+B31</f>
        <v>620000</v>
      </c>
      <c r="C30" s="30">
        <v>62000</v>
      </c>
      <c r="D30" s="30">
        <f t="shared" ref="D30:D38" si="25">+E30+D31</f>
        <v>721.31605277241317</v>
      </c>
      <c r="E30" s="30">
        <f t="shared" ref="E30:E38" si="26">+C30/859.54</f>
        <v>72.13160527724132</v>
      </c>
      <c r="F30" s="24">
        <f t="shared" ref="F30:F38" si="27">IF(D30&lt;24.43,100,IF(D30&lt;670.9,100/(1+0.01016*((D30-24.37)^0.8712)),IF(D30&lt;1396,100/(1+0.7997*((D30-73.67)^0.19931)),IF(D30&gt;1396,23))))</f>
        <v>25.603427609864426</v>
      </c>
      <c r="G30" s="23"/>
      <c r="H30" s="24">
        <f t="shared" ref="H30:H38" si="28">B30*F30/100</f>
        <v>158741.25118115943</v>
      </c>
      <c r="I30" s="23"/>
      <c r="J30" s="25">
        <f t="shared" ref="J30:J38" si="29">H30/$J$2</f>
        <v>6.6142187992149761</v>
      </c>
      <c r="K30" s="24">
        <f t="shared" ref="K30:K38" si="30">354*J30*((S30/100)+1.033)^-0.1*(V30^-2)</f>
        <v>2.9832415584675229</v>
      </c>
      <c r="L30" s="30">
        <v>16.600000000000001</v>
      </c>
      <c r="M30" s="30"/>
      <c r="N30" s="30"/>
      <c r="O30" s="30">
        <v>1.66</v>
      </c>
      <c r="P30" s="23">
        <f t="shared" ref="P30:P38" si="31">SUM(L30:O30)</f>
        <v>18.260000000000002</v>
      </c>
      <c r="Q30" s="36">
        <f>S28</f>
        <v>139.52241880422153</v>
      </c>
      <c r="R30" s="25">
        <f t="shared" ref="R30:R38" si="32">SQRT((467000*$L$4*P30*J30^1.82/V30^4.82))-(0.01318*M30*($L$4-1))+(0.01318*N30*($L$4-1))</f>
        <v>7.9045238285894017</v>
      </c>
      <c r="S30" s="24">
        <f t="shared" ref="S30:S38" si="33">SQRT(Q30^2-R30)</f>
        <v>139.49408885380055</v>
      </c>
      <c r="T30" s="26">
        <f>Q30-S30+T28</f>
        <v>10.505911146199452</v>
      </c>
      <c r="U30" s="32" t="s">
        <v>22</v>
      </c>
      <c r="V30" s="30">
        <f t="shared" ref="V30:V38" si="34">IF(U30=$Z$1,$AA$1,IF(U30=$Z$2,$AA$2,IF(U30=$Z$3,$AA$3,IF(U30=$Z$4,$AA$4,IF(U30=$Z$5,$AA$5,IF(U30=$Z$6,$AA$6,IF(U30=$Z$7,$AA$7,IF(U30=$Z$8,$AA$8,IF(U30=$Z$9,$AA$9,"")))))))))</f>
        <v>26.8</v>
      </c>
      <c r="W30" s="27" t="str">
        <f t="shared" ref="W30:W38" si="35">IF(T30&gt;0.1*S30,"REDIMENSIONAR","ATENDE")</f>
        <v>ATENDE</v>
      </c>
      <c r="X30" s="33"/>
    </row>
    <row r="31" spans="1:24" x14ac:dyDescent="0.25">
      <c r="A31" s="22" t="s">
        <v>72</v>
      </c>
      <c r="B31" s="30">
        <f t="shared" si="24"/>
        <v>558000</v>
      </c>
      <c r="C31" s="30">
        <v>62000</v>
      </c>
      <c r="D31" s="30">
        <f t="shared" si="25"/>
        <v>649.18444749517187</v>
      </c>
      <c r="E31" s="30">
        <f t="shared" si="26"/>
        <v>72.13160527724132</v>
      </c>
      <c r="F31" s="24">
        <f t="shared" si="27"/>
        <v>26.521956108757227</v>
      </c>
      <c r="G31" s="23"/>
      <c r="H31" s="24">
        <f t="shared" si="28"/>
        <v>147992.51508686534</v>
      </c>
      <c r="I31" s="23"/>
      <c r="J31" s="25">
        <f t="shared" si="29"/>
        <v>6.1663547952860558</v>
      </c>
      <c r="K31" s="24">
        <f t="shared" si="30"/>
        <v>2.7812725637515627</v>
      </c>
      <c r="L31" s="30">
        <v>20</v>
      </c>
      <c r="M31" s="30"/>
      <c r="N31" s="30"/>
      <c r="O31" s="30">
        <v>1.66</v>
      </c>
      <c r="P31" s="23">
        <f t="shared" si="31"/>
        <v>21.66</v>
      </c>
      <c r="Q31" s="29">
        <f t="shared" si="18"/>
        <v>139.49408885380055</v>
      </c>
      <c r="R31" s="25">
        <f t="shared" si="32"/>
        <v>8.0769056323661932</v>
      </c>
      <c r="S31" s="24">
        <f t="shared" si="33"/>
        <v>139.4651351396457</v>
      </c>
      <c r="T31" s="26">
        <f t="shared" si="21"/>
        <v>10.534864860354304</v>
      </c>
      <c r="U31" s="32" t="s">
        <v>22</v>
      </c>
      <c r="V31" s="30">
        <f t="shared" si="34"/>
        <v>26.8</v>
      </c>
      <c r="W31" s="27" t="str">
        <f t="shared" si="35"/>
        <v>ATENDE</v>
      </c>
      <c r="X31" s="33"/>
    </row>
    <row r="32" spans="1:24" x14ac:dyDescent="0.25">
      <c r="A32" s="22" t="s">
        <v>73</v>
      </c>
      <c r="B32" s="30">
        <f t="shared" si="24"/>
        <v>496000</v>
      </c>
      <c r="C32" s="30">
        <v>62000</v>
      </c>
      <c r="D32" s="30">
        <f t="shared" si="25"/>
        <v>577.05284221793056</v>
      </c>
      <c r="E32" s="30">
        <f t="shared" si="26"/>
        <v>72.13160527724132</v>
      </c>
      <c r="F32" s="24">
        <f t="shared" si="27"/>
        <v>28.656146061868206</v>
      </c>
      <c r="G32" s="23"/>
      <c r="H32" s="24">
        <f t="shared" si="28"/>
        <v>142134.4844668663</v>
      </c>
      <c r="I32" s="23"/>
      <c r="J32" s="25">
        <f t="shared" si="29"/>
        <v>5.9222701861194293</v>
      </c>
      <c r="K32" s="24">
        <f t="shared" si="30"/>
        <v>2.6711924878683968</v>
      </c>
      <c r="L32" s="30">
        <v>1.56</v>
      </c>
      <c r="M32" s="30"/>
      <c r="N32" s="30"/>
      <c r="O32" s="30">
        <v>1.66</v>
      </c>
      <c r="P32" s="23">
        <f t="shared" si="31"/>
        <v>3.2199999999999998</v>
      </c>
      <c r="Q32" s="29">
        <f t="shared" si="18"/>
        <v>139.4651351396457</v>
      </c>
      <c r="R32" s="25">
        <f t="shared" si="32"/>
        <v>3.0018020680065591</v>
      </c>
      <c r="S32" s="24">
        <f t="shared" si="33"/>
        <v>139.45437288752055</v>
      </c>
      <c r="T32" s="26">
        <f t="shared" si="21"/>
        <v>10.545627112479451</v>
      </c>
      <c r="U32" s="32" t="s">
        <v>22</v>
      </c>
      <c r="V32" s="30">
        <f t="shared" si="34"/>
        <v>26.8</v>
      </c>
      <c r="W32" s="27" t="str">
        <f t="shared" si="35"/>
        <v>ATENDE</v>
      </c>
      <c r="X32" s="33"/>
    </row>
    <row r="33" spans="1:24" x14ac:dyDescent="0.25">
      <c r="A33" s="22" t="s">
        <v>74</v>
      </c>
      <c r="B33" s="30">
        <f t="shared" si="24"/>
        <v>434000</v>
      </c>
      <c r="C33" s="30">
        <v>62000</v>
      </c>
      <c r="D33" s="30">
        <f t="shared" si="25"/>
        <v>504.9212369406892</v>
      </c>
      <c r="E33" s="30">
        <f t="shared" si="26"/>
        <v>72.13160527724132</v>
      </c>
      <c r="F33" s="24">
        <f t="shared" si="27"/>
        <v>31.210306827382833</v>
      </c>
      <c r="G33" s="23"/>
      <c r="H33" s="24">
        <f t="shared" si="28"/>
        <v>135452.7316308415</v>
      </c>
      <c r="I33" s="23"/>
      <c r="J33" s="25">
        <f t="shared" si="29"/>
        <v>5.6438638179517291</v>
      </c>
      <c r="K33" s="24">
        <f t="shared" si="30"/>
        <v>2.54564754867173</v>
      </c>
      <c r="L33" s="30">
        <v>20</v>
      </c>
      <c r="M33" s="30"/>
      <c r="N33" s="30"/>
      <c r="O33" s="30">
        <v>1.66</v>
      </c>
      <c r="P33" s="23">
        <f t="shared" si="31"/>
        <v>21.66</v>
      </c>
      <c r="Q33" s="29">
        <f t="shared" si="18"/>
        <v>139.45437288752055</v>
      </c>
      <c r="R33" s="25">
        <f t="shared" si="32"/>
        <v>7.4516715492469325</v>
      </c>
      <c r="S33" s="24">
        <f t="shared" si="33"/>
        <v>139.42765308898512</v>
      </c>
      <c r="T33" s="26">
        <f t="shared" si="21"/>
        <v>10.572346911014876</v>
      </c>
      <c r="U33" s="32" t="s">
        <v>22</v>
      </c>
      <c r="V33" s="30">
        <f t="shared" si="34"/>
        <v>26.8</v>
      </c>
      <c r="W33" s="27" t="str">
        <f t="shared" si="35"/>
        <v>ATENDE</v>
      </c>
      <c r="X33" s="33"/>
    </row>
    <row r="34" spans="1:24" x14ac:dyDescent="0.25">
      <c r="A34" s="22" t="s">
        <v>75</v>
      </c>
      <c r="B34" s="30">
        <f t="shared" si="24"/>
        <v>372000</v>
      </c>
      <c r="C34" s="30">
        <v>62000</v>
      </c>
      <c r="D34" s="30">
        <f t="shared" si="25"/>
        <v>432.78963166344789</v>
      </c>
      <c r="E34" s="30">
        <f t="shared" si="26"/>
        <v>72.13160527724132</v>
      </c>
      <c r="F34" s="24">
        <f t="shared" si="27"/>
        <v>34.330177891674168</v>
      </c>
      <c r="G34" s="23"/>
      <c r="H34" s="24">
        <f t="shared" si="28"/>
        <v>127708.2617570279</v>
      </c>
      <c r="I34" s="23"/>
      <c r="J34" s="25">
        <f t="shared" si="29"/>
        <v>5.3211775732094955</v>
      </c>
      <c r="K34" s="24">
        <f t="shared" si="30"/>
        <v>2.4001105598681476</v>
      </c>
      <c r="L34" s="30">
        <v>1.56</v>
      </c>
      <c r="M34" s="30"/>
      <c r="N34" s="30"/>
      <c r="O34" s="30">
        <v>1.66</v>
      </c>
      <c r="P34" s="23">
        <f t="shared" si="31"/>
        <v>3.2199999999999998</v>
      </c>
      <c r="Q34" s="29">
        <f t="shared" si="18"/>
        <v>139.42765308898512</v>
      </c>
      <c r="R34" s="25">
        <f t="shared" si="32"/>
        <v>2.7232331769502003</v>
      </c>
      <c r="S34" s="24">
        <f t="shared" si="33"/>
        <v>139.4178869898889</v>
      </c>
      <c r="T34" s="26">
        <f t="shared" si="21"/>
        <v>10.582113010111101</v>
      </c>
      <c r="U34" s="32" t="s">
        <v>22</v>
      </c>
      <c r="V34" s="30">
        <f t="shared" si="34"/>
        <v>26.8</v>
      </c>
      <c r="W34" s="27" t="str">
        <f t="shared" si="35"/>
        <v>ATENDE</v>
      </c>
      <c r="X34" s="33"/>
    </row>
    <row r="35" spans="1:24" x14ac:dyDescent="0.25">
      <c r="A35" s="22" t="s">
        <v>76</v>
      </c>
      <c r="B35" s="30">
        <f t="shared" si="24"/>
        <v>310000</v>
      </c>
      <c r="C35" s="30">
        <v>62000</v>
      </c>
      <c r="D35" s="30">
        <f t="shared" si="25"/>
        <v>360.65802638620659</v>
      </c>
      <c r="E35" s="30">
        <f t="shared" si="26"/>
        <v>72.13160527724132</v>
      </c>
      <c r="F35" s="24">
        <f t="shared" si="27"/>
        <v>38.241344300416053</v>
      </c>
      <c r="G35" s="23"/>
      <c r="H35" s="24">
        <f t="shared" si="28"/>
        <v>118548.16733128976</v>
      </c>
      <c r="I35" s="23"/>
      <c r="J35" s="25">
        <f t="shared" si="29"/>
        <v>4.9395069721370737</v>
      </c>
      <c r="K35" s="24">
        <f t="shared" si="30"/>
        <v>2.2279802389627128</v>
      </c>
      <c r="L35" s="30">
        <v>20</v>
      </c>
      <c r="M35" s="30"/>
      <c r="N35" s="30"/>
      <c r="O35" s="30">
        <v>1.66</v>
      </c>
      <c r="P35" s="23">
        <f t="shared" si="31"/>
        <v>21.66</v>
      </c>
      <c r="Q35" s="29">
        <f t="shared" si="18"/>
        <v>139.4178869898889</v>
      </c>
      <c r="R35" s="25">
        <f t="shared" si="32"/>
        <v>6.6004134999986386</v>
      </c>
      <c r="S35" s="24">
        <f t="shared" si="33"/>
        <v>139.39421365044331</v>
      </c>
      <c r="T35" s="26">
        <f t="shared" si="21"/>
        <v>10.605786349556695</v>
      </c>
      <c r="U35" s="32" t="s">
        <v>22</v>
      </c>
      <c r="V35" s="30">
        <f t="shared" si="34"/>
        <v>26.8</v>
      </c>
      <c r="W35" s="27" t="str">
        <f t="shared" si="35"/>
        <v>ATENDE</v>
      </c>
      <c r="X35" s="33"/>
    </row>
    <row r="36" spans="1:24" x14ac:dyDescent="0.25">
      <c r="A36" s="22" t="s">
        <v>77</v>
      </c>
      <c r="B36" s="30">
        <f t="shared" si="24"/>
        <v>248000</v>
      </c>
      <c r="C36" s="30">
        <v>62000</v>
      </c>
      <c r="D36" s="30">
        <f t="shared" si="25"/>
        <v>288.52642110896528</v>
      </c>
      <c r="E36" s="30">
        <f t="shared" si="26"/>
        <v>72.13160527724132</v>
      </c>
      <c r="F36" s="24">
        <f t="shared" si="27"/>
        <v>43.315603307690232</v>
      </c>
      <c r="G36" s="23"/>
      <c r="H36" s="24">
        <f t="shared" si="28"/>
        <v>107422.69620307177</v>
      </c>
      <c r="I36" s="23"/>
      <c r="J36" s="25">
        <f t="shared" si="29"/>
        <v>4.4759456751279902</v>
      </c>
      <c r="K36" s="24">
        <f t="shared" si="30"/>
        <v>2.018896392729161</v>
      </c>
      <c r="L36" s="30">
        <v>1.56</v>
      </c>
      <c r="M36" s="30"/>
      <c r="N36" s="30"/>
      <c r="O36" s="30">
        <v>1.66</v>
      </c>
      <c r="P36" s="23">
        <f t="shared" si="31"/>
        <v>3.2199999999999998</v>
      </c>
      <c r="Q36" s="29">
        <f t="shared" si="18"/>
        <v>139.39421365044331</v>
      </c>
      <c r="R36" s="25">
        <f t="shared" si="32"/>
        <v>2.3266065653952639</v>
      </c>
      <c r="S36" s="24">
        <f t="shared" si="33"/>
        <v>139.38586798043781</v>
      </c>
      <c r="T36" s="26">
        <f t="shared" si="21"/>
        <v>10.614132019562192</v>
      </c>
      <c r="U36" s="32" t="s">
        <v>22</v>
      </c>
      <c r="V36" s="30">
        <f t="shared" si="34"/>
        <v>26.8</v>
      </c>
      <c r="W36" s="27" t="str">
        <f t="shared" si="35"/>
        <v>ATENDE</v>
      </c>
      <c r="X36" s="33"/>
    </row>
    <row r="37" spans="1:24" x14ac:dyDescent="0.25">
      <c r="A37" s="22" t="s">
        <v>78</v>
      </c>
      <c r="B37" s="30">
        <f t="shared" si="24"/>
        <v>186000</v>
      </c>
      <c r="C37" s="30">
        <v>62000</v>
      </c>
      <c r="D37" s="30">
        <f t="shared" si="25"/>
        <v>216.39481583172397</v>
      </c>
      <c r="E37" s="30">
        <f t="shared" si="26"/>
        <v>72.13160527724132</v>
      </c>
      <c r="F37" s="24">
        <f t="shared" si="27"/>
        <v>50.221355407871144</v>
      </c>
      <c r="G37" s="23"/>
      <c r="H37" s="24">
        <f t="shared" si="28"/>
        <v>93411.721058640338</v>
      </c>
      <c r="I37" s="23"/>
      <c r="J37" s="25">
        <f t="shared" si="29"/>
        <v>3.8921550441100141</v>
      </c>
      <c r="K37" s="24">
        <f t="shared" si="30"/>
        <v>1.755588667171436</v>
      </c>
      <c r="L37" s="30">
        <v>20</v>
      </c>
      <c r="M37" s="30"/>
      <c r="N37" s="30"/>
      <c r="O37" s="30">
        <v>1.66</v>
      </c>
      <c r="P37" s="23">
        <f t="shared" si="31"/>
        <v>21.66</v>
      </c>
      <c r="Q37" s="29">
        <f t="shared" si="18"/>
        <v>139.38586798043781</v>
      </c>
      <c r="R37" s="25">
        <f t="shared" si="32"/>
        <v>5.3136394862543437</v>
      </c>
      <c r="S37" s="24">
        <f t="shared" si="33"/>
        <v>139.36680577947456</v>
      </c>
      <c r="T37" s="26">
        <f t="shared" si="21"/>
        <v>10.633194220525439</v>
      </c>
      <c r="U37" s="32" t="s">
        <v>22</v>
      </c>
      <c r="V37" s="30">
        <f t="shared" si="34"/>
        <v>26.8</v>
      </c>
      <c r="W37" s="27" t="str">
        <f t="shared" si="35"/>
        <v>ATENDE</v>
      </c>
      <c r="X37" s="33"/>
    </row>
    <row r="38" spans="1:24" x14ac:dyDescent="0.25">
      <c r="A38" s="22" t="s">
        <v>79</v>
      </c>
      <c r="B38" s="30">
        <f t="shared" si="24"/>
        <v>124000</v>
      </c>
      <c r="C38" s="30">
        <v>62000</v>
      </c>
      <c r="D38" s="30">
        <f t="shared" si="25"/>
        <v>144.26321055448264</v>
      </c>
      <c r="E38" s="30">
        <f t="shared" si="26"/>
        <v>72.13160527724132</v>
      </c>
      <c r="F38" s="24">
        <f t="shared" si="27"/>
        <v>60.329411467724348</v>
      </c>
      <c r="G38" s="23"/>
      <c r="H38" s="24">
        <f t="shared" si="28"/>
        <v>74808.47021997819</v>
      </c>
      <c r="I38" s="23"/>
      <c r="J38" s="25">
        <f t="shared" si="29"/>
        <v>3.1170195924990911</v>
      </c>
      <c r="K38" s="24">
        <f t="shared" si="30"/>
        <v>1.4059609014590249</v>
      </c>
      <c r="L38" s="30">
        <v>1.56</v>
      </c>
      <c r="M38" s="30"/>
      <c r="N38" s="30"/>
      <c r="O38" s="30">
        <v>1.66</v>
      </c>
      <c r="P38" s="23">
        <f t="shared" si="31"/>
        <v>3.2199999999999998</v>
      </c>
      <c r="Q38" s="29">
        <f t="shared" si="18"/>
        <v>139.36680577947456</v>
      </c>
      <c r="R38" s="25">
        <f t="shared" si="32"/>
        <v>1.6738662364186807</v>
      </c>
      <c r="S38" s="24">
        <f t="shared" si="33"/>
        <v>139.36080039572593</v>
      </c>
      <c r="T38" s="26">
        <f t="shared" si="21"/>
        <v>10.639199604274069</v>
      </c>
      <c r="U38" s="32" t="s">
        <v>22</v>
      </c>
      <c r="V38" s="30">
        <f t="shared" si="34"/>
        <v>26.8</v>
      </c>
      <c r="W38" s="27" t="str">
        <f t="shared" si="35"/>
        <v>ATENDE</v>
      </c>
      <c r="X38" s="33"/>
    </row>
    <row r="39" spans="1:24" x14ac:dyDescent="0.25">
      <c r="A39" s="22" t="s">
        <v>80</v>
      </c>
      <c r="B39" s="30">
        <f t="shared" ref="B39" si="36">+C39+B40</f>
        <v>62000</v>
      </c>
      <c r="C39" s="30">
        <v>62000</v>
      </c>
      <c r="D39" s="30">
        <f t="shared" ref="D39" si="37">+E39+D40</f>
        <v>72.13160527724132</v>
      </c>
      <c r="E39" s="30">
        <f t="shared" ref="E39" si="38">+C39/859.54</f>
        <v>72.13160527724132</v>
      </c>
      <c r="F39" s="24">
        <f t="shared" ref="F39" si="39">IF(D39&lt;24.43,100,IF(D39&lt;670.9,100/(1+0.01016*((D39-24.37)^0.8712)),IF(D39&lt;1396,100/(1+0.7997*((D39-73.67)^0.19931)),IF(D39&gt;1396,23))))</f>
        <v>77.224725014172051</v>
      </c>
      <c r="G39" s="23"/>
      <c r="H39" s="24">
        <f t="shared" ref="H39" si="40">B39*F39/100</f>
        <v>47879.329508786679</v>
      </c>
      <c r="I39" s="23"/>
      <c r="J39" s="25">
        <f t="shared" ref="J39" si="41">H39/$J$2</f>
        <v>1.9949720628661116</v>
      </c>
      <c r="K39" s="24">
        <f t="shared" ref="K39" si="42">354*J39*((S39/100)+1.033)^-0.1*(V39^-2)</f>
        <v>0.89985469530010009</v>
      </c>
      <c r="L39" s="30">
        <v>20</v>
      </c>
      <c r="M39" s="30"/>
      <c r="N39" s="30"/>
      <c r="O39" s="30">
        <v>1.66</v>
      </c>
      <c r="P39" s="23">
        <f t="shared" ref="P39" si="43">SUM(L39:O39)</f>
        <v>21.66</v>
      </c>
      <c r="Q39" s="29">
        <f t="shared" si="18"/>
        <v>139.36080039572593</v>
      </c>
      <c r="R39" s="25">
        <f t="shared" ref="R39" si="44">SQRT((467000*$L$4*P39*J39^1.82/V39^4.82))-(0.01318*M39*($L$4-1))+(0.01318*N39*($L$4-1))</f>
        <v>2.8924214263902637</v>
      </c>
      <c r="S39" s="24">
        <f t="shared" ref="S39" si="45">SQRT(Q39^2-R39)</f>
        <v>139.35042255232301</v>
      </c>
      <c r="T39" s="26">
        <f t="shared" si="21"/>
        <v>10.64957744767699</v>
      </c>
      <c r="U39" s="32" t="s">
        <v>22</v>
      </c>
      <c r="V39" s="30">
        <f t="shared" ref="V39" si="46">IF(U39=$Z$1,$AA$1,IF(U39=$Z$2,$AA$2,IF(U39=$Z$3,$AA$3,IF(U39=$Z$4,$AA$4,IF(U39=$Z$5,$AA$5,IF(U39=$Z$6,$AA$6,IF(U39=$Z$7,$AA$7,IF(U39=$Z$8,$AA$8,IF(U39=$Z$9,$AA$9,"")))))))))</f>
        <v>26.8</v>
      </c>
      <c r="W39" s="27" t="str">
        <f t="shared" ref="W39" si="47">IF(T39&gt;0.1*S39,"REDIMENSIONAR","ATENDE")</f>
        <v>ATENDE</v>
      </c>
      <c r="X39" s="33"/>
    </row>
    <row r="40" spans="1:24" x14ac:dyDescent="0.25">
      <c r="A40" s="22"/>
      <c r="B40" s="34"/>
      <c r="C40" s="34"/>
      <c r="D40" s="30"/>
      <c r="E40" s="30"/>
      <c r="F40" s="24"/>
      <c r="G40" s="23"/>
      <c r="H40" s="24"/>
      <c r="I40" s="23"/>
      <c r="J40" s="25"/>
      <c r="K40" s="24"/>
      <c r="L40" s="30"/>
      <c r="M40" s="30"/>
      <c r="N40" s="30"/>
      <c r="O40" s="30"/>
      <c r="P40" s="23"/>
      <c r="Q40" s="29"/>
      <c r="R40" s="25"/>
      <c r="S40" s="24"/>
      <c r="T40" s="26"/>
      <c r="U40" s="32"/>
      <c r="V40" s="30"/>
      <c r="W40" s="27"/>
      <c r="X40" s="33"/>
    </row>
    <row r="41" spans="1:24" x14ac:dyDescent="0.25">
      <c r="A41" s="28" t="s">
        <v>58</v>
      </c>
      <c r="B41" s="30">
        <f t="shared" si="0"/>
        <v>806000</v>
      </c>
      <c r="C41" s="30">
        <v>62000</v>
      </c>
      <c r="D41" s="30">
        <f t="shared" si="1"/>
        <v>937.71086860413709</v>
      </c>
      <c r="E41" s="30">
        <f t="shared" si="2"/>
        <v>72.13160527724132</v>
      </c>
      <c r="F41" s="24">
        <f t="shared" si="13"/>
        <v>24.524418704725996</v>
      </c>
      <c r="G41" s="23"/>
      <c r="H41" s="24">
        <f t="shared" si="14"/>
        <v>197666.81476009154</v>
      </c>
      <c r="I41" s="23"/>
      <c r="J41" s="25">
        <f t="shared" si="15"/>
        <v>8.2361172816704808</v>
      </c>
      <c r="K41" s="24">
        <f t="shared" si="16"/>
        <v>3.7147833287643062</v>
      </c>
      <c r="L41" s="30">
        <v>16.5</v>
      </c>
      <c r="M41" s="30"/>
      <c r="N41" s="30"/>
      <c r="O41" s="30">
        <v>1.66</v>
      </c>
      <c r="P41" s="23">
        <f t="shared" si="17"/>
        <v>18.16</v>
      </c>
      <c r="Q41" s="29">
        <f>S28</f>
        <v>139.52241880422153</v>
      </c>
      <c r="R41" s="25">
        <f t="shared" si="19"/>
        <v>9.623992073075323</v>
      </c>
      <c r="S41" s="24">
        <f t="shared" si="20"/>
        <v>139.48792548786261</v>
      </c>
      <c r="T41" s="26">
        <f>Q41-S41+T28</f>
        <v>10.512074512137389</v>
      </c>
      <c r="U41" s="32" t="s">
        <v>22</v>
      </c>
      <c r="V41" s="30">
        <f t="shared" si="22"/>
        <v>26.8</v>
      </c>
      <c r="W41" s="27" t="str">
        <f t="shared" si="23"/>
        <v>ATENDE</v>
      </c>
      <c r="X41" s="1"/>
    </row>
    <row r="42" spans="1:24" x14ac:dyDescent="0.25">
      <c r="A42" s="28" t="s">
        <v>59</v>
      </c>
      <c r="B42" s="30">
        <f t="shared" si="0"/>
        <v>744000</v>
      </c>
      <c r="C42" s="30">
        <v>62000</v>
      </c>
      <c r="D42" s="30">
        <f t="shared" si="1"/>
        <v>865.57926332689578</v>
      </c>
      <c r="E42" s="30">
        <f t="shared" si="2"/>
        <v>72.13160527724132</v>
      </c>
      <c r="F42" s="24">
        <f t="shared" si="13"/>
        <v>24.847441454566248</v>
      </c>
      <c r="G42" s="23"/>
      <c r="H42" s="24">
        <f t="shared" si="14"/>
        <v>184864.96442197289</v>
      </c>
      <c r="I42" s="23"/>
      <c r="J42" s="25">
        <f t="shared" si="15"/>
        <v>7.7027068509155372</v>
      </c>
      <c r="K42" s="24">
        <f t="shared" si="16"/>
        <v>3.4742362973093979</v>
      </c>
      <c r="L42" s="30">
        <v>11.9</v>
      </c>
      <c r="M42" s="30"/>
      <c r="N42" s="30"/>
      <c r="O42" s="30">
        <v>1.66</v>
      </c>
      <c r="P42" s="23">
        <f t="shared" si="17"/>
        <v>13.56</v>
      </c>
      <c r="Q42" s="29">
        <f t="shared" si="18"/>
        <v>139.48792548786261</v>
      </c>
      <c r="R42" s="25">
        <f t="shared" si="19"/>
        <v>7.8246541449939127</v>
      </c>
      <c r="S42" s="24">
        <f t="shared" si="20"/>
        <v>139.45987488436421</v>
      </c>
      <c r="T42" s="26">
        <f t="shared" si="21"/>
        <v>10.540125115635789</v>
      </c>
      <c r="U42" s="32" t="s">
        <v>22</v>
      </c>
      <c r="V42" s="30">
        <f t="shared" si="22"/>
        <v>26.8</v>
      </c>
      <c r="W42" s="27" t="str">
        <f t="shared" si="23"/>
        <v>ATENDE</v>
      </c>
      <c r="X42" s="1"/>
    </row>
    <row r="43" spans="1:24" x14ac:dyDescent="0.25">
      <c r="A43" s="28" t="s">
        <v>60</v>
      </c>
      <c r="B43" s="30">
        <f t="shared" si="0"/>
        <v>682000</v>
      </c>
      <c r="C43" s="30">
        <v>62000</v>
      </c>
      <c r="D43" s="30">
        <f t="shared" si="1"/>
        <v>793.44765804965448</v>
      </c>
      <c r="E43" s="30">
        <f t="shared" si="2"/>
        <v>72.13160527724132</v>
      </c>
      <c r="F43" s="24">
        <f t="shared" si="13"/>
        <v>25.204590364439973</v>
      </c>
      <c r="G43" s="23"/>
      <c r="H43" s="24">
        <f t="shared" si="14"/>
        <v>171895.30628548062</v>
      </c>
      <c r="I43" s="23"/>
      <c r="J43" s="25">
        <f t="shared" si="15"/>
        <v>7.1623044285616926</v>
      </c>
      <c r="K43" s="24">
        <f t="shared" si="16"/>
        <v>3.2305410157169923</v>
      </c>
      <c r="L43" s="30">
        <v>24.29</v>
      </c>
      <c r="M43" s="30"/>
      <c r="N43" s="30"/>
      <c r="O43" s="30">
        <v>1.66</v>
      </c>
      <c r="P43" s="23">
        <f t="shared" si="17"/>
        <v>25.95</v>
      </c>
      <c r="Q43" s="29">
        <f t="shared" si="18"/>
        <v>139.45987488436421</v>
      </c>
      <c r="R43" s="25">
        <f t="shared" si="19"/>
        <v>10.131098711299087</v>
      </c>
      <c r="S43" s="24">
        <f t="shared" si="20"/>
        <v>139.42354752354862</v>
      </c>
      <c r="T43" s="26">
        <f t="shared" si="21"/>
        <v>10.576452476451379</v>
      </c>
      <c r="U43" s="32" t="s">
        <v>22</v>
      </c>
      <c r="V43" s="30">
        <f t="shared" si="22"/>
        <v>26.8</v>
      </c>
      <c r="W43" s="27" t="str">
        <f t="shared" si="23"/>
        <v>ATENDE</v>
      </c>
      <c r="X43" s="1"/>
    </row>
    <row r="44" spans="1:24" x14ac:dyDescent="0.25">
      <c r="A44" s="28" t="s">
        <v>61</v>
      </c>
      <c r="B44" s="30">
        <f t="shared" si="0"/>
        <v>620000</v>
      </c>
      <c r="C44" s="30">
        <v>62000</v>
      </c>
      <c r="D44" s="30">
        <f t="shared" si="1"/>
        <v>721.31605277241317</v>
      </c>
      <c r="E44" s="30">
        <f t="shared" si="2"/>
        <v>72.13160527724132</v>
      </c>
      <c r="F44" s="24">
        <f t="shared" si="13"/>
        <v>25.603427609864426</v>
      </c>
      <c r="G44" s="23"/>
      <c r="H44" s="24">
        <f t="shared" si="14"/>
        <v>158741.25118115943</v>
      </c>
      <c r="I44" s="23"/>
      <c r="J44" s="25">
        <f t="shared" si="15"/>
        <v>6.6142187992149761</v>
      </c>
      <c r="K44" s="24">
        <f t="shared" si="16"/>
        <v>2.9833428794373145</v>
      </c>
      <c r="L44" s="30">
        <v>1.56</v>
      </c>
      <c r="M44" s="30"/>
      <c r="N44" s="30"/>
      <c r="O44" s="30">
        <v>1.66</v>
      </c>
      <c r="P44" s="23">
        <f t="shared" si="17"/>
        <v>3.2199999999999998</v>
      </c>
      <c r="Q44" s="29">
        <f t="shared" si="18"/>
        <v>139.42354752354862</v>
      </c>
      <c r="R44" s="25">
        <f t="shared" si="19"/>
        <v>3.3193516386853164</v>
      </c>
      <c r="S44" s="24">
        <f t="shared" si="20"/>
        <v>139.41164317377704</v>
      </c>
      <c r="T44" s="26">
        <f t="shared" si="21"/>
        <v>10.588356826222963</v>
      </c>
      <c r="U44" s="32" t="s">
        <v>22</v>
      </c>
      <c r="V44" s="30">
        <f t="shared" si="22"/>
        <v>26.8</v>
      </c>
      <c r="W44" s="27" t="str">
        <f t="shared" si="23"/>
        <v>ATENDE</v>
      </c>
    </row>
    <row r="45" spans="1:24" x14ac:dyDescent="0.25">
      <c r="A45" s="28" t="s">
        <v>62</v>
      </c>
      <c r="B45" s="30">
        <f t="shared" si="0"/>
        <v>558000</v>
      </c>
      <c r="C45" s="30">
        <v>62000</v>
      </c>
      <c r="D45" s="30">
        <f t="shared" si="1"/>
        <v>649.18444749517187</v>
      </c>
      <c r="E45" s="30">
        <f t="shared" si="2"/>
        <v>72.13160527724132</v>
      </c>
      <c r="F45" s="24">
        <f t="shared" si="13"/>
        <v>26.521956108757227</v>
      </c>
      <c r="G45" s="23"/>
      <c r="H45" s="24">
        <f t="shared" si="14"/>
        <v>147992.51508686534</v>
      </c>
      <c r="I45" s="23"/>
      <c r="J45" s="25">
        <f t="shared" si="15"/>
        <v>6.1663547952860558</v>
      </c>
      <c r="K45" s="24">
        <f t="shared" si="16"/>
        <v>2.7813670560679116</v>
      </c>
      <c r="L45" s="30">
        <v>20</v>
      </c>
      <c r="M45" s="30"/>
      <c r="N45" s="30"/>
      <c r="O45" s="30">
        <v>1.66</v>
      </c>
      <c r="P45" s="23">
        <f t="shared" si="17"/>
        <v>21.66</v>
      </c>
      <c r="Q45" s="29">
        <f t="shared" si="18"/>
        <v>139.41164317377704</v>
      </c>
      <c r="R45" s="25">
        <f t="shared" si="19"/>
        <v>8.0769056323661932</v>
      </c>
      <c r="S45" s="24">
        <f t="shared" si="20"/>
        <v>139.38267233332903</v>
      </c>
      <c r="T45" s="26">
        <f t="shared" si="21"/>
        <v>10.617327666670974</v>
      </c>
      <c r="U45" s="32" t="s">
        <v>22</v>
      </c>
      <c r="V45" s="30">
        <f t="shared" si="22"/>
        <v>26.8</v>
      </c>
      <c r="W45" s="27" t="str">
        <f t="shared" si="23"/>
        <v>ATENDE</v>
      </c>
    </row>
    <row r="46" spans="1:24" x14ac:dyDescent="0.25">
      <c r="A46" s="28" t="s">
        <v>63</v>
      </c>
      <c r="B46" s="30">
        <f t="shared" si="0"/>
        <v>496000</v>
      </c>
      <c r="C46" s="30">
        <v>62000</v>
      </c>
      <c r="D46" s="30">
        <f t="shared" si="1"/>
        <v>577.05284221793056</v>
      </c>
      <c r="E46" s="30">
        <f t="shared" si="2"/>
        <v>72.13160527724132</v>
      </c>
      <c r="F46" s="24">
        <f t="shared" si="13"/>
        <v>28.656146061868206</v>
      </c>
      <c r="G46" s="23"/>
      <c r="H46" s="24">
        <f t="shared" si="14"/>
        <v>142134.4844668663</v>
      </c>
      <c r="I46" s="23"/>
      <c r="J46" s="25">
        <f t="shared" si="15"/>
        <v>5.9222701861194293</v>
      </c>
      <c r="K46" s="24">
        <f t="shared" si="16"/>
        <v>2.6712832513039828</v>
      </c>
      <c r="L46" s="30">
        <v>1.56</v>
      </c>
      <c r="M46" s="30"/>
      <c r="N46" s="30"/>
      <c r="O46" s="30">
        <v>1.66</v>
      </c>
      <c r="P46" s="23">
        <f t="shared" si="17"/>
        <v>3.2199999999999998</v>
      </c>
      <c r="Q46" s="29">
        <f t="shared" si="18"/>
        <v>139.38267233332903</v>
      </c>
      <c r="R46" s="25">
        <f t="shared" si="19"/>
        <v>3.0018020680065591</v>
      </c>
      <c r="S46" s="24">
        <f t="shared" si="20"/>
        <v>139.37190371345352</v>
      </c>
      <c r="T46" s="26">
        <f t="shared" si="21"/>
        <v>10.62809628654648</v>
      </c>
      <c r="U46" s="32" t="s">
        <v>22</v>
      </c>
      <c r="V46" s="30">
        <f t="shared" si="22"/>
        <v>26.8</v>
      </c>
      <c r="W46" s="27" t="str">
        <f t="shared" si="23"/>
        <v>ATENDE</v>
      </c>
    </row>
    <row r="47" spans="1:24" x14ac:dyDescent="0.25">
      <c r="A47" s="28" t="s">
        <v>64</v>
      </c>
      <c r="B47" s="30">
        <f t="shared" si="0"/>
        <v>434000</v>
      </c>
      <c r="C47" s="30">
        <v>62000</v>
      </c>
      <c r="D47" s="30">
        <f t="shared" si="1"/>
        <v>504.9212369406892</v>
      </c>
      <c r="E47" s="30">
        <f t="shared" si="2"/>
        <v>72.13160527724132</v>
      </c>
      <c r="F47" s="24">
        <f t="shared" si="13"/>
        <v>31.210306827382833</v>
      </c>
      <c r="G47" s="23"/>
      <c r="H47" s="24">
        <f t="shared" si="14"/>
        <v>135452.7316308415</v>
      </c>
      <c r="I47" s="23"/>
      <c r="J47" s="25">
        <f t="shared" si="15"/>
        <v>5.6438638179517291</v>
      </c>
      <c r="K47" s="24">
        <f t="shared" si="16"/>
        <v>2.5457340723781021</v>
      </c>
      <c r="L47" s="30">
        <v>20</v>
      </c>
      <c r="M47" s="30"/>
      <c r="N47" s="30"/>
      <c r="O47" s="30">
        <v>1.66</v>
      </c>
      <c r="P47" s="23">
        <f t="shared" si="17"/>
        <v>21.66</v>
      </c>
      <c r="Q47" s="29">
        <f t="shared" si="18"/>
        <v>139.37190371345352</v>
      </c>
      <c r="R47" s="25">
        <f t="shared" si="19"/>
        <v>7.4516715492469325</v>
      </c>
      <c r="S47" s="24">
        <f t="shared" si="20"/>
        <v>139.34516810124029</v>
      </c>
      <c r="T47" s="26">
        <f t="shared" si="21"/>
        <v>10.65483189875971</v>
      </c>
      <c r="U47" s="32" t="s">
        <v>22</v>
      </c>
      <c r="V47" s="30">
        <f t="shared" si="22"/>
        <v>26.8</v>
      </c>
      <c r="W47" s="27" t="str">
        <f t="shared" si="23"/>
        <v>ATENDE</v>
      </c>
    </row>
    <row r="48" spans="1:24" x14ac:dyDescent="0.25">
      <c r="A48" s="28" t="s">
        <v>65</v>
      </c>
      <c r="B48" s="30">
        <f t="shared" si="0"/>
        <v>372000</v>
      </c>
      <c r="C48" s="30">
        <v>62000</v>
      </c>
      <c r="D48" s="30">
        <f t="shared" si="1"/>
        <v>432.78963166344789</v>
      </c>
      <c r="E48" s="30">
        <f t="shared" si="2"/>
        <v>72.13160527724132</v>
      </c>
      <c r="F48" s="24">
        <f t="shared" ref="F48:F53" si="48">IF(D48&lt;24.43,100,IF(D48&lt;670.9,100/(1+0.01016*((D48-24.37)^0.8712)),IF(D48&lt;1396,100/(1+0.7997*((D48-73.67)^0.19931)),IF(D48&gt;1396,23))))</f>
        <v>34.330177891674168</v>
      </c>
      <c r="G48" s="23"/>
      <c r="H48" s="24">
        <f t="shared" ref="H48:H53" si="49">B48*F48/100</f>
        <v>127708.2617570279</v>
      </c>
      <c r="I48" s="23"/>
      <c r="J48" s="25">
        <f t="shared" ref="J48:J53" si="50">H48/$J$2</f>
        <v>5.3211775732094955</v>
      </c>
      <c r="K48" s="24">
        <f t="shared" ref="K48:K53" si="51">354*J48*((S48/100)+1.033)^-0.1*(V48^-2)</f>
        <v>2.400192145937492</v>
      </c>
      <c r="L48" s="30">
        <v>1.56</v>
      </c>
      <c r="M48" s="30"/>
      <c r="N48" s="30"/>
      <c r="O48" s="30">
        <v>1.66</v>
      </c>
      <c r="P48" s="23">
        <f t="shared" ref="P48:P53" si="52">SUM(L48:O48)</f>
        <v>3.2199999999999998</v>
      </c>
      <c r="Q48" s="29">
        <f t="shared" ref="Q48:Q53" si="53">S47</f>
        <v>139.34516810124029</v>
      </c>
      <c r="R48" s="25">
        <f t="shared" ref="R48:R53" si="54">SQRT((467000*$L$4*P48*J48^1.82/V48^4.82))-(0.01318*M48*($L$4-1))+(0.01318*N48*($L$4-1))</f>
        <v>2.7232331769502003</v>
      </c>
      <c r="S48" s="24">
        <f t="shared" ref="S48:S53" si="55">SQRT(Q48^2-R48)</f>
        <v>139.33539622072334</v>
      </c>
      <c r="T48" s="26">
        <f t="shared" ref="T48:T53" si="56">Q48-S48+T47</f>
        <v>10.664603779276661</v>
      </c>
      <c r="U48" s="32" t="s">
        <v>22</v>
      </c>
      <c r="V48" s="30">
        <f t="shared" ref="V48:V53" si="57">IF(U48=$Z$1,$AA$1,IF(U48=$Z$2,$AA$2,IF(U48=$Z$3,$AA$3,IF(U48=$Z$4,$AA$4,IF(U48=$Z$5,$AA$5,IF(U48=$Z$6,$AA$6,IF(U48=$Z$7,$AA$7,IF(U48=$Z$8,$AA$8,IF(U48=$Z$9,$AA$9,"")))))))))</f>
        <v>26.8</v>
      </c>
      <c r="W48" s="27" t="str">
        <f t="shared" ref="W48:W53" si="58">IF(T48&gt;0.1*S48,"REDIMENSIONAR","ATENDE")</f>
        <v>ATENDE</v>
      </c>
    </row>
    <row r="49" spans="1:23" x14ac:dyDescent="0.25">
      <c r="A49" s="28" t="s">
        <v>66</v>
      </c>
      <c r="B49" s="30">
        <f t="shared" si="0"/>
        <v>310000</v>
      </c>
      <c r="C49" s="30">
        <v>62000</v>
      </c>
      <c r="D49" s="30">
        <f t="shared" si="1"/>
        <v>360.65802638620659</v>
      </c>
      <c r="E49" s="30">
        <f t="shared" si="2"/>
        <v>72.13160527724132</v>
      </c>
      <c r="F49" s="24">
        <f t="shared" si="48"/>
        <v>38.241344300416053</v>
      </c>
      <c r="G49" s="23"/>
      <c r="H49" s="24">
        <f t="shared" si="49"/>
        <v>118548.16733128976</v>
      </c>
      <c r="I49" s="23"/>
      <c r="J49" s="25">
        <f t="shared" si="50"/>
        <v>4.9395069721370737</v>
      </c>
      <c r="K49" s="24">
        <f t="shared" si="51"/>
        <v>2.2280559941320188</v>
      </c>
      <c r="L49" s="30">
        <v>20</v>
      </c>
      <c r="M49" s="30"/>
      <c r="N49" s="30"/>
      <c r="O49" s="30">
        <v>1.66</v>
      </c>
      <c r="P49" s="23">
        <f t="shared" si="52"/>
        <v>21.66</v>
      </c>
      <c r="Q49" s="29">
        <f t="shared" si="53"/>
        <v>139.33539622072334</v>
      </c>
      <c r="R49" s="25">
        <f t="shared" si="54"/>
        <v>6.6004134999986386</v>
      </c>
      <c r="S49" s="24">
        <f t="shared" si="55"/>
        <v>139.31170886356239</v>
      </c>
      <c r="T49" s="26">
        <f t="shared" si="56"/>
        <v>10.688291136437613</v>
      </c>
      <c r="U49" s="32" t="s">
        <v>22</v>
      </c>
      <c r="V49" s="30">
        <f t="shared" si="57"/>
        <v>26.8</v>
      </c>
      <c r="W49" s="27" t="str">
        <f t="shared" si="58"/>
        <v>ATENDE</v>
      </c>
    </row>
    <row r="50" spans="1:23" x14ac:dyDescent="0.25">
      <c r="A50" s="28" t="s">
        <v>67</v>
      </c>
      <c r="B50" s="30">
        <f t="shared" si="0"/>
        <v>248000</v>
      </c>
      <c r="C50" s="30">
        <v>62000</v>
      </c>
      <c r="D50" s="30">
        <f t="shared" si="1"/>
        <v>288.52642110896528</v>
      </c>
      <c r="E50" s="30">
        <f t="shared" si="2"/>
        <v>72.13160527724132</v>
      </c>
      <c r="F50" s="24">
        <f t="shared" si="48"/>
        <v>43.315603307690232</v>
      </c>
      <c r="G50" s="23"/>
      <c r="H50" s="24">
        <f t="shared" si="49"/>
        <v>107422.69620307177</v>
      </c>
      <c r="I50" s="23"/>
      <c r="J50" s="25">
        <f t="shared" si="50"/>
        <v>4.4759456751279902</v>
      </c>
      <c r="K50" s="24">
        <f t="shared" si="51"/>
        <v>2.018965045161806</v>
      </c>
      <c r="L50" s="30">
        <v>1.56</v>
      </c>
      <c r="M50" s="30"/>
      <c r="N50" s="30"/>
      <c r="O50" s="30">
        <v>1.66</v>
      </c>
      <c r="P50" s="23">
        <f t="shared" si="52"/>
        <v>3.2199999999999998</v>
      </c>
      <c r="Q50" s="29">
        <f t="shared" si="53"/>
        <v>139.31170886356239</v>
      </c>
      <c r="R50" s="25">
        <f t="shared" si="54"/>
        <v>2.3266065653952639</v>
      </c>
      <c r="S50" s="24">
        <f t="shared" si="55"/>
        <v>139.30335825069176</v>
      </c>
      <c r="T50" s="26">
        <f t="shared" si="56"/>
        <v>10.696641749308242</v>
      </c>
      <c r="U50" s="32" t="s">
        <v>22</v>
      </c>
      <c r="V50" s="30">
        <f t="shared" si="57"/>
        <v>26.8</v>
      </c>
      <c r="W50" s="27" t="str">
        <f t="shared" si="58"/>
        <v>ATENDE</v>
      </c>
    </row>
    <row r="51" spans="1:23" x14ac:dyDescent="0.25">
      <c r="A51" s="28" t="s">
        <v>68</v>
      </c>
      <c r="B51" s="30">
        <f t="shared" si="0"/>
        <v>186000</v>
      </c>
      <c r="C51" s="30">
        <v>62000</v>
      </c>
      <c r="D51" s="30">
        <f t="shared" si="1"/>
        <v>216.39481583172397</v>
      </c>
      <c r="E51" s="30">
        <f t="shared" si="2"/>
        <v>72.13160527724132</v>
      </c>
      <c r="F51" s="24">
        <f t="shared" si="48"/>
        <v>50.221355407871144</v>
      </c>
      <c r="G51" s="23"/>
      <c r="H51" s="24">
        <f t="shared" si="49"/>
        <v>93411.721058640338</v>
      </c>
      <c r="I51" s="23"/>
      <c r="J51" s="25">
        <f t="shared" si="50"/>
        <v>3.8921550441100141</v>
      </c>
      <c r="K51" s="24">
        <f t="shared" si="51"/>
        <v>1.7556483787058375</v>
      </c>
      <c r="L51" s="30">
        <v>20</v>
      </c>
      <c r="M51" s="30"/>
      <c r="N51" s="30"/>
      <c r="O51" s="30">
        <v>1.66</v>
      </c>
      <c r="P51" s="23">
        <f t="shared" si="52"/>
        <v>21.66</v>
      </c>
      <c r="Q51" s="29">
        <f t="shared" si="53"/>
        <v>139.30335825069176</v>
      </c>
      <c r="R51" s="25">
        <f t="shared" si="54"/>
        <v>5.3136394862543437</v>
      </c>
      <c r="S51" s="24">
        <f t="shared" si="55"/>
        <v>139.28428475759321</v>
      </c>
      <c r="T51" s="26">
        <f t="shared" si="56"/>
        <v>10.715715242406787</v>
      </c>
      <c r="U51" s="32" t="s">
        <v>22</v>
      </c>
      <c r="V51" s="30">
        <f t="shared" si="57"/>
        <v>26.8</v>
      </c>
      <c r="W51" s="27" t="str">
        <f t="shared" si="58"/>
        <v>ATENDE</v>
      </c>
    </row>
    <row r="52" spans="1:23" x14ac:dyDescent="0.25">
      <c r="A52" s="28" t="s">
        <v>69</v>
      </c>
      <c r="B52" s="30">
        <f>+C52+B53</f>
        <v>124000</v>
      </c>
      <c r="C52" s="30">
        <v>62000</v>
      </c>
      <c r="D52" s="30">
        <f>+E52+D53</f>
        <v>144.26321055448264</v>
      </c>
      <c r="E52" s="30">
        <f t="shared" si="2"/>
        <v>72.13160527724132</v>
      </c>
      <c r="F52" s="24">
        <f t="shared" si="48"/>
        <v>60.329411467724348</v>
      </c>
      <c r="G52" s="23"/>
      <c r="H52" s="24">
        <f t="shared" si="49"/>
        <v>74808.47021997819</v>
      </c>
      <c r="I52" s="23"/>
      <c r="J52" s="25">
        <f t="shared" si="50"/>
        <v>3.1170195924990911</v>
      </c>
      <c r="K52" s="24">
        <f t="shared" si="51"/>
        <v>1.406008724609713</v>
      </c>
      <c r="L52" s="30">
        <v>1.56</v>
      </c>
      <c r="M52" s="30"/>
      <c r="N52" s="30"/>
      <c r="O52" s="30">
        <v>1.66</v>
      </c>
      <c r="P52" s="23">
        <f t="shared" si="52"/>
        <v>3.2199999999999998</v>
      </c>
      <c r="Q52" s="29">
        <f t="shared" si="53"/>
        <v>139.28428475759321</v>
      </c>
      <c r="R52" s="25">
        <f t="shared" si="54"/>
        <v>1.6738662364186807</v>
      </c>
      <c r="S52" s="24">
        <f t="shared" si="55"/>
        <v>139.27827581571324</v>
      </c>
      <c r="T52" s="26">
        <f t="shared" si="56"/>
        <v>10.721724184286757</v>
      </c>
      <c r="U52" s="32" t="s">
        <v>22</v>
      </c>
      <c r="V52" s="30">
        <f t="shared" si="57"/>
        <v>26.8</v>
      </c>
      <c r="W52" s="27" t="str">
        <f t="shared" si="58"/>
        <v>ATENDE</v>
      </c>
    </row>
    <row r="53" spans="1:23" x14ac:dyDescent="0.25">
      <c r="A53" s="28" t="s">
        <v>70</v>
      </c>
      <c r="B53" s="30">
        <v>62000</v>
      </c>
      <c r="C53" s="30">
        <v>62000</v>
      </c>
      <c r="D53" s="30">
        <f>+B53/859.54</f>
        <v>72.13160527724132</v>
      </c>
      <c r="E53" s="30">
        <f>+C53/859.54</f>
        <v>72.13160527724132</v>
      </c>
      <c r="F53" s="24">
        <f t="shared" si="48"/>
        <v>77.224725014172051</v>
      </c>
      <c r="G53" s="23"/>
      <c r="H53" s="24">
        <f t="shared" si="49"/>
        <v>47879.329508786679</v>
      </c>
      <c r="I53" s="23"/>
      <c r="J53" s="25">
        <f t="shared" si="50"/>
        <v>1.9949720628661116</v>
      </c>
      <c r="K53" s="24">
        <f t="shared" si="51"/>
        <v>0.89988530705821701</v>
      </c>
      <c r="L53" s="30">
        <v>20</v>
      </c>
      <c r="M53" s="30"/>
      <c r="N53" s="30"/>
      <c r="O53" s="30">
        <v>1.66</v>
      </c>
      <c r="P53" s="23">
        <f t="shared" si="52"/>
        <v>21.66</v>
      </c>
      <c r="Q53" s="29">
        <f t="shared" si="53"/>
        <v>139.27827581571324</v>
      </c>
      <c r="R53" s="25">
        <f t="shared" si="54"/>
        <v>2.8924214263902637</v>
      </c>
      <c r="S53" s="24">
        <f t="shared" si="55"/>
        <v>139.26789182281573</v>
      </c>
      <c r="T53" s="26">
        <f t="shared" si="56"/>
        <v>10.732108177184273</v>
      </c>
      <c r="U53" s="32" t="s">
        <v>22</v>
      </c>
      <c r="V53" s="30">
        <f t="shared" si="57"/>
        <v>26.8</v>
      </c>
      <c r="W53" s="27" t="str">
        <f t="shared" si="58"/>
        <v>ATENDE</v>
      </c>
    </row>
    <row r="54" spans="1:23" x14ac:dyDescent="0.25">
      <c r="A54" s="28"/>
      <c r="B54" s="30"/>
      <c r="C54" s="30"/>
      <c r="D54" s="30"/>
      <c r="E54" s="30"/>
      <c r="F54" s="24"/>
      <c r="G54" s="23"/>
      <c r="H54" s="24"/>
      <c r="I54" s="23"/>
      <c r="J54" s="25"/>
      <c r="K54" s="24"/>
      <c r="L54" s="30"/>
      <c r="M54" s="30"/>
      <c r="N54" s="30"/>
      <c r="O54" s="30"/>
      <c r="P54" s="23"/>
      <c r="Q54" s="29"/>
      <c r="R54" s="25"/>
      <c r="S54" s="24"/>
      <c r="T54" s="26"/>
      <c r="U54" s="32"/>
      <c r="V54" s="30"/>
      <c r="W54" s="27"/>
    </row>
    <row r="55" spans="1:23" x14ac:dyDescent="0.25">
      <c r="A55" s="28"/>
      <c r="B55" s="30"/>
      <c r="C55" s="30"/>
      <c r="D55" s="30"/>
      <c r="E55" s="30"/>
      <c r="F55" s="24"/>
      <c r="G55" s="23"/>
      <c r="H55" s="24"/>
      <c r="I55" s="23"/>
      <c r="J55" s="25"/>
      <c r="K55" s="24"/>
      <c r="L55" s="30"/>
      <c r="M55" s="30"/>
      <c r="N55" s="30"/>
      <c r="O55" s="30"/>
      <c r="P55" s="23"/>
      <c r="Q55" s="29"/>
      <c r="R55" s="25"/>
      <c r="S55" s="24"/>
      <c r="T55" s="26"/>
      <c r="U55" s="32"/>
      <c r="V55" s="30"/>
      <c r="W55" s="27"/>
    </row>
  </sheetData>
  <mergeCells count="8">
    <mergeCell ref="C1:W1"/>
    <mergeCell ref="G8:H8"/>
    <mergeCell ref="D8:E8"/>
    <mergeCell ref="I8:J8"/>
    <mergeCell ref="I4:K4"/>
    <mergeCell ref="B8:C8"/>
    <mergeCell ref="C2:F2"/>
    <mergeCell ref="C4:D4"/>
  </mergeCells>
  <conditionalFormatting sqref="K9:K20">
    <cfRule type="cellIs" dxfId="17" priority="20" operator="greaterThan">
      <formula>20</formula>
    </cfRule>
  </conditionalFormatting>
  <conditionalFormatting sqref="W9:W20">
    <cfRule type="cellIs" dxfId="16" priority="16" operator="equal">
      <formula>"""REDIMENSIONAR"""</formula>
    </cfRule>
    <cfRule type="cellIs" dxfId="15" priority="17" operator="equal">
      <formula>"""REDIMENSIONAR"""</formula>
    </cfRule>
  </conditionalFormatting>
  <conditionalFormatting sqref="K21:K29 K40:K47">
    <cfRule type="cellIs" dxfId="14" priority="15" operator="greaterThan">
      <formula>20</formula>
    </cfRule>
  </conditionalFormatting>
  <conditionalFormatting sqref="W21:W29 W40:W47">
    <cfRule type="cellIs" dxfId="13" priority="13" operator="equal">
      <formula>"""REDIMENSIONAR"""</formula>
    </cfRule>
    <cfRule type="cellIs" dxfId="12" priority="14" operator="equal">
      <formula>"""REDIMENSIONAR"""</formula>
    </cfRule>
  </conditionalFormatting>
  <conditionalFormatting sqref="K48:K52">
    <cfRule type="cellIs" dxfId="11" priority="12" operator="greaterThan">
      <formula>20</formula>
    </cfRule>
  </conditionalFormatting>
  <conditionalFormatting sqref="W48:W52">
    <cfRule type="cellIs" dxfId="10" priority="10" operator="equal">
      <formula>"""REDIMENSIONAR"""</formula>
    </cfRule>
    <cfRule type="cellIs" dxfId="9" priority="11" operator="equal">
      <formula>"""REDIMENSIONAR"""</formula>
    </cfRule>
  </conditionalFormatting>
  <conditionalFormatting sqref="K53:K55">
    <cfRule type="cellIs" dxfId="8" priority="9" operator="greaterThan">
      <formula>20</formula>
    </cfRule>
  </conditionalFormatting>
  <conditionalFormatting sqref="W53:W55">
    <cfRule type="cellIs" dxfId="7" priority="7" operator="equal">
      <formula>"""REDIMENSIONAR"""</formula>
    </cfRule>
    <cfRule type="cellIs" dxfId="6" priority="8" operator="equal">
      <formula>"""REDIMENSIONAR"""</formula>
    </cfRule>
  </conditionalFormatting>
  <conditionalFormatting sqref="K39">
    <cfRule type="cellIs" dxfId="5" priority="6" operator="greaterThan">
      <formula>20</formula>
    </cfRule>
  </conditionalFormatting>
  <conditionalFormatting sqref="W39">
    <cfRule type="cellIs" dxfId="4" priority="4" operator="equal">
      <formula>"""REDIMENSIONAR"""</formula>
    </cfRule>
    <cfRule type="cellIs" dxfId="3" priority="5" operator="equal">
      <formula>"""REDIMENSIONAR"""</formula>
    </cfRule>
  </conditionalFormatting>
  <conditionalFormatting sqref="K30:K38">
    <cfRule type="cellIs" dxfId="2" priority="3" operator="greaterThan">
      <formula>20</formula>
    </cfRule>
  </conditionalFormatting>
  <conditionalFormatting sqref="W30:W38">
    <cfRule type="cellIs" dxfId="1" priority="1" operator="equal">
      <formula>"""REDIMENSIONAR"""</formula>
    </cfRule>
    <cfRule type="cellIs" dxfId="0" priority="2" operator="equal">
      <formula>"""REDIMENSIONAR"""</formula>
    </cfRule>
  </conditionalFormatting>
  <dataValidations count="1">
    <dataValidation type="list" allowBlank="1" showInputMessage="1" showErrorMessage="1" sqref="U9:U55">
      <formula1>D_NOMINAL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D_INTERNO</vt:lpstr>
      <vt:lpstr>D_NOMINAL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EFPROENG0012</dc:creator>
  <cp:lastModifiedBy>EDERSON FANTI</cp:lastModifiedBy>
  <cp:lastPrinted>2014-11-05T16:27:41Z</cp:lastPrinted>
  <dcterms:created xsi:type="dcterms:W3CDTF">2014-10-15T16:42:33Z</dcterms:created>
  <dcterms:modified xsi:type="dcterms:W3CDTF">2016-04-07T01:15:32Z</dcterms:modified>
</cp:coreProperties>
</file>