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5f082b272cf1b0a/Documentos/"/>
    </mc:Choice>
  </mc:AlternateContent>
  <xr:revisionPtr revIDLastSave="0" documentId="8_{1923A260-A3B4-4F75-B1A6-1E245BD12743}" xr6:coauthVersionLast="47" xr6:coauthVersionMax="47" xr10:uidLastSave="{00000000-0000-0000-0000-000000000000}"/>
  <bookViews>
    <workbookView xWindow="-120" yWindow="-120" windowWidth="20730" windowHeight="11040" xr2:uid="{36799898-16DC-48B5-BFCE-BE5DA94394BE}"/>
  </bookViews>
  <sheets>
    <sheet name="dólar sintético" sheetId="1" r:id="rId1"/>
    <sheet name="feriados " sheetId="5" state="hidden" r:id="rId2"/>
    <sheet name="Planilha2" sheetId="2" state="hidden" r:id="rId3"/>
    <sheet name="base" sheetId="4" state="hidden" r:id="rId4"/>
  </sheets>
  <externalReferences>
    <externalReference r:id="rId5"/>
    <externalReference r:id="rId6"/>
  </externalReferences>
  <definedNames>
    <definedName name="feriados">[1]feriados!$A$2:$A$937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E4" i="1"/>
  <c r="D2" i="1" l="1"/>
  <c r="D3" i="1"/>
  <c r="E3" i="1"/>
  <c r="E10" i="1"/>
  <c r="E9" i="1"/>
  <c r="E8" i="1"/>
  <c r="E15" i="1"/>
  <c r="E7" i="1"/>
  <c r="E11" i="1"/>
  <c r="E14" i="1"/>
  <c r="E6" i="1"/>
  <c r="E13" i="1"/>
  <c r="E5" i="1"/>
  <c r="E12" i="1"/>
  <c r="D9" i="1"/>
  <c r="D10" i="1"/>
  <c r="D8" i="1"/>
  <c r="D15" i="1"/>
  <c r="D7" i="1"/>
  <c r="D14" i="1"/>
  <c r="D6" i="1"/>
  <c r="D13" i="1"/>
  <c r="D5" i="1"/>
  <c r="D12" i="1"/>
  <c r="D4" i="1"/>
  <c r="D11" i="1"/>
  <c r="B2" i="4" a="1"/>
  <c r="B2" i="4" s="1"/>
  <c r="C2" i="4" a="1"/>
  <c r="C2" i="4" s="1"/>
  <c r="D2" i="4" a="1"/>
  <c r="D2" i="4" s="1"/>
  <c r="E2" i="4" a="1"/>
  <c r="E2" i="4" s="1"/>
  <c r="F2" i="4" a="1"/>
  <c r="F2" i="4" s="1"/>
  <c r="G2" i="4" a="1"/>
  <c r="G2" i="4" s="1"/>
  <c r="H2" i="4" a="1"/>
  <c r="H2" i="4" s="1"/>
  <c r="I2" i="4" a="1"/>
  <c r="I2" i="4" s="1"/>
  <c r="J2" i="4" a="1"/>
  <c r="J2" i="4" s="1"/>
  <c r="K2" i="4" a="1"/>
  <c r="K2" i="4" s="1"/>
  <c r="L2" i="4" a="1"/>
  <c r="L2" i="4" s="1"/>
  <c r="N2" i="4" a="1"/>
  <c r="N2" i="4" s="1"/>
  <c r="O2" i="4" a="1"/>
  <c r="O2" i="4" s="1"/>
  <c r="P2" i="4" a="1"/>
  <c r="P2" i="4" s="1"/>
  <c r="Q2" i="4" a="1"/>
  <c r="Q2" i="4" s="1"/>
  <c r="R2" i="4" a="1"/>
  <c r="R2" i="4" s="1"/>
  <c r="S2" i="4" a="1"/>
  <c r="S2" i="4" s="1"/>
  <c r="T2" i="4" a="1"/>
  <c r="T2" i="4" s="1"/>
  <c r="U2" i="4" a="1"/>
  <c r="U2" i="4" s="1"/>
  <c r="V2" i="4" a="1"/>
  <c r="V2" i="4" s="1"/>
  <c r="W2" i="4" a="1"/>
  <c r="W2" i="4" s="1"/>
  <c r="X2" i="4" a="1"/>
  <c r="X2" i="4" s="1"/>
  <c r="Y2" i="4" a="1"/>
  <c r="Y2" i="4" s="1"/>
  <c r="Z2" i="4" a="1"/>
  <c r="Z2" i="4" s="1"/>
  <c r="AA2" i="4" a="1"/>
  <c r="AA2" i="4" s="1"/>
  <c r="AB2" i="4" a="1"/>
  <c r="AB2" i="4" s="1"/>
  <c r="AC2" i="4" a="1"/>
  <c r="AC2" i="4" s="1"/>
  <c r="AD2" i="4" a="1"/>
  <c r="AD2" i="4" s="1"/>
  <c r="AE2" i="4" a="1"/>
  <c r="AE2" i="4" s="1"/>
  <c r="AF2" i="4" a="1"/>
  <c r="AF2" i="4" s="1"/>
  <c r="AG2" i="4" a="1"/>
  <c r="AG2" i="4" s="1"/>
  <c r="AH2" i="4" a="1"/>
  <c r="AH2" i="4" s="1"/>
  <c r="AI2" i="4" a="1"/>
  <c r="AI2" i="4" s="1"/>
  <c r="AJ2" i="4" a="1"/>
  <c r="AJ2" i="4" s="1"/>
  <c r="AK2" i="4" a="1"/>
  <c r="AK2" i="4" s="1"/>
  <c r="AL2" i="4" a="1"/>
  <c r="AL2" i="4" s="1"/>
  <c r="AM2" i="4" a="1"/>
  <c r="AM2" i="4" s="1"/>
  <c r="AN2" i="4" a="1"/>
  <c r="AN2" i="4" s="1"/>
  <c r="AO2" i="4" a="1"/>
  <c r="AO2" i="4" s="1"/>
  <c r="AP2" i="4" a="1"/>
  <c r="AP2" i="4" s="1"/>
  <c r="AQ2" i="4" a="1"/>
  <c r="AQ2" i="4" s="1"/>
  <c r="AR2" i="4" a="1"/>
  <c r="AR2" i="4" s="1"/>
  <c r="AS2" i="4" a="1"/>
  <c r="AS2" i="4" s="1"/>
  <c r="AT2" i="4" a="1"/>
  <c r="AT2" i="4" s="1"/>
  <c r="AU2" i="4" a="1"/>
  <c r="AU2" i="4" s="1"/>
  <c r="AV2" i="4" a="1"/>
  <c r="AV2" i="4" s="1"/>
  <c r="AW2" i="4" a="1"/>
  <c r="AW2" i="4" s="1"/>
  <c r="AX2" i="4" a="1"/>
  <c r="AX2" i="4" s="1"/>
  <c r="AY2" i="4" a="1"/>
  <c r="AY2" i="4" s="1"/>
  <c r="AZ2" i="4" a="1"/>
  <c r="AZ2" i="4" s="1"/>
  <c r="BA2" i="4" a="1"/>
  <c r="BA2" i="4" s="1"/>
  <c r="B3" i="4" a="1"/>
  <c r="B3" i="4" s="1"/>
  <c r="C3" i="4" a="1"/>
  <c r="C3" i="4" s="1"/>
  <c r="D3" i="4" a="1"/>
  <c r="D3" i="4" s="1"/>
  <c r="E3" i="4" a="1"/>
  <c r="E3" i="4" s="1"/>
  <c r="F3" i="4" a="1"/>
  <c r="F3" i="4" s="1"/>
  <c r="G3" i="4" a="1"/>
  <c r="G3" i="4" s="1"/>
  <c r="H3" i="4" a="1"/>
  <c r="H3" i="4" s="1"/>
  <c r="I3" i="4" a="1"/>
  <c r="I3" i="4" s="1"/>
  <c r="J3" i="4" a="1"/>
  <c r="J3" i="4" s="1"/>
  <c r="K3" i="4" a="1"/>
  <c r="K3" i="4" s="1"/>
  <c r="L3" i="4" a="1"/>
  <c r="L3" i="4" s="1"/>
  <c r="N3" i="4" a="1"/>
  <c r="N3" i="4" s="1"/>
  <c r="O3" i="4" a="1"/>
  <c r="O3" i="4" s="1"/>
  <c r="P3" i="4" a="1"/>
  <c r="P3" i="4" s="1"/>
  <c r="Q3" i="4" a="1"/>
  <c r="Q3" i="4" s="1"/>
  <c r="R3" i="4" a="1"/>
  <c r="R3" i="4" s="1"/>
  <c r="S3" i="4" a="1"/>
  <c r="S3" i="4" s="1"/>
  <c r="T3" i="4" a="1"/>
  <c r="T3" i="4" s="1"/>
  <c r="U3" i="4" a="1"/>
  <c r="U3" i="4" s="1"/>
  <c r="V3" i="4" a="1"/>
  <c r="V3" i="4" s="1"/>
  <c r="W3" i="4" a="1"/>
  <c r="W3" i="4" s="1"/>
  <c r="X3" i="4" a="1"/>
  <c r="X3" i="4" s="1"/>
  <c r="Y3" i="4" a="1"/>
  <c r="Y3" i="4" s="1"/>
  <c r="Z3" i="4" a="1"/>
  <c r="Z3" i="4" s="1"/>
  <c r="AA3" i="4" a="1"/>
  <c r="AA3" i="4" s="1"/>
  <c r="AB3" i="4" a="1"/>
  <c r="AB3" i="4" s="1"/>
  <c r="AC3" i="4" a="1"/>
  <c r="AC3" i="4" s="1"/>
  <c r="AD3" i="4" a="1"/>
  <c r="AD3" i="4" s="1"/>
  <c r="AE3" i="4" a="1"/>
  <c r="AE3" i="4" s="1"/>
  <c r="AF3" i="4" a="1"/>
  <c r="AF3" i="4" s="1"/>
  <c r="AG3" i="4" a="1"/>
  <c r="AG3" i="4" s="1"/>
  <c r="AH3" i="4" a="1"/>
  <c r="AH3" i="4" s="1"/>
  <c r="AI3" i="4" a="1"/>
  <c r="AI3" i="4" s="1"/>
  <c r="AJ3" i="4" a="1"/>
  <c r="AJ3" i="4" s="1"/>
  <c r="AK3" i="4" a="1"/>
  <c r="AK3" i="4" s="1"/>
  <c r="AL3" i="4" a="1"/>
  <c r="AL3" i="4" s="1"/>
  <c r="AM3" i="4" a="1"/>
  <c r="AM3" i="4" s="1"/>
  <c r="AN3" i="4" a="1"/>
  <c r="AN3" i="4" s="1"/>
  <c r="AO3" i="4" a="1"/>
  <c r="AO3" i="4" s="1"/>
  <c r="AP3" i="4" a="1"/>
  <c r="AP3" i="4" s="1"/>
  <c r="AQ3" i="4" a="1"/>
  <c r="AQ3" i="4" s="1"/>
  <c r="AR3" i="4" a="1"/>
  <c r="AR3" i="4" s="1"/>
  <c r="AS3" i="4" a="1"/>
  <c r="AS3" i="4" s="1"/>
  <c r="AT3" i="4" a="1"/>
  <c r="AT3" i="4" s="1"/>
  <c r="AU3" i="4" a="1"/>
  <c r="AU3" i="4" s="1"/>
  <c r="AV3" i="4" a="1"/>
  <c r="AV3" i="4" s="1"/>
  <c r="AW3" i="4" a="1"/>
  <c r="AW3" i="4" s="1"/>
  <c r="AX3" i="4" a="1"/>
  <c r="AX3" i="4" s="1"/>
  <c r="AY3" i="4" a="1"/>
  <c r="AY3" i="4" s="1"/>
  <c r="AZ3" i="4" a="1"/>
  <c r="AZ3" i="4" s="1"/>
  <c r="BA3" i="4" a="1"/>
  <c r="BA3" i="4" s="1"/>
  <c r="B4" i="4" a="1"/>
  <c r="B4" i="4" s="1"/>
  <c r="C4" i="4" a="1"/>
  <c r="C4" i="4" s="1"/>
  <c r="D4" i="4" a="1"/>
  <c r="D4" i="4" s="1"/>
  <c r="E4" i="4" a="1"/>
  <c r="E4" i="4" s="1"/>
  <c r="F4" i="4" a="1"/>
  <c r="F4" i="4" s="1"/>
  <c r="G4" i="4" a="1"/>
  <c r="G4" i="4" s="1"/>
  <c r="H4" i="4" a="1"/>
  <c r="H4" i="4" s="1"/>
  <c r="I4" i="4" a="1"/>
  <c r="I4" i="4" s="1"/>
  <c r="J4" i="4" a="1"/>
  <c r="J4" i="4" s="1"/>
  <c r="K4" i="4" a="1"/>
  <c r="K4" i="4" s="1"/>
  <c r="L4" i="4" a="1"/>
  <c r="L4" i="4" s="1"/>
  <c r="N4" i="4" a="1"/>
  <c r="N4" i="4" s="1"/>
  <c r="O4" i="4" a="1"/>
  <c r="O4" i="4" s="1"/>
  <c r="P4" i="4" a="1"/>
  <c r="P4" i="4" s="1"/>
  <c r="Q4" i="4" a="1"/>
  <c r="Q4" i="4" s="1"/>
  <c r="R4" i="4" a="1"/>
  <c r="R4" i="4" s="1"/>
  <c r="S4" i="4" a="1"/>
  <c r="S4" i="4" s="1"/>
  <c r="T4" i="4" a="1"/>
  <c r="T4" i="4" s="1"/>
  <c r="U4" i="4" a="1"/>
  <c r="U4" i="4" s="1"/>
  <c r="V4" i="4" a="1"/>
  <c r="V4" i="4" s="1"/>
  <c r="W4" i="4" a="1"/>
  <c r="W4" i="4" s="1"/>
  <c r="X4" i="4" a="1"/>
  <c r="X4" i="4" s="1"/>
  <c r="Y4" i="4" a="1"/>
  <c r="Y4" i="4" s="1"/>
  <c r="Z4" i="4" a="1"/>
  <c r="Z4" i="4" s="1"/>
  <c r="AA4" i="4" a="1"/>
  <c r="AA4" i="4" s="1"/>
  <c r="AB4" i="4" a="1"/>
  <c r="AB4" i="4" s="1"/>
  <c r="AC4" i="4" a="1"/>
  <c r="AC4" i="4" s="1"/>
  <c r="AD4" i="4" a="1"/>
  <c r="AD4" i="4" s="1"/>
  <c r="AE4" i="4" a="1"/>
  <c r="AE4" i="4" s="1"/>
  <c r="AF4" i="4" a="1"/>
  <c r="AF4" i="4" s="1"/>
  <c r="AG4" i="4" a="1"/>
  <c r="AG4" i="4" s="1"/>
  <c r="AH4" i="4" a="1"/>
  <c r="AH4" i="4" s="1"/>
  <c r="AI4" i="4" a="1"/>
  <c r="AI4" i="4" s="1"/>
  <c r="AJ4" i="4" a="1"/>
  <c r="AJ4" i="4" s="1"/>
  <c r="AK4" i="4" a="1"/>
  <c r="AK4" i="4" s="1"/>
  <c r="AL4" i="4" a="1"/>
  <c r="AL4" i="4" s="1"/>
  <c r="AM4" i="4" a="1"/>
  <c r="AM4" i="4" s="1"/>
  <c r="AN4" i="4" a="1"/>
  <c r="AN4" i="4" s="1"/>
  <c r="AO4" i="4" a="1"/>
  <c r="AO4" i="4" s="1"/>
  <c r="AP4" i="4" a="1"/>
  <c r="AP4" i="4" s="1"/>
  <c r="AQ4" i="4" a="1"/>
  <c r="AQ4" i="4" s="1"/>
  <c r="AR4" i="4" a="1"/>
  <c r="AR4" i="4" s="1"/>
  <c r="AS4" i="4" a="1"/>
  <c r="AS4" i="4" s="1"/>
  <c r="AT4" i="4" a="1"/>
  <c r="AT4" i="4" s="1"/>
  <c r="AU4" i="4" a="1"/>
  <c r="AU4" i="4" s="1"/>
  <c r="AV4" i="4" a="1"/>
  <c r="AV4" i="4" s="1"/>
  <c r="AW4" i="4" a="1"/>
  <c r="AW4" i="4" s="1"/>
  <c r="AX4" i="4" a="1"/>
  <c r="AX4" i="4" s="1"/>
  <c r="AY4" i="4" a="1"/>
  <c r="AY4" i="4" s="1"/>
  <c r="AZ4" i="4" a="1"/>
  <c r="AZ4" i="4" s="1"/>
  <c r="BA4" i="4" a="1"/>
  <c r="BA4" i="4" s="1"/>
  <c r="B5" i="4" a="1"/>
  <c r="B5" i="4" s="1"/>
  <c r="C5" i="4" a="1"/>
  <c r="C5" i="4" s="1"/>
  <c r="D5" i="4" a="1"/>
  <c r="D5" i="4" s="1"/>
  <c r="E5" i="4" a="1"/>
  <c r="E5" i="4" s="1"/>
  <c r="F5" i="4" a="1"/>
  <c r="F5" i="4" s="1"/>
  <c r="G5" i="4" a="1"/>
  <c r="G5" i="4" s="1"/>
  <c r="H5" i="4" a="1"/>
  <c r="H5" i="4" s="1"/>
  <c r="I5" i="4" a="1"/>
  <c r="I5" i="4" s="1"/>
  <c r="J5" i="4" a="1"/>
  <c r="J5" i="4" s="1"/>
  <c r="K5" i="4" a="1"/>
  <c r="K5" i="4" s="1"/>
  <c r="L5" i="4" a="1"/>
  <c r="L5" i="4" s="1"/>
  <c r="N5" i="4" a="1"/>
  <c r="N5" i="4" s="1"/>
  <c r="O5" i="4" a="1"/>
  <c r="O5" i="4" s="1"/>
  <c r="P5" i="4" a="1"/>
  <c r="P5" i="4" s="1"/>
  <c r="Q5" i="4" a="1"/>
  <c r="Q5" i="4" s="1"/>
  <c r="R5" i="4" a="1"/>
  <c r="R5" i="4" s="1"/>
  <c r="S5" i="4" a="1"/>
  <c r="S5" i="4" s="1"/>
  <c r="T5" i="4" a="1"/>
  <c r="T5" i="4" s="1"/>
  <c r="U5" i="4" a="1"/>
  <c r="U5" i="4" s="1"/>
  <c r="V5" i="4" a="1"/>
  <c r="V5" i="4" s="1"/>
  <c r="W5" i="4" a="1"/>
  <c r="W5" i="4" s="1"/>
  <c r="X5" i="4" a="1"/>
  <c r="X5" i="4" s="1"/>
  <c r="Y5" i="4" a="1"/>
  <c r="Y5" i="4" s="1"/>
  <c r="Z5" i="4" a="1"/>
  <c r="Z5" i="4" s="1"/>
  <c r="AA5" i="4" a="1"/>
  <c r="AA5" i="4" s="1"/>
  <c r="AB5" i="4" a="1"/>
  <c r="AB5" i="4" s="1"/>
  <c r="AC5" i="4" a="1"/>
  <c r="AC5" i="4" s="1"/>
  <c r="AD5" i="4" a="1"/>
  <c r="AD5" i="4" s="1"/>
  <c r="AE5" i="4" a="1"/>
  <c r="AE5" i="4" s="1"/>
  <c r="AF5" i="4" a="1"/>
  <c r="AF5" i="4" s="1"/>
  <c r="AG5" i="4" a="1"/>
  <c r="AG5" i="4" s="1"/>
  <c r="AH5" i="4" a="1"/>
  <c r="AH5" i="4" s="1"/>
  <c r="AI5" i="4" a="1"/>
  <c r="AI5" i="4" s="1"/>
  <c r="AJ5" i="4" a="1"/>
  <c r="AJ5" i="4" s="1"/>
  <c r="AK5" i="4" a="1"/>
  <c r="AK5" i="4" s="1"/>
  <c r="AL5" i="4" a="1"/>
  <c r="AL5" i="4" s="1"/>
  <c r="AM5" i="4" a="1"/>
  <c r="AM5" i="4" s="1"/>
  <c r="AN5" i="4" a="1"/>
  <c r="AN5" i="4" s="1"/>
  <c r="AO5" i="4" a="1"/>
  <c r="AO5" i="4" s="1"/>
  <c r="AP5" i="4" a="1"/>
  <c r="AP5" i="4" s="1"/>
  <c r="AQ5" i="4" a="1"/>
  <c r="AQ5" i="4" s="1"/>
  <c r="AR5" i="4" a="1"/>
  <c r="AR5" i="4" s="1"/>
  <c r="AS5" i="4" a="1"/>
  <c r="AS5" i="4" s="1"/>
  <c r="AT5" i="4" a="1"/>
  <c r="AT5" i="4" s="1"/>
  <c r="AU5" i="4" a="1"/>
  <c r="AU5" i="4" s="1"/>
  <c r="AV5" i="4" a="1"/>
  <c r="AV5" i="4" s="1"/>
  <c r="AW5" i="4" a="1"/>
  <c r="AW5" i="4" s="1"/>
  <c r="AX5" i="4" a="1"/>
  <c r="AX5" i="4" s="1"/>
  <c r="AY5" i="4" a="1"/>
  <c r="AY5" i="4" s="1"/>
  <c r="AZ5" i="4" a="1"/>
  <c r="AZ5" i="4" s="1"/>
  <c r="BA5" i="4" a="1"/>
  <c r="BA5" i="4" s="1"/>
  <c r="B6" i="4" a="1"/>
  <c r="B6" i="4" s="1"/>
  <c r="C6" i="4" a="1"/>
  <c r="C6" i="4" s="1"/>
  <c r="D6" i="4" a="1"/>
  <c r="D6" i="4" s="1"/>
  <c r="F3" i="1" s="1"/>
  <c r="E6" i="4" a="1"/>
  <c r="E6" i="4" s="1"/>
  <c r="F6" i="4" a="1"/>
  <c r="F6" i="4" s="1"/>
  <c r="G6" i="4" a="1"/>
  <c r="G6" i="4" s="1"/>
  <c r="H6" i="4" a="1"/>
  <c r="H6" i="4" s="1"/>
  <c r="I6" i="4" a="1"/>
  <c r="I6" i="4" s="1"/>
  <c r="J6" i="4" a="1"/>
  <c r="J6" i="4" s="1"/>
  <c r="K6" i="4" a="1"/>
  <c r="K6" i="4" s="1"/>
  <c r="L6" i="4" a="1"/>
  <c r="L6" i="4" s="1"/>
  <c r="N6" i="4" a="1"/>
  <c r="N6" i="4" s="1"/>
  <c r="O6" i="4" a="1"/>
  <c r="O6" i="4" s="1"/>
  <c r="P6" i="4" a="1"/>
  <c r="P6" i="4" s="1"/>
  <c r="Q6" i="4" a="1"/>
  <c r="Q6" i="4" s="1"/>
  <c r="R6" i="4" a="1"/>
  <c r="R6" i="4" s="1"/>
  <c r="S6" i="4" a="1"/>
  <c r="S6" i="4" s="1"/>
  <c r="T6" i="4" a="1"/>
  <c r="T6" i="4" s="1"/>
  <c r="U6" i="4" a="1"/>
  <c r="U6" i="4" s="1"/>
  <c r="V6" i="4" a="1"/>
  <c r="V6" i="4" s="1"/>
  <c r="W6" i="4" a="1"/>
  <c r="W6" i="4" s="1"/>
  <c r="X6" i="4" a="1"/>
  <c r="X6" i="4" s="1"/>
  <c r="Y6" i="4" a="1"/>
  <c r="Y6" i="4" s="1"/>
  <c r="Z6" i="4" a="1"/>
  <c r="Z6" i="4" s="1"/>
  <c r="AA6" i="4" a="1"/>
  <c r="AA6" i="4" s="1"/>
  <c r="AB6" i="4" a="1"/>
  <c r="AB6" i="4" s="1"/>
  <c r="AC6" i="4" a="1"/>
  <c r="AC6" i="4" s="1"/>
  <c r="AD6" i="4" a="1"/>
  <c r="AD6" i="4" s="1"/>
  <c r="AE6" i="4" a="1"/>
  <c r="AE6" i="4" s="1"/>
  <c r="AF6" i="4" a="1"/>
  <c r="AF6" i="4" s="1"/>
  <c r="AG6" i="4" a="1"/>
  <c r="AG6" i="4" s="1"/>
  <c r="AH6" i="4" a="1"/>
  <c r="AH6" i="4" s="1"/>
  <c r="AI6" i="4" a="1"/>
  <c r="AI6" i="4" s="1"/>
  <c r="AJ6" i="4" a="1"/>
  <c r="AJ6" i="4" s="1"/>
  <c r="AK6" i="4" a="1"/>
  <c r="AK6" i="4" s="1"/>
  <c r="AL6" i="4" a="1"/>
  <c r="AL6" i="4" s="1"/>
  <c r="AM6" i="4" a="1"/>
  <c r="AM6" i="4" s="1"/>
  <c r="AN6" i="4" a="1"/>
  <c r="AN6" i="4" s="1"/>
  <c r="AO6" i="4" a="1"/>
  <c r="AO6" i="4" s="1"/>
  <c r="AP6" i="4" a="1"/>
  <c r="AP6" i="4" s="1"/>
  <c r="AQ6" i="4" a="1"/>
  <c r="AQ6" i="4" s="1"/>
  <c r="AR6" i="4" a="1"/>
  <c r="AR6" i="4" s="1"/>
  <c r="AS6" i="4" a="1"/>
  <c r="AS6" i="4" s="1"/>
  <c r="AT6" i="4" a="1"/>
  <c r="AT6" i="4" s="1"/>
  <c r="AU6" i="4" a="1"/>
  <c r="AU6" i="4" s="1"/>
  <c r="AV6" i="4" a="1"/>
  <c r="AV6" i="4" s="1"/>
  <c r="AW6" i="4" a="1"/>
  <c r="AW6" i="4" s="1"/>
  <c r="AX6" i="4" a="1"/>
  <c r="AX6" i="4" s="1"/>
  <c r="AY6" i="4" a="1"/>
  <c r="AY6" i="4" s="1"/>
  <c r="AZ6" i="4" a="1"/>
  <c r="AZ6" i="4" s="1"/>
  <c r="BA6" i="4" a="1"/>
  <c r="BA6" i="4" s="1"/>
  <c r="B7" i="4" a="1"/>
  <c r="B7" i="4" s="1"/>
  <c r="C7" i="4" a="1"/>
  <c r="C7" i="4" s="1"/>
  <c r="D7" i="4" a="1"/>
  <c r="D7" i="4" s="1"/>
  <c r="F4" i="1" s="1"/>
  <c r="E7" i="4" a="1"/>
  <c r="E7" i="4" s="1"/>
  <c r="F7" i="4" a="1"/>
  <c r="F7" i="4" s="1"/>
  <c r="G7" i="4" a="1"/>
  <c r="G7" i="4" s="1"/>
  <c r="H7" i="4" a="1"/>
  <c r="H7" i="4" s="1"/>
  <c r="I7" i="4" a="1"/>
  <c r="I7" i="4" s="1"/>
  <c r="J7" i="4" a="1"/>
  <c r="J7" i="4" s="1"/>
  <c r="K7" i="4" a="1"/>
  <c r="K7" i="4" s="1"/>
  <c r="L7" i="4" a="1"/>
  <c r="L7" i="4" s="1"/>
  <c r="N7" i="4" a="1"/>
  <c r="N7" i="4" s="1"/>
  <c r="O7" i="4" a="1"/>
  <c r="O7" i="4" s="1"/>
  <c r="P7" i="4" a="1"/>
  <c r="P7" i="4" s="1"/>
  <c r="Q7" i="4" a="1"/>
  <c r="Q7" i="4" s="1"/>
  <c r="R7" i="4" a="1"/>
  <c r="R7" i="4" s="1"/>
  <c r="S7" i="4" a="1"/>
  <c r="S7" i="4" s="1"/>
  <c r="T7" i="4" a="1"/>
  <c r="T7" i="4" s="1"/>
  <c r="U7" i="4" a="1"/>
  <c r="U7" i="4" s="1"/>
  <c r="V7" i="4" a="1"/>
  <c r="V7" i="4" s="1"/>
  <c r="W7" i="4" a="1"/>
  <c r="W7" i="4" s="1"/>
  <c r="X7" i="4" a="1"/>
  <c r="X7" i="4" s="1"/>
  <c r="Y7" i="4" a="1"/>
  <c r="Y7" i="4" s="1"/>
  <c r="Z7" i="4" a="1"/>
  <c r="Z7" i="4" s="1"/>
  <c r="AA7" i="4" a="1"/>
  <c r="AA7" i="4" s="1"/>
  <c r="AB7" i="4" a="1"/>
  <c r="AB7" i="4" s="1"/>
  <c r="AC7" i="4" a="1"/>
  <c r="AC7" i="4" s="1"/>
  <c r="AD7" i="4" a="1"/>
  <c r="AD7" i="4" s="1"/>
  <c r="AE7" i="4" a="1"/>
  <c r="AE7" i="4" s="1"/>
  <c r="AF7" i="4" a="1"/>
  <c r="AF7" i="4" s="1"/>
  <c r="AG7" i="4" a="1"/>
  <c r="AG7" i="4" s="1"/>
  <c r="AH7" i="4" a="1"/>
  <c r="AH7" i="4" s="1"/>
  <c r="AI7" i="4" a="1"/>
  <c r="AI7" i="4" s="1"/>
  <c r="AJ7" i="4" a="1"/>
  <c r="AJ7" i="4" s="1"/>
  <c r="AK7" i="4" a="1"/>
  <c r="AK7" i="4" s="1"/>
  <c r="AL7" i="4" a="1"/>
  <c r="AL7" i="4" s="1"/>
  <c r="AM7" i="4" a="1"/>
  <c r="AM7" i="4" s="1"/>
  <c r="AN7" i="4" a="1"/>
  <c r="AN7" i="4" s="1"/>
  <c r="AO7" i="4" a="1"/>
  <c r="AO7" i="4" s="1"/>
  <c r="AP7" i="4" a="1"/>
  <c r="AP7" i="4" s="1"/>
  <c r="AQ7" i="4" a="1"/>
  <c r="AQ7" i="4" s="1"/>
  <c r="AR7" i="4" a="1"/>
  <c r="AR7" i="4" s="1"/>
  <c r="AS7" i="4" a="1"/>
  <c r="AS7" i="4" s="1"/>
  <c r="AT7" i="4" a="1"/>
  <c r="AT7" i="4" s="1"/>
  <c r="AU7" i="4" a="1"/>
  <c r="AU7" i="4" s="1"/>
  <c r="AV7" i="4" a="1"/>
  <c r="AV7" i="4" s="1"/>
  <c r="AW7" i="4" a="1"/>
  <c r="AW7" i="4" s="1"/>
  <c r="AX7" i="4" a="1"/>
  <c r="AX7" i="4" s="1"/>
  <c r="AY7" i="4" a="1"/>
  <c r="AY7" i="4" s="1"/>
  <c r="AZ7" i="4" a="1"/>
  <c r="AZ7" i="4" s="1"/>
  <c r="BA7" i="4" a="1"/>
  <c r="BA7" i="4" s="1"/>
  <c r="B8" i="4" a="1"/>
  <c r="B8" i="4" s="1"/>
  <c r="C8" i="4" a="1"/>
  <c r="C8" i="4" s="1"/>
  <c r="D8" i="4" a="1"/>
  <c r="D8" i="4" s="1"/>
  <c r="F5" i="1" s="1"/>
  <c r="E8" i="4" a="1"/>
  <c r="E8" i="4" s="1"/>
  <c r="F8" i="4" a="1"/>
  <c r="F8" i="4" s="1"/>
  <c r="G8" i="4" a="1"/>
  <c r="G8" i="4" s="1"/>
  <c r="H8" i="4" a="1"/>
  <c r="H8" i="4" s="1"/>
  <c r="I8" i="4" a="1"/>
  <c r="I8" i="4" s="1"/>
  <c r="J8" i="4" a="1"/>
  <c r="J8" i="4" s="1"/>
  <c r="K8" i="4" a="1"/>
  <c r="K8" i="4" s="1"/>
  <c r="L8" i="4" a="1"/>
  <c r="L8" i="4" s="1"/>
  <c r="N8" i="4" a="1"/>
  <c r="N8" i="4" s="1"/>
  <c r="O8" i="4" a="1"/>
  <c r="O8" i="4" s="1"/>
  <c r="P8" i="4" a="1"/>
  <c r="P8" i="4" s="1"/>
  <c r="Q8" i="4" a="1"/>
  <c r="Q8" i="4" s="1"/>
  <c r="R8" i="4" a="1"/>
  <c r="R8" i="4" s="1"/>
  <c r="S8" i="4" a="1"/>
  <c r="S8" i="4" s="1"/>
  <c r="T8" i="4" a="1"/>
  <c r="T8" i="4" s="1"/>
  <c r="U8" i="4" a="1"/>
  <c r="U8" i="4" s="1"/>
  <c r="V8" i="4" a="1"/>
  <c r="V8" i="4" s="1"/>
  <c r="W8" i="4" a="1"/>
  <c r="W8" i="4" s="1"/>
  <c r="X8" i="4" a="1"/>
  <c r="X8" i="4" s="1"/>
  <c r="Y8" i="4" a="1"/>
  <c r="Y8" i="4" s="1"/>
  <c r="Z8" i="4" a="1"/>
  <c r="Z8" i="4" s="1"/>
  <c r="AA8" i="4" a="1"/>
  <c r="AA8" i="4" s="1"/>
  <c r="AB8" i="4" a="1"/>
  <c r="AB8" i="4" s="1"/>
  <c r="AC8" i="4" a="1"/>
  <c r="AC8" i="4" s="1"/>
  <c r="AD8" i="4" a="1"/>
  <c r="AD8" i="4" s="1"/>
  <c r="AE8" i="4" a="1"/>
  <c r="AE8" i="4" s="1"/>
  <c r="AF8" i="4" a="1"/>
  <c r="AF8" i="4" s="1"/>
  <c r="AG8" i="4" a="1"/>
  <c r="AG8" i="4" s="1"/>
  <c r="AH8" i="4" a="1"/>
  <c r="AH8" i="4" s="1"/>
  <c r="AI8" i="4" a="1"/>
  <c r="AI8" i="4" s="1"/>
  <c r="AJ8" i="4" a="1"/>
  <c r="AJ8" i="4" s="1"/>
  <c r="AK8" i="4" a="1"/>
  <c r="AK8" i="4" s="1"/>
  <c r="AL8" i="4" a="1"/>
  <c r="AL8" i="4" s="1"/>
  <c r="AM8" i="4" a="1"/>
  <c r="AM8" i="4" s="1"/>
  <c r="AN8" i="4" a="1"/>
  <c r="AN8" i="4" s="1"/>
  <c r="AO8" i="4" a="1"/>
  <c r="AO8" i="4" s="1"/>
  <c r="AP8" i="4" a="1"/>
  <c r="AP8" i="4" s="1"/>
  <c r="AQ8" i="4" a="1"/>
  <c r="AQ8" i="4" s="1"/>
  <c r="AR8" i="4" a="1"/>
  <c r="AR8" i="4" s="1"/>
  <c r="AS8" i="4" a="1"/>
  <c r="AS8" i="4" s="1"/>
  <c r="AT8" i="4" a="1"/>
  <c r="AT8" i="4" s="1"/>
  <c r="AU8" i="4" a="1"/>
  <c r="AU8" i="4" s="1"/>
  <c r="AV8" i="4" a="1"/>
  <c r="AV8" i="4" s="1"/>
  <c r="AW8" i="4" a="1"/>
  <c r="AW8" i="4" s="1"/>
  <c r="AX8" i="4" a="1"/>
  <c r="AX8" i="4" s="1"/>
  <c r="AY8" i="4" a="1"/>
  <c r="AY8" i="4" s="1"/>
  <c r="AZ8" i="4" a="1"/>
  <c r="AZ8" i="4" s="1"/>
  <c r="BA8" i="4" a="1"/>
  <c r="BA8" i="4" s="1"/>
  <c r="B9" i="4" a="1"/>
  <c r="B9" i="4" s="1"/>
  <c r="C9" i="4" a="1"/>
  <c r="C9" i="4" s="1"/>
  <c r="D9" i="4" a="1"/>
  <c r="D9" i="4" s="1"/>
  <c r="F6" i="1" s="1"/>
  <c r="E9" i="4" a="1"/>
  <c r="E9" i="4" s="1"/>
  <c r="F9" i="4" a="1"/>
  <c r="F9" i="4" s="1"/>
  <c r="G9" i="4" a="1"/>
  <c r="G9" i="4" s="1"/>
  <c r="H9" i="4" a="1"/>
  <c r="H9" i="4" s="1"/>
  <c r="I9" i="4" a="1"/>
  <c r="I9" i="4" s="1"/>
  <c r="J9" i="4" a="1"/>
  <c r="J9" i="4" s="1"/>
  <c r="K9" i="4" a="1"/>
  <c r="K9" i="4" s="1"/>
  <c r="L9" i="4" a="1"/>
  <c r="L9" i="4" s="1"/>
  <c r="N9" i="4" a="1"/>
  <c r="N9" i="4" s="1"/>
  <c r="O9" i="4" a="1"/>
  <c r="O9" i="4" s="1"/>
  <c r="P9" i="4" a="1"/>
  <c r="P9" i="4" s="1"/>
  <c r="Q9" i="4" a="1"/>
  <c r="Q9" i="4" s="1"/>
  <c r="R9" i="4" a="1"/>
  <c r="R9" i="4" s="1"/>
  <c r="S9" i="4" a="1"/>
  <c r="S9" i="4" s="1"/>
  <c r="T9" i="4" a="1"/>
  <c r="T9" i="4" s="1"/>
  <c r="U9" i="4" a="1"/>
  <c r="U9" i="4" s="1"/>
  <c r="V9" i="4" a="1"/>
  <c r="V9" i="4" s="1"/>
  <c r="W9" i="4" a="1"/>
  <c r="W9" i="4" s="1"/>
  <c r="X9" i="4" a="1"/>
  <c r="X9" i="4" s="1"/>
  <c r="Y9" i="4" a="1"/>
  <c r="Y9" i="4" s="1"/>
  <c r="Z9" i="4" a="1"/>
  <c r="Z9" i="4" s="1"/>
  <c r="AA9" i="4" a="1"/>
  <c r="AA9" i="4" s="1"/>
  <c r="AB9" i="4" a="1"/>
  <c r="AB9" i="4" s="1"/>
  <c r="AC9" i="4" a="1"/>
  <c r="AC9" i="4" s="1"/>
  <c r="AD9" i="4" a="1"/>
  <c r="AD9" i="4" s="1"/>
  <c r="AE9" i="4" a="1"/>
  <c r="AE9" i="4" s="1"/>
  <c r="AF9" i="4" a="1"/>
  <c r="AF9" i="4" s="1"/>
  <c r="AG9" i="4" a="1"/>
  <c r="AG9" i="4" s="1"/>
  <c r="AH9" i="4" a="1"/>
  <c r="AH9" i="4" s="1"/>
  <c r="AI9" i="4" a="1"/>
  <c r="AI9" i="4" s="1"/>
  <c r="AJ9" i="4" a="1"/>
  <c r="AJ9" i="4" s="1"/>
  <c r="AK9" i="4" a="1"/>
  <c r="AK9" i="4" s="1"/>
  <c r="AL9" i="4" a="1"/>
  <c r="AL9" i="4" s="1"/>
  <c r="AM9" i="4" a="1"/>
  <c r="AM9" i="4" s="1"/>
  <c r="AN9" i="4" a="1"/>
  <c r="AN9" i="4" s="1"/>
  <c r="AO9" i="4" a="1"/>
  <c r="AO9" i="4" s="1"/>
  <c r="AP9" i="4" a="1"/>
  <c r="AP9" i="4" s="1"/>
  <c r="AQ9" i="4" a="1"/>
  <c r="AQ9" i="4" s="1"/>
  <c r="AR9" i="4" a="1"/>
  <c r="AR9" i="4" s="1"/>
  <c r="AS9" i="4" a="1"/>
  <c r="AS9" i="4" s="1"/>
  <c r="AT9" i="4" a="1"/>
  <c r="AT9" i="4" s="1"/>
  <c r="AU9" i="4" a="1"/>
  <c r="AU9" i="4" s="1"/>
  <c r="AV9" i="4" a="1"/>
  <c r="AV9" i="4" s="1"/>
  <c r="AW9" i="4" a="1"/>
  <c r="AW9" i="4" s="1"/>
  <c r="AX9" i="4" a="1"/>
  <c r="AX9" i="4" s="1"/>
  <c r="AY9" i="4" a="1"/>
  <c r="AY9" i="4" s="1"/>
  <c r="AZ9" i="4" a="1"/>
  <c r="AZ9" i="4" s="1"/>
  <c r="BA9" i="4" a="1"/>
  <c r="BA9" i="4" s="1"/>
  <c r="B10" i="4" a="1"/>
  <c r="B10" i="4" s="1"/>
  <c r="C10" i="4" a="1"/>
  <c r="C10" i="4" s="1"/>
  <c r="D10" i="4" a="1"/>
  <c r="D10" i="4" s="1"/>
  <c r="F7" i="1" s="1"/>
  <c r="E10" i="4" a="1"/>
  <c r="E10" i="4" s="1"/>
  <c r="F10" i="4" a="1"/>
  <c r="F10" i="4" s="1"/>
  <c r="G10" i="4" a="1"/>
  <c r="G10" i="4" s="1"/>
  <c r="H10" i="4" a="1"/>
  <c r="H10" i="4" s="1"/>
  <c r="I10" i="4" a="1"/>
  <c r="I10" i="4" s="1"/>
  <c r="J10" i="4" a="1"/>
  <c r="J10" i="4" s="1"/>
  <c r="K10" i="4" a="1"/>
  <c r="K10" i="4" s="1"/>
  <c r="L10" i="4" a="1"/>
  <c r="L10" i="4" s="1"/>
  <c r="N10" i="4" a="1"/>
  <c r="N10" i="4" s="1"/>
  <c r="O10" i="4" a="1"/>
  <c r="O10" i="4" s="1"/>
  <c r="P10" i="4" a="1"/>
  <c r="P10" i="4" s="1"/>
  <c r="Q10" i="4" a="1"/>
  <c r="Q10" i="4" s="1"/>
  <c r="R10" i="4" a="1"/>
  <c r="R10" i="4" s="1"/>
  <c r="S10" i="4" a="1"/>
  <c r="S10" i="4" s="1"/>
  <c r="T10" i="4" a="1"/>
  <c r="T10" i="4" s="1"/>
  <c r="U10" i="4" a="1"/>
  <c r="U10" i="4" s="1"/>
  <c r="V10" i="4" a="1"/>
  <c r="V10" i="4" s="1"/>
  <c r="W10" i="4" a="1"/>
  <c r="W10" i="4" s="1"/>
  <c r="X10" i="4" a="1"/>
  <c r="X10" i="4" s="1"/>
  <c r="Y10" i="4" a="1"/>
  <c r="Y10" i="4" s="1"/>
  <c r="Z10" i="4" a="1"/>
  <c r="Z10" i="4" s="1"/>
  <c r="AA10" i="4" a="1"/>
  <c r="AA10" i="4" s="1"/>
  <c r="AB10" i="4" a="1"/>
  <c r="AB10" i="4" s="1"/>
  <c r="AC10" i="4" a="1"/>
  <c r="AC10" i="4" s="1"/>
  <c r="AD10" i="4" a="1"/>
  <c r="AD10" i="4" s="1"/>
  <c r="AE10" i="4" a="1"/>
  <c r="AE10" i="4" s="1"/>
  <c r="AF10" i="4" a="1"/>
  <c r="AF10" i="4" s="1"/>
  <c r="AG10" i="4" a="1"/>
  <c r="AG10" i="4" s="1"/>
  <c r="AH10" i="4" a="1"/>
  <c r="AH10" i="4" s="1"/>
  <c r="AI10" i="4" a="1"/>
  <c r="AI10" i="4" s="1"/>
  <c r="AJ10" i="4" a="1"/>
  <c r="AJ10" i="4" s="1"/>
  <c r="AK10" i="4" a="1"/>
  <c r="AK10" i="4" s="1"/>
  <c r="AL10" i="4" a="1"/>
  <c r="AL10" i="4" s="1"/>
  <c r="AM10" i="4" a="1"/>
  <c r="AM10" i="4" s="1"/>
  <c r="AN10" i="4" a="1"/>
  <c r="AN10" i="4" s="1"/>
  <c r="AO10" i="4" a="1"/>
  <c r="AO10" i="4" s="1"/>
  <c r="AP10" i="4" a="1"/>
  <c r="AP10" i="4" s="1"/>
  <c r="AQ10" i="4" a="1"/>
  <c r="AQ10" i="4" s="1"/>
  <c r="AR10" i="4" a="1"/>
  <c r="AR10" i="4" s="1"/>
  <c r="AS10" i="4" a="1"/>
  <c r="AS10" i="4" s="1"/>
  <c r="AT10" i="4" a="1"/>
  <c r="AT10" i="4" s="1"/>
  <c r="AU10" i="4" a="1"/>
  <c r="AU10" i="4" s="1"/>
  <c r="AV10" i="4" a="1"/>
  <c r="AV10" i="4" s="1"/>
  <c r="AW10" i="4" a="1"/>
  <c r="AW10" i="4" s="1"/>
  <c r="AX10" i="4" a="1"/>
  <c r="AX10" i="4" s="1"/>
  <c r="AY10" i="4" a="1"/>
  <c r="AY10" i="4" s="1"/>
  <c r="AZ10" i="4" a="1"/>
  <c r="AZ10" i="4" s="1"/>
  <c r="BA10" i="4" a="1"/>
  <c r="BA10" i="4" s="1"/>
  <c r="B11" i="4" a="1"/>
  <c r="B11" i="4" s="1"/>
  <c r="C11" i="4" a="1"/>
  <c r="C11" i="4" s="1"/>
  <c r="D11" i="4" a="1"/>
  <c r="D11" i="4" s="1"/>
  <c r="F8" i="1" s="1"/>
  <c r="E11" i="4" a="1"/>
  <c r="E11" i="4" s="1"/>
  <c r="F11" i="4" a="1"/>
  <c r="F11" i="4" s="1"/>
  <c r="G11" i="4" a="1"/>
  <c r="G11" i="4" s="1"/>
  <c r="H11" i="4" a="1"/>
  <c r="H11" i="4" s="1"/>
  <c r="I11" i="4" a="1"/>
  <c r="I11" i="4" s="1"/>
  <c r="J11" i="4" a="1"/>
  <c r="J11" i="4" s="1"/>
  <c r="K11" i="4" a="1"/>
  <c r="K11" i="4" s="1"/>
  <c r="L11" i="4" a="1"/>
  <c r="L11" i="4" s="1"/>
  <c r="N11" i="4" a="1"/>
  <c r="N11" i="4" s="1"/>
  <c r="O11" i="4" a="1"/>
  <c r="O11" i="4" s="1"/>
  <c r="P11" i="4" a="1"/>
  <c r="P11" i="4" s="1"/>
  <c r="Q11" i="4" a="1"/>
  <c r="Q11" i="4" s="1"/>
  <c r="R11" i="4" a="1"/>
  <c r="R11" i="4" s="1"/>
  <c r="S11" i="4" a="1"/>
  <c r="S11" i="4" s="1"/>
  <c r="T11" i="4" a="1"/>
  <c r="T11" i="4" s="1"/>
  <c r="U11" i="4" a="1"/>
  <c r="U11" i="4" s="1"/>
  <c r="V11" i="4" a="1"/>
  <c r="V11" i="4" s="1"/>
  <c r="W11" i="4" a="1"/>
  <c r="W11" i="4" s="1"/>
  <c r="X11" i="4" a="1"/>
  <c r="X11" i="4" s="1"/>
  <c r="Y11" i="4" a="1"/>
  <c r="Y11" i="4" s="1"/>
  <c r="Z11" i="4" a="1"/>
  <c r="Z11" i="4" s="1"/>
  <c r="AA11" i="4" a="1"/>
  <c r="AA11" i="4" s="1"/>
  <c r="AB11" i="4" a="1"/>
  <c r="AB11" i="4" s="1"/>
  <c r="AC11" i="4" a="1"/>
  <c r="AC11" i="4" s="1"/>
  <c r="AD11" i="4" a="1"/>
  <c r="AD11" i="4" s="1"/>
  <c r="AE11" i="4" a="1"/>
  <c r="AE11" i="4" s="1"/>
  <c r="AF11" i="4" a="1"/>
  <c r="AF11" i="4" s="1"/>
  <c r="AG11" i="4" a="1"/>
  <c r="AG11" i="4" s="1"/>
  <c r="AH11" i="4" a="1"/>
  <c r="AH11" i="4" s="1"/>
  <c r="AI11" i="4" a="1"/>
  <c r="AI11" i="4" s="1"/>
  <c r="AJ11" i="4" a="1"/>
  <c r="AJ11" i="4" s="1"/>
  <c r="AK11" i="4" a="1"/>
  <c r="AK11" i="4" s="1"/>
  <c r="AL11" i="4" a="1"/>
  <c r="AL11" i="4" s="1"/>
  <c r="AM11" i="4" a="1"/>
  <c r="AM11" i="4" s="1"/>
  <c r="AN11" i="4" a="1"/>
  <c r="AN11" i="4" s="1"/>
  <c r="AO11" i="4" a="1"/>
  <c r="AO11" i="4" s="1"/>
  <c r="AP11" i="4" a="1"/>
  <c r="AP11" i="4" s="1"/>
  <c r="AQ11" i="4" a="1"/>
  <c r="AQ11" i="4" s="1"/>
  <c r="AR11" i="4" a="1"/>
  <c r="AR11" i="4" s="1"/>
  <c r="AS11" i="4" a="1"/>
  <c r="AS11" i="4" s="1"/>
  <c r="AT11" i="4" a="1"/>
  <c r="AT11" i="4" s="1"/>
  <c r="AU11" i="4" a="1"/>
  <c r="AU11" i="4" s="1"/>
  <c r="AV11" i="4" a="1"/>
  <c r="AV11" i="4" s="1"/>
  <c r="AW11" i="4" a="1"/>
  <c r="AW11" i="4" s="1"/>
  <c r="AX11" i="4" a="1"/>
  <c r="AX11" i="4" s="1"/>
  <c r="AY11" i="4" a="1"/>
  <c r="AY11" i="4" s="1"/>
  <c r="AZ11" i="4" a="1"/>
  <c r="AZ11" i="4" s="1"/>
  <c r="BA11" i="4" a="1"/>
  <c r="BA11" i="4" s="1"/>
  <c r="B12" i="4" a="1"/>
  <c r="B12" i="4" s="1"/>
  <c r="C12" i="4" a="1"/>
  <c r="C12" i="4" s="1"/>
  <c r="D12" i="4" a="1"/>
  <c r="D12" i="4" s="1"/>
  <c r="F9" i="1" s="1"/>
  <c r="E12" i="4" a="1"/>
  <c r="E12" i="4" s="1"/>
  <c r="F12" i="4" a="1"/>
  <c r="F12" i="4" s="1"/>
  <c r="G12" i="4" a="1"/>
  <c r="G12" i="4" s="1"/>
  <c r="H12" i="4" a="1"/>
  <c r="H12" i="4" s="1"/>
  <c r="I12" i="4" a="1"/>
  <c r="I12" i="4" s="1"/>
  <c r="J12" i="4" a="1"/>
  <c r="J12" i="4" s="1"/>
  <c r="K12" i="4" a="1"/>
  <c r="K12" i="4" s="1"/>
  <c r="L12" i="4" a="1"/>
  <c r="L12" i="4" s="1"/>
  <c r="N12" i="4" a="1"/>
  <c r="N12" i="4" s="1"/>
  <c r="O12" i="4" a="1"/>
  <c r="O12" i="4" s="1"/>
  <c r="P12" i="4" a="1"/>
  <c r="P12" i="4" s="1"/>
  <c r="Q12" i="4" a="1"/>
  <c r="Q12" i="4" s="1"/>
  <c r="R12" i="4" a="1"/>
  <c r="R12" i="4" s="1"/>
  <c r="S12" i="4" a="1"/>
  <c r="S12" i="4" s="1"/>
  <c r="T12" i="4" a="1"/>
  <c r="T12" i="4" s="1"/>
  <c r="U12" i="4" a="1"/>
  <c r="U12" i="4" s="1"/>
  <c r="V12" i="4" a="1"/>
  <c r="V12" i="4" s="1"/>
  <c r="W12" i="4" a="1"/>
  <c r="W12" i="4" s="1"/>
  <c r="X12" i="4" a="1"/>
  <c r="X12" i="4" s="1"/>
  <c r="Y12" i="4" a="1"/>
  <c r="Y12" i="4" s="1"/>
  <c r="Z12" i="4" a="1"/>
  <c r="Z12" i="4" s="1"/>
  <c r="AA12" i="4" a="1"/>
  <c r="AA12" i="4" s="1"/>
  <c r="AB12" i="4" a="1"/>
  <c r="AB12" i="4" s="1"/>
  <c r="AC12" i="4" a="1"/>
  <c r="AC12" i="4" s="1"/>
  <c r="AD12" i="4" a="1"/>
  <c r="AD12" i="4" s="1"/>
  <c r="AE12" i="4" a="1"/>
  <c r="AE12" i="4" s="1"/>
  <c r="AF12" i="4" a="1"/>
  <c r="AF12" i="4" s="1"/>
  <c r="AG12" i="4" a="1"/>
  <c r="AG12" i="4" s="1"/>
  <c r="AH12" i="4" a="1"/>
  <c r="AH12" i="4" s="1"/>
  <c r="AI12" i="4" a="1"/>
  <c r="AI12" i="4" s="1"/>
  <c r="AJ12" i="4" a="1"/>
  <c r="AJ12" i="4" s="1"/>
  <c r="AK12" i="4" a="1"/>
  <c r="AK12" i="4" s="1"/>
  <c r="AL12" i="4" a="1"/>
  <c r="AL12" i="4" s="1"/>
  <c r="AM12" i="4" a="1"/>
  <c r="AM12" i="4" s="1"/>
  <c r="AN12" i="4" a="1"/>
  <c r="AN12" i="4" s="1"/>
  <c r="AO12" i="4" a="1"/>
  <c r="AO12" i="4" s="1"/>
  <c r="AP12" i="4" a="1"/>
  <c r="AP12" i="4" s="1"/>
  <c r="AQ12" i="4" a="1"/>
  <c r="AQ12" i="4" s="1"/>
  <c r="AR12" i="4" a="1"/>
  <c r="AR12" i="4" s="1"/>
  <c r="AS12" i="4" a="1"/>
  <c r="AS12" i="4" s="1"/>
  <c r="AT12" i="4" a="1"/>
  <c r="AT12" i="4" s="1"/>
  <c r="AU12" i="4" a="1"/>
  <c r="AU12" i="4" s="1"/>
  <c r="AV12" i="4" a="1"/>
  <c r="AV12" i="4" s="1"/>
  <c r="AW12" i="4" a="1"/>
  <c r="AW12" i="4" s="1"/>
  <c r="AX12" i="4" a="1"/>
  <c r="AX12" i="4" s="1"/>
  <c r="AY12" i="4" a="1"/>
  <c r="AY12" i="4" s="1"/>
  <c r="AZ12" i="4" a="1"/>
  <c r="AZ12" i="4" s="1"/>
  <c r="BA12" i="4" a="1"/>
  <c r="BA12" i="4" s="1"/>
  <c r="B13" i="4" a="1"/>
  <c r="B13" i="4" s="1"/>
  <c r="C13" i="4" a="1"/>
  <c r="C13" i="4" s="1"/>
  <c r="D13" i="4" a="1"/>
  <c r="D13" i="4" s="1"/>
  <c r="F10" i="1" s="1"/>
  <c r="E13" i="4" a="1"/>
  <c r="E13" i="4" s="1"/>
  <c r="F13" i="4" a="1"/>
  <c r="F13" i="4" s="1"/>
  <c r="G13" i="4" a="1"/>
  <c r="G13" i="4" s="1"/>
  <c r="H13" i="4" a="1"/>
  <c r="H13" i="4" s="1"/>
  <c r="I13" i="4" a="1"/>
  <c r="I13" i="4" s="1"/>
  <c r="J13" i="4" a="1"/>
  <c r="J13" i="4" s="1"/>
  <c r="K13" i="4" a="1"/>
  <c r="K13" i="4" s="1"/>
  <c r="L13" i="4" a="1"/>
  <c r="L13" i="4" s="1"/>
  <c r="N13" i="4" a="1"/>
  <c r="N13" i="4" s="1"/>
  <c r="O13" i="4" a="1"/>
  <c r="O13" i="4" s="1"/>
  <c r="P13" i="4" a="1"/>
  <c r="P13" i="4" s="1"/>
  <c r="Q13" i="4" a="1"/>
  <c r="Q13" i="4" s="1"/>
  <c r="R13" i="4" a="1"/>
  <c r="R13" i="4" s="1"/>
  <c r="S13" i="4" a="1"/>
  <c r="S13" i="4" s="1"/>
  <c r="T13" i="4" a="1"/>
  <c r="T13" i="4" s="1"/>
  <c r="U13" i="4" a="1"/>
  <c r="U13" i="4" s="1"/>
  <c r="V13" i="4" a="1"/>
  <c r="V13" i="4" s="1"/>
  <c r="W13" i="4" a="1"/>
  <c r="W13" i="4" s="1"/>
  <c r="X13" i="4" a="1"/>
  <c r="X13" i="4" s="1"/>
  <c r="Y13" i="4" a="1"/>
  <c r="Y13" i="4" s="1"/>
  <c r="Z13" i="4" a="1"/>
  <c r="Z13" i="4" s="1"/>
  <c r="AA13" i="4" a="1"/>
  <c r="AA13" i="4" s="1"/>
  <c r="AB13" i="4" a="1"/>
  <c r="AB13" i="4" s="1"/>
  <c r="AC13" i="4" a="1"/>
  <c r="AC13" i="4" s="1"/>
  <c r="AD13" i="4" a="1"/>
  <c r="AD13" i="4" s="1"/>
  <c r="AE13" i="4" a="1"/>
  <c r="AE13" i="4" s="1"/>
  <c r="AF13" i="4" a="1"/>
  <c r="AF13" i="4" s="1"/>
  <c r="AG13" i="4" a="1"/>
  <c r="AG13" i="4" s="1"/>
  <c r="AH13" i="4" a="1"/>
  <c r="AH13" i="4" s="1"/>
  <c r="AI13" i="4" a="1"/>
  <c r="AI13" i="4" s="1"/>
  <c r="AJ13" i="4" a="1"/>
  <c r="AJ13" i="4" s="1"/>
  <c r="AK13" i="4" a="1"/>
  <c r="AK13" i="4" s="1"/>
  <c r="AL13" i="4" a="1"/>
  <c r="AL13" i="4" s="1"/>
  <c r="AM13" i="4" a="1"/>
  <c r="AM13" i="4" s="1"/>
  <c r="AN13" i="4" a="1"/>
  <c r="AN13" i="4" s="1"/>
  <c r="AO13" i="4" a="1"/>
  <c r="AO13" i="4" s="1"/>
  <c r="AP13" i="4" a="1"/>
  <c r="AP13" i="4" s="1"/>
  <c r="AQ13" i="4" a="1"/>
  <c r="AQ13" i="4" s="1"/>
  <c r="AR13" i="4" a="1"/>
  <c r="AR13" i="4" s="1"/>
  <c r="AS13" i="4" a="1"/>
  <c r="AS13" i="4" s="1"/>
  <c r="AT13" i="4" a="1"/>
  <c r="AT13" i="4" s="1"/>
  <c r="AU13" i="4" a="1"/>
  <c r="AU13" i="4" s="1"/>
  <c r="AV13" i="4" a="1"/>
  <c r="AV13" i="4" s="1"/>
  <c r="AW13" i="4" a="1"/>
  <c r="AW13" i="4" s="1"/>
  <c r="AX13" i="4" a="1"/>
  <c r="AX13" i="4" s="1"/>
  <c r="AY13" i="4" a="1"/>
  <c r="AY13" i="4" s="1"/>
  <c r="AZ13" i="4" a="1"/>
  <c r="AZ13" i="4" s="1"/>
  <c r="BA13" i="4" a="1"/>
  <c r="BA13" i="4" s="1"/>
  <c r="B14" i="4" a="1"/>
  <c r="B14" i="4" s="1"/>
  <c r="C14" i="4" a="1"/>
  <c r="C14" i="4" s="1"/>
  <c r="D14" i="4" a="1"/>
  <c r="D14" i="4" s="1"/>
  <c r="F11" i="1" s="1"/>
  <c r="E14" i="4" a="1"/>
  <c r="E14" i="4" s="1"/>
  <c r="F14" i="4" a="1"/>
  <c r="F14" i="4" s="1"/>
  <c r="G14" i="4" a="1"/>
  <c r="G14" i="4" s="1"/>
  <c r="H14" i="4" a="1"/>
  <c r="H14" i="4" s="1"/>
  <c r="I14" i="4" a="1"/>
  <c r="I14" i="4" s="1"/>
  <c r="J14" i="4" a="1"/>
  <c r="J14" i="4" s="1"/>
  <c r="K14" i="4" a="1"/>
  <c r="K14" i="4" s="1"/>
  <c r="L14" i="4" a="1"/>
  <c r="L14" i="4" s="1"/>
  <c r="N14" i="4" a="1"/>
  <c r="N14" i="4" s="1"/>
  <c r="O14" i="4" a="1"/>
  <c r="O14" i="4" s="1"/>
  <c r="P14" i="4" a="1"/>
  <c r="P14" i="4" s="1"/>
  <c r="Q14" i="4" a="1"/>
  <c r="Q14" i="4" s="1"/>
  <c r="R14" i="4" a="1"/>
  <c r="R14" i="4" s="1"/>
  <c r="S14" i="4" a="1"/>
  <c r="S14" i="4" s="1"/>
  <c r="T14" i="4" a="1"/>
  <c r="T14" i="4" s="1"/>
  <c r="U14" i="4" a="1"/>
  <c r="U14" i="4" s="1"/>
  <c r="V14" i="4" a="1"/>
  <c r="V14" i="4" s="1"/>
  <c r="W14" i="4" a="1"/>
  <c r="W14" i="4" s="1"/>
  <c r="X14" i="4" a="1"/>
  <c r="X14" i="4" s="1"/>
  <c r="Y14" i="4" a="1"/>
  <c r="Y14" i="4" s="1"/>
  <c r="Z14" i="4" a="1"/>
  <c r="Z14" i="4" s="1"/>
  <c r="AA14" i="4" a="1"/>
  <c r="AA14" i="4" s="1"/>
  <c r="AB14" i="4" a="1"/>
  <c r="AB14" i="4" s="1"/>
  <c r="AC14" i="4" a="1"/>
  <c r="AC14" i="4" s="1"/>
  <c r="AD14" i="4" a="1"/>
  <c r="AD14" i="4" s="1"/>
  <c r="AE14" i="4" a="1"/>
  <c r="AE14" i="4" s="1"/>
  <c r="AF14" i="4" a="1"/>
  <c r="AF14" i="4" s="1"/>
  <c r="AG14" i="4" a="1"/>
  <c r="AG14" i="4" s="1"/>
  <c r="AH14" i="4" a="1"/>
  <c r="AH14" i="4" s="1"/>
  <c r="AI14" i="4" a="1"/>
  <c r="AI14" i="4" s="1"/>
  <c r="AJ14" i="4" a="1"/>
  <c r="AJ14" i="4" s="1"/>
  <c r="AK14" i="4" a="1"/>
  <c r="AK14" i="4" s="1"/>
  <c r="AL14" i="4" a="1"/>
  <c r="AL14" i="4" s="1"/>
  <c r="AM14" i="4" a="1"/>
  <c r="AM14" i="4" s="1"/>
  <c r="AN14" i="4" a="1"/>
  <c r="AN14" i="4" s="1"/>
  <c r="AO14" i="4" a="1"/>
  <c r="AO14" i="4" s="1"/>
  <c r="AP14" i="4" a="1"/>
  <c r="AP14" i="4" s="1"/>
  <c r="AQ14" i="4" a="1"/>
  <c r="AQ14" i="4" s="1"/>
  <c r="AR14" i="4" a="1"/>
  <c r="AR14" i="4" s="1"/>
  <c r="AS14" i="4" a="1"/>
  <c r="AS14" i="4" s="1"/>
  <c r="AT14" i="4" a="1"/>
  <c r="AT14" i="4" s="1"/>
  <c r="AU14" i="4" a="1"/>
  <c r="AU14" i="4" s="1"/>
  <c r="AV14" i="4" a="1"/>
  <c r="AV14" i="4" s="1"/>
  <c r="AW14" i="4" a="1"/>
  <c r="AW14" i="4" s="1"/>
  <c r="AX14" i="4" a="1"/>
  <c r="AX14" i="4" s="1"/>
  <c r="AY14" i="4" a="1"/>
  <c r="AY14" i="4" s="1"/>
  <c r="AZ14" i="4" a="1"/>
  <c r="AZ14" i="4" s="1"/>
  <c r="BA14" i="4" a="1"/>
  <c r="BA14" i="4" s="1"/>
  <c r="B15" i="4" a="1"/>
  <c r="B15" i="4" s="1"/>
  <c r="C15" i="4" a="1"/>
  <c r="C15" i="4" s="1"/>
  <c r="D15" i="4" a="1"/>
  <c r="D15" i="4" s="1"/>
  <c r="F12" i="1" s="1"/>
  <c r="E15" i="4" a="1"/>
  <c r="E15" i="4" s="1"/>
  <c r="F15" i="4" a="1"/>
  <c r="F15" i="4" s="1"/>
  <c r="G15" i="4" a="1"/>
  <c r="G15" i="4" s="1"/>
  <c r="H15" i="4" a="1"/>
  <c r="H15" i="4" s="1"/>
  <c r="I15" i="4" a="1"/>
  <c r="I15" i="4" s="1"/>
  <c r="J15" i="4" a="1"/>
  <c r="J15" i="4" s="1"/>
  <c r="K15" i="4" a="1"/>
  <c r="K15" i="4" s="1"/>
  <c r="L15" i="4" a="1"/>
  <c r="L15" i="4" s="1"/>
  <c r="N15" i="4" a="1"/>
  <c r="N15" i="4" s="1"/>
  <c r="O15" i="4" a="1"/>
  <c r="O15" i="4" s="1"/>
  <c r="P15" i="4" a="1"/>
  <c r="P15" i="4" s="1"/>
  <c r="Q15" i="4" a="1"/>
  <c r="Q15" i="4" s="1"/>
  <c r="R15" i="4" a="1"/>
  <c r="R15" i="4" s="1"/>
  <c r="S15" i="4" a="1"/>
  <c r="S15" i="4" s="1"/>
  <c r="T15" i="4" a="1"/>
  <c r="T15" i="4" s="1"/>
  <c r="U15" i="4" a="1"/>
  <c r="U15" i="4" s="1"/>
  <c r="V15" i="4" a="1"/>
  <c r="V15" i="4" s="1"/>
  <c r="W15" i="4" a="1"/>
  <c r="W15" i="4" s="1"/>
  <c r="X15" i="4" a="1"/>
  <c r="X15" i="4" s="1"/>
  <c r="Y15" i="4" a="1"/>
  <c r="Y15" i="4" s="1"/>
  <c r="Z15" i="4" a="1"/>
  <c r="Z15" i="4" s="1"/>
  <c r="AA15" i="4" a="1"/>
  <c r="AA15" i="4" s="1"/>
  <c r="AB15" i="4" a="1"/>
  <c r="AB15" i="4" s="1"/>
  <c r="AC15" i="4" a="1"/>
  <c r="AC15" i="4" s="1"/>
  <c r="AD15" i="4" a="1"/>
  <c r="AD15" i="4" s="1"/>
  <c r="AE15" i="4" a="1"/>
  <c r="AE15" i="4" s="1"/>
  <c r="AF15" i="4" a="1"/>
  <c r="AF15" i="4" s="1"/>
  <c r="AG15" i="4" a="1"/>
  <c r="AG15" i="4" s="1"/>
  <c r="AH15" i="4" a="1"/>
  <c r="AH15" i="4" s="1"/>
  <c r="AI15" i="4" a="1"/>
  <c r="AI15" i="4" s="1"/>
  <c r="AJ15" i="4" a="1"/>
  <c r="AJ15" i="4" s="1"/>
  <c r="AK15" i="4" a="1"/>
  <c r="AK15" i="4" s="1"/>
  <c r="AL15" i="4" a="1"/>
  <c r="AL15" i="4" s="1"/>
  <c r="AM15" i="4" a="1"/>
  <c r="AM15" i="4" s="1"/>
  <c r="AN15" i="4" a="1"/>
  <c r="AN15" i="4" s="1"/>
  <c r="AO15" i="4" a="1"/>
  <c r="AO15" i="4" s="1"/>
  <c r="AP15" i="4" a="1"/>
  <c r="AP15" i="4" s="1"/>
  <c r="AQ15" i="4" a="1"/>
  <c r="AQ15" i="4" s="1"/>
  <c r="AR15" i="4" a="1"/>
  <c r="AR15" i="4" s="1"/>
  <c r="AS15" i="4" a="1"/>
  <c r="AS15" i="4" s="1"/>
  <c r="AT15" i="4" a="1"/>
  <c r="AT15" i="4" s="1"/>
  <c r="AU15" i="4" a="1"/>
  <c r="AU15" i="4" s="1"/>
  <c r="AV15" i="4" a="1"/>
  <c r="AV15" i="4" s="1"/>
  <c r="AW15" i="4" a="1"/>
  <c r="AW15" i="4" s="1"/>
  <c r="AX15" i="4" a="1"/>
  <c r="AX15" i="4" s="1"/>
  <c r="AY15" i="4" a="1"/>
  <c r="AY15" i="4" s="1"/>
  <c r="AZ15" i="4" a="1"/>
  <c r="AZ15" i="4" s="1"/>
  <c r="BA15" i="4" a="1"/>
  <c r="BA15" i="4" s="1"/>
  <c r="B16" i="4" a="1"/>
  <c r="B16" i="4" s="1"/>
  <c r="C16" i="4" a="1"/>
  <c r="C16" i="4" s="1"/>
  <c r="D16" i="4" a="1"/>
  <c r="D16" i="4" s="1"/>
  <c r="F13" i="1" s="1"/>
  <c r="E16" i="4" a="1"/>
  <c r="E16" i="4" s="1"/>
  <c r="F16" i="4" a="1"/>
  <c r="F16" i="4" s="1"/>
  <c r="G16" i="4" a="1"/>
  <c r="G16" i="4" s="1"/>
  <c r="H16" i="4" a="1"/>
  <c r="H16" i="4" s="1"/>
  <c r="I16" i="4" a="1"/>
  <c r="I16" i="4" s="1"/>
  <c r="J16" i="4" a="1"/>
  <c r="J16" i="4" s="1"/>
  <c r="K16" i="4" a="1"/>
  <c r="K16" i="4" s="1"/>
  <c r="L16" i="4" a="1"/>
  <c r="L16" i="4" s="1"/>
  <c r="N16" i="4" a="1"/>
  <c r="N16" i="4" s="1"/>
  <c r="O16" i="4" a="1"/>
  <c r="O16" i="4" s="1"/>
  <c r="P16" i="4" a="1"/>
  <c r="P16" i="4" s="1"/>
  <c r="Q16" i="4" a="1"/>
  <c r="Q16" i="4" s="1"/>
  <c r="R16" i="4" a="1"/>
  <c r="R16" i="4" s="1"/>
  <c r="S16" i="4" a="1"/>
  <c r="S16" i="4" s="1"/>
  <c r="T16" i="4" a="1"/>
  <c r="T16" i="4" s="1"/>
  <c r="U16" i="4" a="1"/>
  <c r="U16" i="4" s="1"/>
  <c r="V16" i="4" a="1"/>
  <c r="V16" i="4" s="1"/>
  <c r="W16" i="4" a="1"/>
  <c r="W16" i="4" s="1"/>
  <c r="X16" i="4" a="1"/>
  <c r="X16" i="4" s="1"/>
  <c r="Y16" i="4" a="1"/>
  <c r="Y16" i="4" s="1"/>
  <c r="Z16" i="4" a="1"/>
  <c r="Z16" i="4" s="1"/>
  <c r="AA16" i="4" a="1"/>
  <c r="AA16" i="4" s="1"/>
  <c r="AB16" i="4" a="1"/>
  <c r="AB16" i="4" s="1"/>
  <c r="AC16" i="4" a="1"/>
  <c r="AC16" i="4" s="1"/>
  <c r="AD16" i="4" a="1"/>
  <c r="AD16" i="4" s="1"/>
  <c r="AE16" i="4" a="1"/>
  <c r="AE16" i="4" s="1"/>
  <c r="AF16" i="4" a="1"/>
  <c r="AF16" i="4" s="1"/>
  <c r="AG16" i="4" a="1"/>
  <c r="AG16" i="4" s="1"/>
  <c r="AH16" i="4" a="1"/>
  <c r="AH16" i="4" s="1"/>
  <c r="AI16" i="4" a="1"/>
  <c r="AI16" i="4" s="1"/>
  <c r="AJ16" i="4" a="1"/>
  <c r="AJ16" i="4" s="1"/>
  <c r="AK16" i="4" a="1"/>
  <c r="AK16" i="4" s="1"/>
  <c r="AL16" i="4" a="1"/>
  <c r="AL16" i="4" s="1"/>
  <c r="AM16" i="4" a="1"/>
  <c r="AM16" i="4" s="1"/>
  <c r="AN16" i="4" a="1"/>
  <c r="AN16" i="4" s="1"/>
  <c r="AO16" i="4" a="1"/>
  <c r="AO16" i="4" s="1"/>
  <c r="AP16" i="4" a="1"/>
  <c r="AP16" i="4" s="1"/>
  <c r="AQ16" i="4" a="1"/>
  <c r="AQ16" i="4" s="1"/>
  <c r="AR16" i="4" a="1"/>
  <c r="AR16" i="4" s="1"/>
  <c r="AS16" i="4" a="1"/>
  <c r="AS16" i="4" s="1"/>
  <c r="AT16" i="4" a="1"/>
  <c r="AT16" i="4" s="1"/>
  <c r="AU16" i="4" a="1"/>
  <c r="AU16" i="4" s="1"/>
  <c r="AV16" i="4" a="1"/>
  <c r="AV16" i="4" s="1"/>
  <c r="AW16" i="4" a="1"/>
  <c r="AW16" i="4" s="1"/>
  <c r="AX16" i="4" a="1"/>
  <c r="AX16" i="4" s="1"/>
  <c r="AY16" i="4" a="1"/>
  <c r="AY16" i="4" s="1"/>
  <c r="AZ16" i="4" a="1"/>
  <c r="AZ16" i="4" s="1"/>
  <c r="BA16" i="4" a="1"/>
  <c r="BA16" i="4" s="1"/>
  <c r="B17" i="4" a="1"/>
  <c r="B17" i="4" s="1"/>
  <c r="C17" i="4" a="1"/>
  <c r="C17" i="4" s="1"/>
  <c r="D17" i="4" a="1"/>
  <c r="D17" i="4" s="1"/>
  <c r="F14" i="1" s="1"/>
  <c r="E17" i="4" a="1"/>
  <c r="E17" i="4" s="1"/>
  <c r="F17" i="4" a="1"/>
  <c r="F17" i="4" s="1"/>
  <c r="G17" i="4" a="1"/>
  <c r="G17" i="4" s="1"/>
  <c r="H17" i="4" a="1"/>
  <c r="H17" i="4" s="1"/>
  <c r="I17" i="4" a="1"/>
  <c r="I17" i="4" s="1"/>
  <c r="J17" i="4" a="1"/>
  <c r="J17" i="4" s="1"/>
  <c r="K17" i="4" a="1"/>
  <c r="K17" i="4" s="1"/>
  <c r="L17" i="4" a="1"/>
  <c r="L17" i="4" s="1"/>
  <c r="N17" i="4" a="1"/>
  <c r="N17" i="4" s="1"/>
  <c r="O17" i="4" a="1"/>
  <c r="O17" i="4" s="1"/>
  <c r="P17" i="4" a="1"/>
  <c r="P17" i="4" s="1"/>
  <c r="Q17" i="4" a="1"/>
  <c r="Q17" i="4" s="1"/>
  <c r="R17" i="4" a="1"/>
  <c r="R17" i="4" s="1"/>
  <c r="S17" i="4" a="1"/>
  <c r="S17" i="4" s="1"/>
  <c r="T17" i="4" a="1"/>
  <c r="T17" i="4" s="1"/>
  <c r="U17" i="4" a="1"/>
  <c r="U17" i="4" s="1"/>
  <c r="V17" i="4" a="1"/>
  <c r="V17" i="4" s="1"/>
  <c r="W17" i="4" a="1"/>
  <c r="W17" i="4" s="1"/>
  <c r="X17" i="4" a="1"/>
  <c r="X17" i="4" s="1"/>
  <c r="Y17" i="4" a="1"/>
  <c r="Y17" i="4" s="1"/>
  <c r="Z17" i="4" a="1"/>
  <c r="Z17" i="4" s="1"/>
  <c r="AA17" i="4" a="1"/>
  <c r="AA17" i="4" s="1"/>
  <c r="AB17" i="4" a="1"/>
  <c r="AB17" i="4" s="1"/>
  <c r="AC17" i="4" a="1"/>
  <c r="AC17" i="4" s="1"/>
  <c r="AD17" i="4" a="1"/>
  <c r="AD17" i="4" s="1"/>
  <c r="AE17" i="4" a="1"/>
  <c r="AE17" i="4" s="1"/>
  <c r="AF17" i="4" a="1"/>
  <c r="AF17" i="4" s="1"/>
  <c r="AG17" i="4" a="1"/>
  <c r="AG17" i="4" s="1"/>
  <c r="AH17" i="4" a="1"/>
  <c r="AH17" i="4" s="1"/>
  <c r="AI17" i="4" a="1"/>
  <c r="AI17" i="4" s="1"/>
  <c r="AJ17" i="4" a="1"/>
  <c r="AJ17" i="4" s="1"/>
  <c r="AK17" i="4" a="1"/>
  <c r="AK17" i="4" s="1"/>
  <c r="AL17" i="4" a="1"/>
  <c r="AL17" i="4" s="1"/>
  <c r="AM17" i="4" a="1"/>
  <c r="AM17" i="4" s="1"/>
  <c r="AN17" i="4" a="1"/>
  <c r="AN17" i="4" s="1"/>
  <c r="AO17" i="4" a="1"/>
  <c r="AO17" i="4" s="1"/>
  <c r="AP17" i="4" a="1"/>
  <c r="AP17" i="4" s="1"/>
  <c r="AQ17" i="4" a="1"/>
  <c r="AQ17" i="4" s="1"/>
  <c r="AR17" i="4" a="1"/>
  <c r="AR17" i="4" s="1"/>
  <c r="AS17" i="4" a="1"/>
  <c r="AS17" i="4" s="1"/>
  <c r="AT17" i="4" a="1"/>
  <c r="AT17" i="4" s="1"/>
  <c r="AU17" i="4" a="1"/>
  <c r="AU17" i="4" s="1"/>
  <c r="AV17" i="4" a="1"/>
  <c r="AV17" i="4" s="1"/>
  <c r="AW17" i="4" a="1"/>
  <c r="AW17" i="4" s="1"/>
  <c r="AX17" i="4" a="1"/>
  <c r="AX17" i="4" s="1"/>
  <c r="AY17" i="4" a="1"/>
  <c r="AY17" i="4" s="1"/>
  <c r="AZ17" i="4" a="1"/>
  <c r="AZ17" i="4" s="1"/>
  <c r="BA17" i="4" a="1"/>
  <c r="BA17" i="4" s="1"/>
  <c r="B18" i="4" a="1"/>
  <c r="B18" i="4" s="1"/>
  <c r="C18" i="4" a="1"/>
  <c r="C18" i="4" s="1"/>
  <c r="D18" i="4" a="1"/>
  <c r="D18" i="4" s="1"/>
  <c r="F15" i="1" s="1"/>
  <c r="E18" i="4" a="1"/>
  <c r="E18" i="4" s="1"/>
  <c r="F18" i="4" a="1"/>
  <c r="F18" i="4" s="1"/>
  <c r="G18" i="4" a="1"/>
  <c r="G18" i="4" s="1"/>
  <c r="H18" i="4" a="1"/>
  <c r="H18" i="4" s="1"/>
  <c r="I18" i="4" a="1"/>
  <c r="I18" i="4" s="1"/>
  <c r="J18" i="4" a="1"/>
  <c r="J18" i="4" s="1"/>
  <c r="K18" i="4" a="1"/>
  <c r="K18" i="4" s="1"/>
  <c r="L18" i="4" a="1"/>
  <c r="L18" i="4" s="1"/>
  <c r="N18" i="4" a="1"/>
  <c r="N18" i="4" s="1"/>
  <c r="O18" i="4" a="1"/>
  <c r="O18" i="4" s="1"/>
  <c r="P18" i="4" a="1"/>
  <c r="P18" i="4" s="1"/>
  <c r="Q18" i="4" a="1"/>
  <c r="Q18" i="4" s="1"/>
  <c r="R18" i="4" a="1"/>
  <c r="R18" i="4" s="1"/>
  <c r="S18" i="4" a="1"/>
  <c r="S18" i="4" s="1"/>
  <c r="T18" i="4" a="1"/>
  <c r="T18" i="4" s="1"/>
  <c r="U18" i="4" a="1"/>
  <c r="U18" i="4" s="1"/>
  <c r="V18" i="4" a="1"/>
  <c r="V18" i="4" s="1"/>
  <c r="W18" i="4" a="1"/>
  <c r="W18" i="4" s="1"/>
  <c r="X18" i="4" a="1"/>
  <c r="X18" i="4" s="1"/>
  <c r="Y18" i="4" a="1"/>
  <c r="Y18" i="4" s="1"/>
  <c r="Z18" i="4" a="1"/>
  <c r="Z18" i="4" s="1"/>
  <c r="AA18" i="4" a="1"/>
  <c r="AA18" i="4" s="1"/>
  <c r="AB18" i="4" a="1"/>
  <c r="AB18" i="4" s="1"/>
  <c r="AC18" i="4" a="1"/>
  <c r="AC18" i="4" s="1"/>
  <c r="AD18" i="4" a="1"/>
  <c r="AD18" i="4" s="1"/>
  <c r="AE18" i="4" a="1"/>
  <c r="AE18" i="4" s="1"/>
  <c r="AF18" i="4" a="1"/>
  <c r="AF18" i="4" s="1"/>
  <c r="AG18" i="4" a="1"/>
  <c r="AG18" i="4" s="1"/>
  <c r="AH18" i="4" a="1"/>
  <c r="AH18" i="4" s="1"/>
  <c r="AI18" i="4" a="1"/>
  <c r="AI18" i="4" s="1"/>
  <c r="AJ18" i="4" a="1"/>
  <c r="AJ18" i="4" s="1"/>
  <c r="AK18" i="4" a="1"/>
  <c r="AK18" i="4" s="1"/>
  <c r="AL18" i="4" a="1"/>
  <c r="AL18" i="4" s="1"/>
  <c r="AM18" i="4" a="1"/>
  <c r="AM18" i="4" s="1"/>
  <c r="AN18" i="4" a="1"/>
  <c r="AN18" i="4" s="1"/>
  <c r="AO18" i="4" a="1"/>
  <c r="AO18" i="4" s="1"/>
  <c r="AP18" i="4" a="1"/>
  <c r="AP18" i="4" s="1"/>
  <c r="AQ18" i="4" a="1"/>
  <c r="AQ18" i="4" s="1"/>
  <c r="AR18" i="4" a="1"/>
  <c r="AR18" i="4" s="1"/>
  <c r="AS18" i="4" a="1"/>
  <c r="AS18" i="4" s="1"/>
  <c r="AT18" i="4" a="1"/>
  <c r="AT18" i="4" s="1"/>
  <c r="AU18" i="4" a="1"/>
  <c r="AU18" i="4" s="1"/>
  <c r="AV18" i="4" a="1"/>
  <c r="AV18" i="4" s="1"/>
  <c r="AW18" i="4" a="1"/>
  <c r="AW18" i="4" s="1"/>
  <c r="AX18" i="4" a="1"/>
  <c r="AX18" i="4" s="1"/>
  <c r="AY18" i="4" a="1"/>
  <c r="AY18" i="4" s="1"/>
  <c r="AZ18" i="4" a="1"/>
  <c r="AZ18" i="4" s="1"/>
  <c r="BA18" i="4" a="1"/>
  <c r="BA18" i="4" s="1"/>
  <c r="B19" i="4" a="1"/>
  <c r="B19" i="4" s="1"/>
  <c r="C19" i="4" a="1"/>
  <c r="C19" i="4" s="1"/>
  <c r="D19" i="4" a="1"/>
  <c r="D19" i="4" s="1"/>
  <c r="G3" i="1" s="1"/>
  <c r="E19" i="4" a="1"/>
  <c r="E19" i="4" s="1"/>
  <c r="F19" i="4" a="1"/>
  <c r="F19" i="4" s="1"/>
  <c r="G19" i="4" a="1"/>
  <c r="G19" i="4" s="1"/>
  <c r="H19" i="4" a="1"/>
  <c r="H19" i="4" s="1"/>
  <c r="I19" i="4" a="1"/>
  <c r="I19" i="4" s="1"/>
  <c r="J19" i="4" a="1"/>
  <c r="J19" i="4" s="1"/>
  <c r="K19" i="4" a="1"/>
  <c r="K19" i="4" s="1"/>
  <c r="L19" i="4" a="1"/>
  <c r="L19" i="4" s="1"/>
  <c r="N19" i="4" a="1"/>
  <c r="N19" i="4" s="1"/>
  <c r="O19" i="4" a="1"/>
  <c r="O19" i="4" s="1"/>
  <c r="P19" i="4" a="1"/>
  <c r="P19" i="4" s="1"/>
  <c r="Q19" i="4" a="1"/>
  <c r="Q19" i="4" s="1"/>
  <c r="R19" i="4" a="1"/>
  <c r="R19" i="4" s="1"/>
  <c r="S19" i="4" a="1"/>
  <c r="S19" i="4" s="1"/>
  <c r="T19" i="4" a="1"/>
  <c r="T19" i="4" s="1"/>
  <c r="U19" i="4" a="1"/>
  <c r="U19" i="4" s="1"/>
  <c r="V19" i="4" a="1"/>
  <c r="V19" i="4" s="1"/>
  <c r="W19" i="4" a="1"/>
  <c r="W19" i="4" s="1"/>
  <c r="X19" i="4" a="1"/>
  <c r="X19" i="4" s="1"/>
  <c r="Y19" i="4" a="1"/>
  <c r="Y19" i="4" s="1"/>
  <c r="Z19" i="4" a="1"/>
  <c r="Z19" i="4" s="1"/>
  <c r="AA19" i="4" a="1"/>
  <c r="AA19" i="4" s="1"/>
  <c r="AB19" i="4" a="1"/>
  <c r="AB19" i="4" s="1"/>
  <c r="AC19" i="4" a="1"/>
  <c r="AC19" i="4" s="1"/>
  <c r="AD19" i="4" a="1"/>
  <c r="AD19" i="4" s="1"/>
  <c r="AE19" i="4" a="1"/>
  <c r="AE19" i="4" s="1"/>
  <c r="AF19" i="4" a="1"/>
  <c r="AF19" i="4" s="1"/>
  <c r="AG19" i="4" a="1"/>
  <c r="AG19" i="4" s="1"/>
  <c r="AH19" i="4" a="1"/>
  <c r="AH19" i="4" s="1"/>
  <c r="AI19" i="4" a="1"/>
  <c r="AI19" i="4" s="1"/>
  <c r="AJ19" i="4" a="1"/>
  <c r="AJ19" i="4" s="1"/>
  <c r="AK19" i="4" a="1"/>
  <c r="AK19" i="4" s="1"/>
  <c r="AL19" i="4" a="1"/>
  <c r="AL19" i="4" s="1"/>
  <c r="AM19" i="4" a="1"/>
  <c r="AM19" i="4" s="1"/>
  <c r="AN19" i="4" a="1"/>
  <c r="AN19" i="4" s="1"/>
  <c r="AO19" i="4" a="1"/>
  <c r="AO19" i="4" s="1"/>
  <c r="AP19" i="4" a="1"/>
  <c r="AP19" i="4" s="1"/>
  <c r="AQ19" i="4" a="1"/>
  <c r="AQ19" i="4" s="1"/>
  <c r="AR19" i="4" a="1"/>
  <c r="AR19" i="4" s="1"/>
  <c r="AS19" i="4" a="1"/>
  <c r="AS19" i="4" s="1"/>
  <c r="AT19" i="4" a="1"/>
  <c r="AT19" i="4" s="1"/>
  <c r="AU19" i="4" a="1"/>
  <c r="AU19" i="4" s="1"/>
  <c r="AV19" i="4" a="1"/>
  <c r="AV19" i="4" s="1"/>
  <c r="AW19" i="4" a="1"/>
  <c r="AW19" i="4" s="1"/>
  <c r="AX19" i="4" a="1"/>
  <c r="AX19" i="4" s="1"/>
  <c r="AY19" i="4" a="1"/>
  <c r="AY19" i="4" s="1"/>
  <c r="AZ19" i="4" a="1"/>
  <c r="AZ19" i="4" s="1"/>
  <c r="BA19" i="4" a="1"/>
  <c r="BA19" i="4" s="1"/>
  <c r="B20" i="4" a="1"/>
  <c r="B20" i="4" s="1"/>
  <c r="C20" i="4" a="1"/>
  <c r="C20" i="4" s="1"/>
  <c r="D20" i="4" a="1"/>
  <c r="D20" i="4" s="1"/>
  <c r="G4" i="1" s="1"/>
  <c r="E20" i="4" a="1"/>
  <c r="E20" i="4" s="1"/>
  <c r="F20" i="4" a="1"/>
  <c r="F20" i="4" s="1"/>
  <c r="G20" i="4" a="1"/>
  <c r="G20" i="4" s="1"/>
  <c r="H20" i="4" a="1"/>
  <c r="H20" i="4" s="1"/>
  <c r="I20" i="4" a="1"/>
  <c r="I20" i="4" s="1"/>
  <c r="J20" i="4" a="1"/>
  <c r="J20" i="4" s="1"/>
  <c r="K20" i="4" a="1"/>
  <c r="K20" i="4" s="1"/>
  <c r="L20" i="4" a="1"/>
  <c r="L20" i="4" s="1"/>
  <c r="N20" i="4" a="1"/>
  <c r="N20" i="4" s="1"/>
  <c r="O20" i="4" a="1"/>
  <c r="O20" i="4" s="1"/>
  <c r="P20" i="4" a="1"/>
  <c r="P20" i="4" s="1"/>
  <c r="Q20" i="4" a="1"/>
  <c r="Q20" i="4" s="1"/>
  <c r="R20" i="4" a="1"/>
  <c r="R20" i="4" s="1"/>
  <c r="S20" i="4" a="1"/>
  <c r="S20" i="4" s="1"/>
  <c r="T20" i="4" a="1"/>
  <c r="T20" i="4" s="1"/>
  <c r="U20" i="4" a="1"/>
  <c r="U20" i="4" s="1"/>
  <c r="V20" i="4" a="1"/>
  <c r="V20" i="4" s="1"/>
  <c r="W20" i="4" a="1"/>
  <c r="W20" i="4" s="1"/>
  <c r="X20" i="4" a="1"/>
  <c r="X20" i="4" s="1"/>
  <c r="Y20" i="4" a="1"/>
  <c r="Y20" i="4" s="1"/>
  <c r="Z20" i="4" a="1"/>
  <c r="Z20" i="4" s="1"/>
  <c r="AA20" i="4" a="1"/>
  <c r="AA20" i="4" s="1"/>
  <c r="AB20" i="4" a="1"/>
  <c r="AB20" i="4" s="1"/>
  <c r="AC20" i="4" a="1"/>
  <c r="AC20" i="4" s="1"/>
  <c r="AD20" i="4" a="1"/>
  <c r="AD20" i="4" s="1"/>
  <c r="AE20" i="4" a="1"/>
  <c r="AE20" i="4" s="1"/>
  <c r="AF20" i="4" a="1"/>
  <c r="AF20" i="4" s="1"/>
  <c r="AG20" i="4" a="1"/>
  <c r="AG20" i="4" s="1"/>
  <c r="AH20" i="4" a="1"/>
  <c r="AH20" i="4" s="1"/>
  <c r="AI20" i="4" a="1"/>
  <c r="AI20" i="4" s="1"/>
  <c r="AJ20" i="4" a="1"/>
  <c r="AJ20" i="4" s="1"/>
  <c r="AK20" i="4" a="1"/>
  <c r="AK20" i="4" s="1"/>
  <c r="AL20" i="4" a="1"/>
  <c r="AL20" i="4" s="1"/>
  <c r="AM20" i="4" a="1"/>
  <c r="AM20" i="4" s="1"/>
  <c r="AN20" i="4" a="1"/>
  <c r="AN20" i="4" s="1"/>
  <c r="AO20" i="4" a="1"/>
  <c r="AO20" i="4" s="1"/>
  <c r="AP20" i="4" a="1"/>
  <c r="AP20" i="4" s="1"/>
  <c r="AQ20" i="4" a="1"/>
  <c r="AQ20" i="4" s="1"/>
  <c r="AR20" i="4" a="1"/>
  <c r="AR20" i="4" s="1"/>
  <c r="AS20" i="4" a="1"/>
  <c r="AS20" i="4" s="1"/>
  <c r="AT20" i="4" a="1"/>
  <c r="AT20" i="4" s="1"/>
  <c r="AU20" i="4" a="1"/>
  <c r="AU20" i="4" s="1"/>
  <c r="AV20" i="4" a="1"/>
  <c r="AV20" i="4" s="1"/>
  <c r="AW20" i="4" a="1"/>
  <c r="AW20" i="4" s="1"/>
  <c r="AX20" i="4" a="1"/>
  <c r="AX20" i="4" s="1"/>
  <c r="AY20" i="4" a="1"/>
  <c r="AY20" i="4" s="1"/>
  <c r="AZ20" i="4" a="1"/>
  <c r="AZ20" i="4" s="1"/>
  <c r="BA20" i="4" a="1"/>
  <c r="BA20" i="4" s="1"/>
  <c r="B21" i="4" a="1"/>
  <c r="B21" i="4" s="1"/>
  <c r="C21" i="4" a="1"/>
  <c r="C21" i="4" s="1"/>
  <c r="D21" i="4" a="1"/>
  <c r="D21" i="4" s="1"/>
  <c r="G5" i="1" s="1"/>
  <c r="E21" i="4" a="1"/>
  <c r="E21" i="4" s="1"/>
  <c r="F21" i="4" a="1"/>
  <c r="F21" i="4" s="1"/>
  <c r="G21" i="4" a="1"/>
  <c r="G21" i="4" s="1"/>
  <c r="H21" i="4" a="1"/>
  <c r="H21" i="4" s="1"/>
  <c r="I21" i="4" a="1"/>
  <c r="I21" i="4" s="1"/>
  <c r="J21" i="4" a="1"/>
  <c r="J21" i="4" s="1"/>
  <c r="K21" i="4" a="1"/>
  <c r="K21" i="4" s="1"/>
  <c r="L21" i="4" a="1"/>
  <c r="L21" i="4" s="1"/>
  <c r="N21" i="4" a="1"/>
  <c r="N21" i="4" s="1"/>
  <c r="O21" i="4" a="1"/>
  <c r="O21" i="4" s="1"/>
  <c r="P21" i="4" a="1"/>
  <c r="P21" i="4" s="1"/>
  <c r="Q21" i="4" a="1"/>
  <c r="Q21" i="4" s="1"/>
  <c r="R21" i="4" a="1"/>
  <c r="R21" i="4" s="1"/>
  <c r="S21" i="4" a="1"/>
  <c r="S21" i="4" s="1"/>
  <c r="T21" i="4" a="1"/>
  <c r="T21" i="4" s="1"/>
  <c r="U21" i="4" a="1"/>
  <c r="U21" i="4" s="1"/>
  <c r="V21" i="4" a="1"/>
  <c r="V21" i="4" s="1"/>
  <c r="W21" i="4" a="1"/>
  <c r="W21" i="4" s="1"/>
  <c r="X21" i="4" a="1"/>
  <c r="X21" i="4" s="1"/>
  <c r="Y21" i="4" a="1"/>
  <c r="Y21" i="4" s="1"/>
  <c r="Z21" i="4" a="1"/>
  <c r="Z21" i="4" s="1"/>
  <c r="AA21" i="4" a="1"/>
  <c r="AA21" i="4" s="1"/>
  <c r="AB21" i="4" a="1"/>
  <c r="AB21" i="4" s="1"/>
  <c r="AC21" i="4" a="1"/>
  <c r="AC21" i="4" s="1"/>
  <c r="AD21" i="4" a="1"/>
  <c r="AD21" i="4" s="1"/>
  <c r="AE21" i="4" a="1"/>
  <c r="AE21" i="4" s="1"/>
  <c r="AF21" i="4" a="1"/>
  <c r="AF21" i="4" s="1"/>
  <c r="AG21" i="4" a="1"/>
  <c r="AG21" i="4" s="1"/>
  <c r="AH21" i="4" a="1"/>
  <c r="AH21" i="4" s="1"/>
  <c r="AI21" i="4" a="1"/>
  <c r="AI21" i="4" s="1"/>
  <c r="AJ21" i="4" a="1"/>
  <c r="AJ21" i="4" s="1"/>
  <c r="AK21" i="4" a="1"/>
  <c r="AK21" i="4" s="1"/>
  <c r="AL21" i="4" a="1"/>
  <c r="AL21" i="4" s="1"/>
  <c r="AM21" i="4" a="1"/>
  <c r="AM21" i="4" s="1"/>
  <c r="AN21" i="4" a="1"/>
  <c r="AN21" i="4" s="1"/>
  <c r="AO21" i="4" a="1"/>
  <c r="AO21" i="4" s="1"/>
  <c r="AP21" i="4" a="1"/>
  <c r="AP21" i="4" s="1"/>
  <c r="AQ21" i="4" a="1"/>
  <c r="AQ21" i="4" s="1"/>
  <c r="AR21" i="4" a="1"/>
  <c r="AR21" i="4" s="1"/>
  <c r="AS21" i="4" a="1"/>
  <c r="AS21" i="4" s="1"/>
  <c r="AT21" i="4" a="1"/>
  <c r="AT21" i="4" s="1"/>
  <c r="AU21" i="4" a="1"/>
  <c r="AU21" i="4" s="1"/>
  <c r="AV21" i="4" a="1"/>
  <c r="AV21" i="4" s="1"/>
  <c r="AW21" i="4" a="1"/>
  <c r="AW21" i="4" s="1"/>
  <c r="AX21" i="4" a="1"/>
  <c r="AX21" i="4" s="1"/>
  <c r="AY21" i="4" a="1"/>
  <c r="AY21" i="4" s="1"/>
  <c r="AZ21" i="4" a="1"/>
  <c r="AZ21" i="4" s="1"/>
  <c r="BA21" i="4" a="1"/>
  <c r="BA21" i="4" s="1"/>
  <c r="B22" i="4" a="1"/>
  <c r="B22" i="4" s="1"/>
  <c r="C22" i="4" a="1"/>
  <c r="C22" i="4" s="1"/>
  <c r="D22" i="4" a="1"/>
  <c r="D22" i="4" s="1"/>
  <c r="G6" i="1" s="1"/>
  <c r="E22" i="4" a="1"/>
  <c r="E22" i="4" s="1"/>
  <c r="F22" i="4" a="1"/>
  <c r="F22" i="4" s="1"/>
  <c r="G22" i="4" a="1"/>
  <c r="G22" i="4" s="1"/>
  <c r="H22" i="4" a="1"/>
  <c r="H22" i="4" s="1"/>
  <c r="I22" i="4" a="1"/>
  <c r="I22" i="4" s="1"/>
  <c r="J22" i="4" a="1"/>
  <c r="J22" i="4" s="1"/>
  <c r="K22" i="4" a="1"/>
  <c r="K22" i="4" s="1"/>
  <c r="L22" i="4" a="1"/>
  <c r="L22" i="4" s="1"/>
  <c r="N22" i="4" a="1"/>
  <c r="N22" i="4" s="1"/>
  <c r="O22" i="4" a="1"/>
  <c r="O22" i="4" s="1"/>
  <c r="P22" i="4" a="1"/>
  <c r="P22" i="4" s="1"/>
  <c r="Q22" i="4" a="1"/>
  <c r="Q22" i="4" s="1"/>
  <c r="R22" i="4" a="1"/>
  <c r="R22" i="4" s="1"/>
  <c r="S22" i="4" a="1"/>
  <c r="S22" i="4" s="1"/>
  <c r="T22" i="4" a="1"/>
  <c r="T22" i="4" s="1"/>
  <c r="U22" i="4" a="1"/>
  <c r="U22" i="4" s="1"/>
  <c r="V22" i="4" a="1"/>
  <c r="V22" i="4" s="1"/>
  <c r="W22" i="4" a="1"/>
  <c r="W22" i="4" s="1"/>
  <c r="X22" i="4" a="1"/>
  <c r="X22" i="4" s="1"/>
  <c r="Y22" i="4" a="1"/>
  <c r="Y22" i="4" s="1"/>
  <c r="Z22" i="4" a="1"/>
  <c r="Z22" i="4" s="1"/>
  <c r="AA22" i="4" a="1"/>
  <c r="AA22" i="4" s="1"/>
  <c r="AB22" i="4" a="1"/>
  <c r="AB22" i="4" s="1"/>
  <c r="AC22" i="4" a="1"/>
  <c r="AC22" i="4" s="1"/>
  <c r="AD22" i="4" a="1"/>
  <c r="AD22" i="4" s="1"/>
  <c r="AE22" i="4" a="1"/>
  <c r="AE22" i="4" s="1"/>
  <c r="AF22" i="4" a="1"/>
  <c r="AF22" i="4" s="1"/>
  <c r="AG22" i="4" a="1"/>
  <c r="AG22" i="4" s="1"/>
  <c r="AH22" i="4" a="1"/>
  <c r="AH22" i="4" s="1"/>
  <c r="AI22" i="4" a="1"/>
  <c r="AI22" i="4" s="1"/>
  <c r="AJ22" i="4" a="1"/>
  <c r="AJ22" i="4" s="1"/>
  <c r="AK22" i="4" a="1"/>
  <c r="AK22" i="4" s="1"/>
  <c r="AL22" i="4" a="1"/>
  <c r="AL22" i="4" s="1"/>
  <c r="AM22" i="4" a="1"/>
  <c r="AM22" i="4" s="1"/>
  <c r="AN22" i="4" a="1"/>
  <c r="AN22" i="4" s="1"/>
  <c r="AO22" i="4" a="1"/>
  <c r="AO22" i="4" s="1"/>
  <c r="AP22" i="4" a="1"/>
  <c r="AP22" i="4" s="1"/>
  <c r="AQ22" i="4" a="1"/>
  <c r="AQ22" i="4" s="1"/>
  <c r="AR22" i="4" a="1"/>
  <c r="AR22" i="4" s="1"/>
  <c r="AS22" i="4" a="1"/>
  <c r="AS22" i="4" s="1"/>
  <c r="AT22" i="4" a="1"/>
  <c r="AT22" i="4" s="1"/>
  <c r="AU22" i="4" a="1"/>
  <c r="AU22" i="4" s="1"/>
  <c r="AV22" i="4" a="1"/>
  <c r="AV22" i="4" s="1"/>
  <c r="AW22" i="4" a="1"/>
  <c r="AW22" i="4" s="1"/>
  <c r="AX22" i="4" a="1"/>
  <c r="AX22" i="4" s="1"/>
  <c r="AY22" i="4" a="1"/>
  <c r="AY22" i="4" s="1"/>
  <c r="AZ22" i="4" a="1"/>
  <c r="AZ22" i="4" s="1"/>
  <c r="BA22" i="4" a="1"/>
  <c r="BA22" i="4" s="1"/>
  <c r="B23" i="4" a="1"/>
  <c r="B23" i="4" s="1"/>
  <c r="C23" i="4" a="1"/>
  <c r="C23" i="4" s="1"/>
  <c r="D23" i="4" a="1"/>
  <c r="D23" i="4" s="1"/>
  <c r="G7" i="1" s="1"/>
  <c r="E23" i="4" a="1"/>
  <c r="E23" i="4" s="1"/>
  <c r="F23" i="4" a="1"/>
  <c r="F23" i="4" s="1"/>
  <c r="G23" i="4" a="1"/>
  <c r="G23" i="4" s="1"/>
  <c r="H23" i="4" a="1"/>
  <c r="H23" i="4" s="1"/>
  <c r="I23" i="4" a="1"/>
  <c r="I23" i="4" s="1"/>
  <c r="J23" i="4" a="1"/>
  <c r="J23" i="4" s="1"/>
  <c r="K23" i="4" a="1"/>
  <c r="K23" i="4" s="1"/>
  <c r="L23" i="4" a="1"/>
  <c r="L23" i="4" s="1"/>
  <c r="N23" i="4" a="1"/>
  <c r="N23" i="4" s="1"/>
  <c r="O23" i="4" a="1"/>
  <c r="O23" i="4" s="1"/>
  <c r="P23" i="4" a="1"/>
  <c r="P23" i="4" s="1"/>
  <c r="Q23" i="4" a="1"/>
  <c r="Q23" i="4" s="1"/>
  <c r="R23" i="4" a="1"/>
  <c r="R23" i="4" s="1"/>
  <c r="S23" i="4" a="1"/>
  <c r="S23" i="4" s="1"/>
  <c r="T23" i="4" a="1"/>
  <c r="T23" i="4" s="1"/>
  <c r="U23" i="4" a="1"/>
  <c r="U23" i="4" s="1"/>
  <c r="V23" i="4" a="1"/>
  <c r="V23" i="4" s="1"/>
  <c r="W23" i="4" a="1"/>
  <c r="W23" i="4" s="1"/>
  <c r="X23" i="4" a="1"/>
  <c r="X23" i="4" s="1"/>
  <c r="Y23" i="4" a="1"/>
  <c r="Y23" i="4" s="1"/>
  <c r="Z23" i="4" a="1"/>
  <c r="Z23" i="4" s="1"/>
  <c r="AA23" i="4" a="1"/>
  <c r="AA23" i="4" s="1"/>
  <c r="AB23" i="4" a="1"/>
  <c r="AB23" i="4" s="1"/>
  <c r="AC23" i="4" a="1"/>
  <c r="AC23" i="4" s="1"/>
  <c r="AD23" i="4" a="1"/>
  <c r="AD23" i="4" s="1"/>
  <c r="AE23" i="4" a="1"/>
  <c r="AE23" i="4" s="1"/>
  <c r="AF23" i="4" a="1"/>
  <c r="AF23" i="4" s="1"/>
  <c r="AG23" i="4" a="1"/>
  <c r="AG23" i="4" s="1"/>
  <c r="AH23" i="4" a="1"/>
  <c r="AH23" i="4" s="1"/>
  <c r="AI23" i="4" a="1"/>
  <c r="AI23" i="4" s="1"/>
  <c r="AJ23" i="4" a="1"/>
  <c r="AJ23" i="4" s="1"/>
  <c r="AK23" i="4" a="1"/>
  <c r="AK23" i="4" s="1"/>
  <c r="AL23" i="4" a="1"/>
  <c r="AL23" i="4" s="1"/>
  <c r="AM23" i="4" a="1"/>
  <c r="AM23" i="4" s="1"/>
  <c r="AN23" i="4" a="1"/>
  <c r="AN23" i="4" s="1"/>
  <c r="AO23" i="4" a="1"/>
  <c r="AO23" i="4" s="1"/>
  <c r="AP23" i="4" a="1"/>
  <c r="AP23" i="4" s="1"/>
  <c r="AQ23" i="4" a="1"/>
  <c r="AQ23" i="4" s="1"/>
  <c r="AR23" i="4" a="1"/>
  <c r="AR23" i="4" s="1"/>
  <c r="AS23" i="4" a="1"/>
  <c r="AS23" i="4" s="1"/>
  <c r="AT23" i="4" a="1"/>
  <c r="AT23" i="4" s="1"/>
  <c r="AU23" i="4" a="1"/>
  <c r="AU23" i="4" s="1"/>
  <c r="AV23" i="4" a="1"/>
  <c r="AV23" i="4" s="1"/>
  <c r="AW23" i="4" a="1"/>
  <c r="AW23" i="4" s="1"/>
  <c r="AX23" i="4" a="1"/>
  <c r="AX23" i="4" s="1"/>
  <c r="AY23" i="4" a="1"/>
  <c r="AY23" i="4" s="1"/>
  <c r="AZ23" i="4" a="1"/>
  <c r="AZ23" i="4" s="1"/>
  <c r="BA23" i="4" a="1"/>
  <c r="BA23" i="4" s="1"/>
  <c r="B24" i="4" a="1"/>
  <c r="B24" i="4" s="1"/>
  <c r="C24" i="4" a="1"/>
  <c r="C24" i="4" s="1"/>
  <c r="D24" i="4" a="1"/>
  <c r="D24" i="4" s="1"/>
  <c r="G8" i="1" s="1"/>
  <c r="E24" i="4" a="1"/>
  <c r="E24" i="4" s="1"/>
  <c r="F24" i="4" a="1"/>
  <c r="F24" i="4" s="1"/>
  <c r="G24" i="4" a="1"/>
  <c r="G24" i="4" s="1"/>
  <c r="H24" i="4" a="1"/>
  <c r="H24" i="4" s="1"/>
  <c r="I24" i="4" a="1"/>
  <c r="I24" i="4" s="1"/>
  <c r="J24" i="4" a="1"/>
  <c r="J24" i="4" s="1"/>
  <c r="K24" i="4" a="1"/>
  <c r="K24" i="4" s="1"/>
  <c r="L24" i="4" a="1"/>
  <c r="L24" i="4" s="1"/>
  <c r="N24" i="4" a="1"/>
  <c r="N24" i="4" s="1"/>
  <c r="O24" i="4" a="1"/>
  <c r="O24" i="4" s="1"/>
  <c r="P24" i="4" a="1"/>
  <c r="P24" i="4" s="1"/>
  <c r="Q24" i="4" a="1"/>
  <c r="Q24" i="4" s="1"/>
  <c r="R24" i="4" a="1"/>
  <c r="R24" i="4" s="1"/>
  <c r="S24" i="4" a="1"/>
  <c r="S24" i="4" s="1"/>
  <c r="T24" i="4" a="1"/>
  <c r="T24" i="4" s="1"/>
  <c r="U24" i="4" a="1"/>
  <c r="U24" i="4" s="1"/>
  <c r="V24" i="4" a="1"/>
  <c r="V24" i="4" s="1"/>
  <c r="W24" i="4" a="1"/>
  <c r="W24" i="4" s="1"/>
  <c r="X24" i="4" a="1"/>
  <c r="X24" i="4" s="1"/>
  <c r="Y24" i="4" a="1"/>
  <c r="Y24" i="4" s="1"/>
  <c r="Z24" i="4" a="1"/>
  <c r="Z24" i="4" s="1"/>
  <c r="AA24" i="4" a="1"/>
  <c r="AA24" i="4" s="1"/>
  <c r="AB24" i="4" a="1"/>
  <c r="AB24" i="4" s="1"/>
  <c r="AC24" i="4" a="1"/>
  <c r="AC24" i="4" s="1"/>
  <c r="AD24" i="4" a="1"/>
  <c r="AD24" i="4" s="1"/>
  <c r="AE24" i="4" a="1"/>
  <c r="AE24" i="4" s="1"/>
  <c r="AF24" i="4" a="1"/>
  <c r="AF24" i="4" s="1"/>
  <c r="AG24" i="4" a="1"/>
  <c r="AG24" i="4" s="1"/>
  <c r="AH24" i="4" a="1"/>
  <c r="AH24" i="4" s="1"/>
  <c r="AI24" i="4" a="1"/>
  <c r="AI24" i="4" s="1"/>
  <c r="AJ24" i="4" a="1"/>
  <c r="AJ24" i="4" s="1"/>
  <c r="AK24" i="4" a="1"/>
  <c r="AK24" i="4" s="1"/>
  <c r="AL24" i="4" a="1"/>
  <c r="AL24" i="4" s="1"/>
  <c r="AM24" i="4" a="1"/>
  <c r="AM24" i="4" s="1"/>
  <c r="AN24" i="4" a="1"/>
  <c r="AN24" i="4" s="1"/>
  <c r="AO24" i="4" a="1"/>
  <c r="AO24" i="4" s="1"/>
  <c r="AP24" i="4" a="1"/>
  <c r="AP24" i="4" s="1"/>
  <c r="AQ24" i="4" a="1"/>
  <c r="AQ24" i="4" s="1"/>
  <c r="AR24" i="4" a="1"/>
  <c r="AR24" i="4" s="1"/>
  <c r="AS24" i="4" a="1"/>
  <c r="AS24" i="4" s="1"/>
  <c r="AT24" i="4" a="1"/>
  <c r="AT24" i="4" s="1"/>
  <c r="AU24" i="4" a="1"/>
  <c r="AU24" i="4" s="1"/>
  <c r="AV24" i="4" a="1"/>
  <c r="AV24" i="4" s="1"/>
  <c r="AW24" i="4" a="1"/>
  <c r="AW24" i="4" s="1"/>
  <c r="AX24" i="4" a="1"/>
  <c r="AX24" i="4" s="1"/>
  <c r="AY24" i="4" a="1"/>
  <c r="AY24" i="4" s="1"/>
  <c r="AZ24" i="4" a="1"/>
  <c r="AZ24" i="4" s="1"/>
  <c r="BA24" i="4" a="1"/>
  <c r="BA24" i="4" s="1"/>
  <c r="B25" i="4" a="1"/>
  <c r="B25" i="4" s="1"/>
  <c r="C25" i="4" a="1"/>
  <c r="C25" i="4" s="1"/>
  <c r="D25" i="4" a="1"/>
  <c r="D25" i="4" s="1"/>
  <c r="G9" i="1" s="1"/>
  <c r="E25" i="4" a="1"/>
  <c r="E25" i="4" s="1"/>
  <c r="F25" i="4" a="1"/>
  <c r="F25" i="4" s="1"/>
  <c r="G25" i="4" a="1"/>
  <c r="G25" i="4" s="1"/>
  <c r="H25" i="4" a="1"/>
  <c r="H25" i="4" s="1"/>
  <c r="I25" i="4" a="1"/>
  <c r="I25" i="4" s="1"/>
  <c r="J25" i="4" a="1"/>
  <c r="J25" i="4" s="1"/>
  <c r="K25" i="4" a="1"/>
  <c r="K25" i="4" s="1"/>
  <c r="L25" i="4" a="1"/>
  <c r="L25" i="4" s="1"/>
  <c r="N25" i="4" a="1"/>
  <c r="N25" i="4" s="1"/>
  <c r="O25" i="4" a="1"/>
  <c r="O25" i="4" s="1"/>
  <c r="P25" i="4" a="1"/>
  <c r="P25" i="4" s="1"/>
  <c r="Q25" i="4" a="1"/>
  <c r="Q25" i="4" s="1"/>
  <c r="R25" i="4" a="1"/>
  <c r="R25" i="4" s="1"/>
  <c r="S25" i="4" a="1"/>
  <c r="S25" i="4" s="1"/>
  <c r="T25" i="4" a="1"/>
  <c r="T25" i="4" s="1"/>
  <c r="U25" i="4" a="1"/>
  <c r="U25" i="4" s="1"/>
  <c r="V25" i="4" a="1"/>
  <c r="V25" i="4" s="1"/>
  <c r="W25" i="4" a="1"/>
  <c r="W25" i="4" s="1"/>
  <c r="X25" i="4" a="1"/>
  <c r="X25" i="4" s="1"/>
  <c r="Y25" i="4" a="1"/>
  <c r="Y25" i="4" s="1"/>
  <c r="Z25" i="4" a="1"/>
  <c r="Z25" i="4" s="1"/>
  <c r="AA25" i="4" a="1"/>
  <c r="AA25" i="4" s="1"/>
  <c r="AB25" i="4" a="1"/>
  <c r="AB25" i="4" s="1"/>
  <c r="AC25" i="4" a="1"/>
  <c r="AC25" i="4" s="1"/>
  <c r="AD25" i="4" a="1"/>
  <c r="AD25" i="4" s="1"/>
  <c r="AE25" i="4" a="1"/>
  <c r="AE25" i="4" s="1"/>
  <c r="AF25" i="4" a="1"/>
  <c r="AF25" i="4" s="1"/>
  <c r="AG25" i="4" a="1"/>
  <c r="AG25" i="4" s="1"/>
  <c r="AH25" i="4" a="1"/>
  <c r="AH25" i="4" s="1"/>
  <c r="AI25" i="4" a="1"/>
  <c r="AI25" i="4" s="1"/>
  <c r="AJ25" i="4" a="1"/>
  <c r="AJ25" i="4" s="1"/>
  <c r="AK25" i="4" a="1"/>
  <c r="AK25" i="4" s="1"/>
  <c r="AL25" i="4" a="1"/>
  <c r="AL25" i="4" s="1"/>
  <c r="AM25" i="4" a="1"/>
  <c r="AM25" i="4" s="1"/>
  <c r="AN25" i="4" a="1"/>
  <c r="AN25" i="4" s="1"/>
  <c r="AO25" i="4" a="1"/>
  <c r="AO25" i="4" s="1"/>
  <c r="AP25" i="4" a="1"/>
  <c r="AP25" i="4" s="1"/>
  <c r="AQ25" i="4" a="1"/>
  <c r="AQ25" i="4" s="1"/>
  <c r="AR25" i="4" a="1"/>
  <c r="AR25" i="4" s="1"/>
  <c r="AS25" i="4" a="1"/>
  <c r="AS25" i="4" s="1"/>
  <c r="AT25" i="4" a="1"/>
  <c r="AT25" i="4" s="1"/>
  <c r="AU25" i="4" a="1"/>
  <c r="AU25" i="4" s="1"/>
  <c r="AV25" i="4" a="1"/>
  <c r="AV25" i="4" s="1"/>
  <c r="AW25" i="4" a="1"/>
  <c r="AW25" i="4" s="1"/>
  <c r="AX25" i="4" a="1"/>
  <c r="AX25" i="4" s="1"/>
  <c r="AY25" i="4" a="1"/>
  <c r="AY25" i="4" s="1"/>
  <c r="AZ25" i="4" a="1"/>
  <c r="AZ25" i="4" s="1"/>
  <c r="BA25" i="4" a="1"/>
  <c r="BA25" i="4" s="1"/>
  <c r="B26" i="4" a="1"/>
  <c r="B26" i="4" s="1"/>
  <c r="C26" i="4" a="1"/>
  <c r="C26" i="4" s="1"/>
  <c r="D26" i="4" a="1"/>
  <c r="D26" i="4" s="1"/>
  <c r="G10" i="1" s="1"/>
  <c r="E26" i="4" a="1"/>
  <c r="E26" i="4" s="1"/>
  <c r="F26" i="4" a="1"/>
  <c r="F26" i="4" s="1"/>
  <c r="G26" i="4" a="1"/>
  <c r="G26" i="4" s="1"/>
  <c r="H26" i="4" a="1"/>
  <c r="H26" i="4" s="1"/>
  <c r="I26" i="4" a="1"/>
  <c r="I26" i="4" s="1"/>
  <c r="J26" i="4" a="1"/>
  <c r="J26" i="4" s="1"/>
  <c r="K26" i="4" a="1"/>
  <c r="K26" i="4" s="1"/>
  <c r="L26" i="4" a="1"/>
  <c r="L26" i="4" s="1"/>
  <c r="N26" i="4" a="1"/>
  <c r="N26" i="4" s="1"/>
  <c r="O26" i="4" a="1"/>
  <c r="O26" i="4" s="1"/>
  <c r="P26" i="4" a="1"/>
  <c r="P26" i="4" s="1"/>
  <c r="Q26" i="4" a="1"/>
  <c r="Q26" i="4" s="1"/>
  <c r="R26" i="4" a="1"/>
  <c r="R26" i="4" s="1"/>
  <c r="S26" i="4" a="1"/>
  <c r="S26" i="4" s="1"/>
  <c r="T26" i="4" a="1"/>
  <c r="T26" i="4" s="1"/>
  <c r="U26" i="4" a="1"/>
  <c r="U26" i="4" s="1"/>
  <c r="V26" i="4" a="1"/>
  <c r="V26" i="4" s="1"/>
  <c r="W26" i="4" a="1"/>
  <c r="W26" i="4" s="1"/>
  <c r="X26" i="4" a="1"/>
  <c r="X26" i="4" s="1"/>
  <c r="Y26" i="4" a="1"/>
  <c r="Y26" i="4" s="1"/>
  <c r="Z26" i="4" a="1"/>
  <c r="Z26" i="4" s="1"/>
  <c r="AA26" i="4" a="1"/>
  <c r="AA26" i="4" s="1"/>
  <c r="AB26" i="4" a="1"/>
  <c r="AB26" i="4" s="1"/>
  <c r="AC26" i="4" a="1"/>
  <c r="AC26" i="4" s="1"/>
  <c r="AD26" i="4" a="1"/>
  <c r="AD26" i="4" s="1"/>
  <c r="AE26" i="4" a="1"/>
  <c r="AE26" i="4" s="1"/>
  <c r="AF26" i="4" a="1"/>
  <c r="AF26" i="4" s="1"/>
  <c r="AG26" i="4" a="1"/>
  <c r="AG26" i="4" s="1"/>
  <c r="AH26" i="4" a="1"/>
  <c r="AH26" i="4" s="1"/>
  <c r="AI26" i="4" a="1"/>
  <c r="AI26" i="4" s="1"/>
  <c r="AJ26" i="4" a="1"/>
  <c r="AJ26" i="4" s="1"/>
  <c r="AK26" i="4" a="1"/>
  <c r="AK26" i="4" s="1"/>
  <c r="AL26" i="4" a="1"/>
  <c r="AL26" i="4" s="1"/>
  <c r="AM26" i="4" a="1"/>
  <c r="AM26" i="4" s="1"/>
  <c r="AN26" i="4" a="1"/>
  <c r="AN26" i="4" s="1"/>
  <c r="AO26" i="4" a="1"/>
  <c r="AO26" i="4" s="1"/>
  <c r="AP26" i="4" a="1"/>
  <c r="AP26" i="4" s="1"/>
  <c r="AQ26" i="4" a="1"/>
  <c r="AQ26" i="4" s="1"/>
  <c r="AR26" i="4" a="1"/>
  <c r="AR26" i="4" s="1"/>
  <c r="AS26" i="4" a="1"/>
  <c r="AS26" i="4" s="1"/>
  <c r="AT26" i="4" a="1"/>
  <c r="AT26" i="4" s="1"/>
  <c r="AU26" i="4" a="1"/>
  <c r="AU26" i="4" s="1"/>
  <c r="AV26" i="4" a="1"/>
  <c r="AV26" i="4" s="1"/>
  <c r="AW26" i="4" a="1"/>
  <c r="AW26" i="4" s="1"/>
  <c r="AX26" i="4" a="1"/>
  <c r="AX26" i="4" s="1"/>
  <c r="AY26" i="4" a="1"/>
  <c r="AY26" i="4" s="1"/>
  <c r="AZ26" i="4" a="1"/>
  <c r="AZ26" i="4" s="1"/>
  <c r="BA26" i="4" a="1"/>
  <c r="BA26" i="4" s="1"/>
  <c r="B27" i="4" a="1"/>
  <c r="B27" i="4" s="1"/>
  <c r="C27" i="4" a="1"/>
  <c r="C27" i="4" s="1"/>
  <c r="D27" i="4" a="1"/>
  <c r="D27" i="4" s="1"/>
  <c r="G11" i="1" s="1"/>
  <c r="E27" i="4" a="1"/>
  <c r="E27" i="4" s="1"/>
  <c r="F27" i="4" a="1"/>
  <c r="F27" i="4" s="1"/>
  <c r="G27" i="4" a="1"/>
  <c r="G27" i="4" s="1"/>
  <c r="H27" i="4" a="1"/>
  <c r="H27" i="4" s="1"/>
  <c r="I27" i="4" a="1"/>
  <c r="I27" i="4" s="1"/>
  <c r="J27" i="4" a="1"/>
  <c r="J27" i="4" s="1"/>
  <c r="K27" i="4" a="1"/>
  <c r="K27" i="4" s="1"/>
  <c r="L27" i="4" a="1"/>
  <c r="L27" i="4" s="1"/>
  <c r="N27" i="4" a="1"/>
  <c r="N27" i="4" s="1"/>
  <c r="O27" i="4" a="1"/>
  <c r="O27" i="4" s="1"/>
  <c r="P27" i="4" a="1"/>
  <c r="P27" i="4" s="1"/>
  <c r="Q27" i="4" a="1"/>
  <c r="Q27" i="4" s="1"/>
  <c r="R27" i="4" a="1"/>
  <c r="R27" i="4" s="1"/>
  <c r="S27" i="4" a="1"/>
  <c r="S27" i="4" s="1"/>
  <c r="T27" i="4" a="1"/>
  <c r="T27" i="4" s="1"/>
  <c r="U27" i="4" a="1"/>
  <c r="U27" i="4" s="1"/>
  <c r="V27" i="4" a="1"/>
  <c r="V27" i="4" s="1"/>
  <c r="W27" i="4" a="1"/>
  <c r="W27" i="4" s="1"/>
  <c r="X27" i="4" a="1"/>
  <c r="X27" i="4" s="1"/>
  <c r="Y27" i="4" a="1"/>
  <c r="Y27" i="4" s="1"/>
  <c r="Z27" i="4" a="1"/>
  <c r="Z27" i="4" s="1"/>
  <c r="AA27" i="4" a="1"/>
  <c r="AA27" i="4" s="1"/>
  <c r="AB27" i="4" a="1"/>
  <c r="AB27" i="4" s="1"/>
  <c r="AC27" i="4" a="1"/>
  <c r="AC27" i="4" s="1"/>
  <c r="AD27" i="4" a="1"/>
  <c r="AD27" i="4" s="1"/>
  <c r="AE27" i="4" a="1"/>
  <c r="AE27" i="4" s="1"/>
  <c r="AF27" i="4" a="1"/>
  <c r="AF27" i="4" s="1"/>
  <c r="AG27" i="4" a="1"/>
  <c r="AG27" i="4" s="1"/>
  <c r="AH27" i="4" a="1"/>
  <c r="AH27" i="4" s="1"/>
  <c r="AI27" i="4" a="1"/>
  <c r="AI27" i="4" s="1"/>
  <c r="AJ27" i="4" a="1"/>
  <c r="AJ27" i="4" s="1"/>
  <c r="AK27" i="4" a="1"/>
  <c r="AK27" i="4" s="1"/>
  <c r="AL27" i="4" a="1"/>
  <c r="AL27" i="4" s="1"/>
  <c r="AM27" i="4" a="1"/>
  <c r="AM27" i="4" s="1"/>
  <c r="AN27" i="4" a="1"/>
  <c r="AN27" i="4" s="1"/>
  <c r="AO27" i="4" a="1"/>
  <c r="AO27" i="4" s="1"/>
  <c r="AP27" i="4" a="1"/>
  <c r="AP27" i="4" s="1"/>
  <c r="AQ27" i="4" a="1"/>
  <c r="AQ27" i="4" s="1"/>
  <c r="AR27" i="4" a="1"/>
  <c r="AR27" i="4" s="1"/>
  <c r="AS27" i="4" a="1"/>
  <c r="AS27" i="4" s="1"/>
  <c r="AT27" i="4" a="1"/>
  <c r="AT27" i="4" s="1"/>
  <c r="AU27" i="4" a="1"/>
  <c r="AU27" i="4" s="1"/>
  <c r="AV27" i="4" a="1"/>
  <c r="AV27" i="4" s="1"/>
  <c r="AW27" i="4" a="1"/>
  <c r="AW27" i="4" s="1"/>
  <c r="AX27" i="4" a="1"/>
  <c r="AX27" i="4" s="1"/>
  <c r="AY27" i="4" a="1"/>
  <c r="AY27" i="4" s="1"/>
  <c r="AZ27" i="4" a="1"/>
  <c r="AZ27" i="4" s="1"/>
  <c r="BA27" i="4" a="1"/>
  <c r="BA27" i="4" s="1"/>
  <c r="B28" i="4" a="1"/>
  <c r="B28" i="4" s="1"/>
  <c r="C28" i="4" a="1"/>
  <c r="C28" i="4" s="1"/>
  <c r="D28" i="4" a="1"/>
  <c r="D28" i="4" s="1"/>
  <c r="G12" i="1" s="1"/>
  <c r="E28" i="4" a="1"/>
  <c r="E28" i="4" s="1"/>
  <c r="F28" i="4" a="1"/>
  <c r="F28" i="4" s="1"/>
  <c r="G28" i="4" a="1"/>
  <c r="G28" i="4" s="1"/>
  <c r="H28" i="4" a="1"/>
  <c r="H28" i="4" s="1"/>
  <c r="I28" i="4" a="1"/>
  <c r="I28" i="4" s="1"/>
  <c r="J28" i="4" a="1"/>
  <c r="J28" i="4" s="1"/>
  <c r="K28" i="4" a="1"/>
  <c r="K28" i="4" s="1"/>
  <c r="L28" i="4" a="1"/>
  <c r="L28" i="4" s="1"/>
  <c r="N28" i="4" a="1"/>
  <c r="N28" i="4" s="1"/>
  <c r="O28" i="4" a="1"/>
  <c r="O28" i="4" s="1"/>
  <c r="P28" i="4" a="1"/>
  <c r="P28" i="4" s="1"/>
  <c r="Q28" i="4" a="1"/>
  <c r="Q28" i="4" s="1"/>
  <c r="R28" i="4" a="1"/>
  <c r="R28" i="4" s="1"/>
  <c r="S28" i="4" a="1"/>
  <c r="S28" i="4" s="1"/>
  <c r="T28" i="4" a="1"/>
  <c r="T28" i="4" s="1"/>
  <c r="U28" i="4" a="1"/>
  <c r="U28" i="4" s="1"/>
  <c r="V28" i="4" a="1"/>
  <c r="V28" i="4" s="1"/>
  <c r="W28" i="4" a="1"/>
  <c r="W28" i="4" s="1"/>
  <c r="X28" i="4" a="1"/>
  <c r="X28" i="4" s="1"/>
  <c r="Y28" i="4" a="1"/>
  <c r="Y28" i="4" s="1"/>
  <c r="Z28" i="4" a="1"/>
  <c r="Z28" i="4" s="1"/>
  <c r="AA28" i="4" a="1"/>
  <c r="AA28" i="4" s="1"/>
  <c r="AB28" i="4" a="1"/>
  <c r="AB28" i="4" s="1"/>
  <c r="AC28" i="4" a="1"/>
  <c r="AC28" i="4" s="1"/>
  <c r="AD28" i="4" a="1"/>
  <c r="AD28" i="4" s="1"/>
  <c r="AE28" i="4" a="1"/>
  <c r="AE28" i="4" s="1"/>
  <c r="AF28" i="4" a="1"/>
  <c r="AF28" i="4" s="1"/>
  <c r="AG28" i="4" a="1"/>
  <c r="AG28" i="4" s="1"/>
  <c r="AH28" i="4" a="1"/>
  <c r="AH28" i="4" s="1"/>
  <c r="AI28" i="4" a="1"/>
  <c r="AI28" i="4" s="1"/>
  <c r="AJ28" i="4" a="1"/>
  <c r="AJ28" i="4" s="1"/>
  <c r="AK28" i="4" a="1"/>
  <c r="AK28" i="4" s="1"/>
  <c r="AL28" i="4" a="1"/>
  <c r="AL28" i="4" s="1"/>
  <c r="AM28" i="4" a="1"/>
  <c r="AM28" i="4" s="1"/>
  <c r="AN28" i="4" a="1"/>
  <c r="AN28" i="4" s="1"/>
  <c r="AO28" i="4" a="1"/>
  <c r="AO28" i="4" s="1"/>
  <c r="AP28" i="4" a="1"/>
  <c r="AP28" i="4" s="1"/>
  <c r="AQ28" i="4" a="1"/>
  <c r="AQ28" i="4" s="1"/>
  <c r="AR28" i="4" a="1"/>
  <c r="AR28" i="4" s="1"/>
  <c r="AS28" i="4" a="1"/>
  <c r="AS28" i="4" s="1"/>
  <c r="AT28" i="4" a="1"/>
  <c r="AT28" i="4" s="1"/>
  <c r="AU28" i="4" a="1"/>
  <c r="AU28" i="4" s="1"/>
  <c r="AV28" i="4" a="1"/>
  <c r="AV28" i="4" s="1"/>
  <c r="AW28" i="4" a="1"/>
  <c r="AW28" i="4" s="1"/>
  <c r="AX28" i="4" a="1"/>
  <c r="AX28" i="4" s="1"/>
  <c r="AY28" i="4" a="1"/>
  <c r="AY28" i="4" s="1"/>
  <c r="AZ28" i="4" a="1"/>
  <c r="AZ28" i="4" s="1"/>
  <c r="BA28" i="4" a="1"/>
  <c r="BA28" i="4" s="1"/>
  <c r="B29" i="4" a="1"/>
  <c r="B29" i="4" s="1"/>
  <c r="C29" i="4" a="1"/>
  <c r="C29" i="4" s="1"/>
  <c r="D29" i="4" a="1"/>
  <c r="D29" i="4" s="1"/>
  <c r="G13" i="1" s="1"/>
  <c r="E29" i="4" a="1"/>
  <c r="E29" i="4" s="1"/>
  <c r="F29" i="4" a="1"/>
  <c r="F29" i="4" s="1"/>
  <c r="G29" i="4" a="1"/>
  <c r="G29" i="4" s="1"/>
  <c r="H29" i="4" a="1"/>
  <c r="H29" i="4" s="1"/>
  <c r="I29" i="4" a="1"/>
  <c r="I29" i="4" s="1"/>
  <c r="J29" i="4" a="1"/>
  <c r="J29" i="4" s="1"/>
  <c r="K29" i="4" a="1"/>
  <c r="K29" i="4" s="1"/>
  <c r="L29" i="4" a="1"/>
  <c r="L29" i="4" s="1"/>
  <c r="N29" i="4" a="1"/>
  <c r="N29" i="4" s="1"/>
  <c r="O29" i="4" a="1"/>
  <c r="O29" i="4" s="1"/>
  <c r="P29" i="4" a="1"/>
  <c r="P29" i="4" s="1"/>
  <c r="Q29" i="4" a="1"/>
  <c r="Q29" i="4" s="1"/>
  <c r="R29" i="4" a="1"/>
  <c r="R29" i="4" s="1"/>
  <c r="S29" i="4" a="1"/>
  <c r="S29" i="4" s="1"/>
  <c r="T29" i="4" a="1"/>
  <c r="T29" i="4" s="1"/>
  <c r="U29" i="4" a="1"/>
  <c r="U29" i="4" s="1"/>
  <c r="V29" i="4" a="1"/>
  <c r="V29" i="4" s="1"/>
  <c r="W29" i="4" a="1"/>
  <c r="W29" i="4" s="1"/>
  <c r="X29" i="4" a="1"/>
  <c r="X29" i="4" s="1"/>
  <c r="Y29" i="4" a="1"/>
  <c r="Y29" i="4" s="1"/>
  <c r="Z29" i="4" a="1"/>
  <c r="Z29" i="4" s="1"/>
  <c r="AA29" i="4" a="1"/>
  <c r="AA29" i="4" s="1"/>
  <c r="AB29" i="4" a="1"/>
  <c r="AB29" i="4" s="1"/>
  <c r="AC29" i="4" a="1"/>
  <c r="AC29" i="4" s="1"/>
  <c r="AD29" i="4" a="1"/>
  <c r="AD29" i="4" s="1"/>
  <c r="AE29" i="4" a="1"/>
  <c r="AE29" i="4" s="1"/>
  <c r="AF29" i="4" a="1"/>
  <c r="AF29" i="4" s="1"/>
  <c r="AG29" i="4" a="1"/>
  <c r="AG29" i="4" s="1"/>
  <c r="AH29" i="4" a="1"/>
  <c r="AH29" i="4" s="1"/>
  <c r="AI29" i="4" a="1"/>
  <c r="AI29" i="4" s="1"/>
  <c r="AJ29" i="4" a="1"/>
  <c r="AJ29" i="4" s="1"/>
  <c r="AK29" i="4" a="1"/>
  <c r="AK29" i="4" s="1"/>
  <c r="AL29" i="4" a="1"/>
  <c r="AL29" i="4" s="1"/>
  <c r="AM29" i="4" a="1"/>
  <c r="AM29" i="4" s="1"/>
  <c r="AN29" i="4" a="1"/>
  <c r="AN29" i="4" s="1"/>
  <c r="AO29" i="4" a="1"/>
  <c r="AO29" i="4" s="1"/>
  <c r="AP29" i="4" a="1"/>
  <c r="AP29" i="4" s="1"/>
  <c r="AQ29" i="4" a="1"/>
  <c r="AQ29" i="4" s="1"/>
  <c r="AR29" i="4" a="1"/>
  <c r="AR29" i="4" s="1"/>
  <c r="AS29" i="4" a="1"/>
  <c r="AS29" i="4" s="1"/>
  <c r="AT29" i="4" a="1"/>
  <c r="AT29" i="4" s="1"/>
  <c r="AU29" i="4" a="1"/>
  <c r="AU29" i="4" s="1"/>
  <c r="AV29" i="4" a="1"/>
  <c r="AV29" i="4" s="1"/>
  <c r="AW29" i="4" a="1"/>
  <c r="AW29" i="4" s="1"/>
  <c r="AX29" i="4" a="1"/>
  <c r="AX29" i="4" s="1"/>
  <c r="AY29" i="4" a="1"/>
  <c r="AY29" i="4" s="1"/>
  <c r="AZ29" i="4" a="1"/>
  <c r="AZ29" i="4" s="1"/>
  <c r="BA29" i="4" a="1"/>
  <c r="BA29" i="4" s="1"/>
  <c r="B30" i="4" a="1"/>
  <c r="B30" i="4" s="1"/>
  <c r="C30" i="4" a="1"/>
  <c r="C30" i="4" s="1"/>
  <c r="D30" i="4" a="1"/>
  <c r="D30" i="4" s="1"/>
  <c r="G14" i="1" s="1"/>
  <c r="E30" i="4" a="1"/>
  <c r="E30" i="4" s="1"/>
  <c r="F30" i="4" a="1"/>
  <c r="F30" i="4" s="1"/>
  <c r="G30" i="4" a="1"/>
  <c r="G30" i="4" s="1"/>
  <c r="H30" i="4" a="1"/>
  <c r="H30" i="4" s="1"/>
  <c r="I30" i="4" a="1"/>
  <c r="I30" i="4" s="1"/>
  <c r="J30" i="4" a="1"/>
  <c r="J30" i="4" s="1"/>
  <c r="K30" i="4" a="1"/>
  <c r="K30" i="4" s="1"/>
  <c r="L30" i="4" a="1"/>
  <c r="L30" i="4" s="1"/>
  <c r="N30" i="4" a="1"/>
  <c r="N30" i="4" s="1"/>
  <c r="O30" i="4" a="1"/>
  <c r="O30" i="4" s="1"/>
  <c r="P30" i="4" a="1"/>
  <c r="P30" i="4" s="1"/>
  <c r="Q30" i="4" a="1"/>
  <c r="Q30" i="4" s="1"/>
  <c r="R30" i="4" a="1"/>
  <c r="R30" i="4" s="1"/>
  <c r="S30" i="4" a="1"/>
  <c r="S30" i="4" s="1"/>
  <c r="T30" i="4" a="1"/>
  <c r="T30" i="4" s="1"/>
  <c r="U30" i="4" a="1"/>
  <c r="U30" i="4" s="1"/>
  <c r="V30" i="4" a="1"/>
  <c r="V30" i="4" s="1"/>
  <c r="W30" i="4" a="1"/>
  <c r="W30" i="4" s="1"/>
  <c r="X30" i="4" a="1"/>
  <c r="X30" i="4" s="1"/>
  <c r="Y30" i="4" a="1"/>
  <c r="Y30" i="4" s="1"/>
  <c r="Z30" i="4" a="1"/>
  <c r="Z30" i="4" s="1"/>
  <c r="AA30" i="4" a="1"/>
  <c r="AA30" i="4" s="1"/>
  <c r="AB30" i="4" a="1"/>
  <c r="AB30" i="4" s="1"/>
  <c r="AC30" i="4" a="1"/>
  <c r="AC30" i="4" s="1"/>
  <c r="AD30" i="4" a="1"/>
  <c r="AD30" i="4" s="1"/>
  <c r="AE30" i="4" a="1"/>
  <c r="AE30" i="4" s="1"/>
  <c r="AF30" i="4" a="1"/>
  <c r="AF30" i="4" s="1"/>
  <c r="AG30" i="4" a="1"/>
  <c r="AG30" i="4" s="1"/>
  <c r="AH30" i="4" a="1"/>
  <c r="AH30" i="4" s="1"/>
  <c r="AI30" i="4" a="1"/>
  <c r="AI30" i="4" s="1"/>
  <c r="AJ30" i="4" a="1"/>
  <c r="AJ30" i="4" s="1"/>
  <c r="AK30" i="4" a="1"/>
  <c r="AK30" i="4" s="1"/>
  <c r="AL30" i="4" a="1"/>
  <c r="AL30" i="4" s="1"/>
  <c r="AM30" i="4" a="1"/>
  <c r="AM30" i="4" s="1"/>
  <c r="AN30" i="4" a="1"/>
  <c r="AN30" i="4" s="1"/>
  <c r="AO30" i="4" a="1"/>
  <c r="AO30" i="4" s="1"/>
  <c r="AP30" i="4" a="1"/>
  <c r="AP30" i="4" s="1"/>
  <c r="AQ30" i="4" a="1"/>
  <c r="AQ30" i="4" s="1"/>
  <c r="AR30" i="4" a="1"/>
  <c r="AR30" i="4" s="1"/>
  <c r="AS30" i="4" a="1"/>
  <c r="AS30" i="4" s="1"/>
  <c r="AT30" i="4" a="1"/>
  <c r="AT30" i="4" s="1"/>
  <c r="AU30" i="4" a="1"/>
  <c r="AU30" i="4" s="1"/>
  <c r="AV30" i="4" a="1"/>
  <c r="AV30" i="4" s="1"/>
  <c r="AW30" i="4" a="1"/>
  <c r="AW30" i="4" s="1"/>
  <c r="AX30" i="4" a="1"/>
  <c r="AX30" i="4" s="1"/>
  <c r="AY30" i="4" a="1"/>
  <c r="AY30" i="4" s="1"/>
  <c r="AZ30" i="4" a="1"/>
  <c r="AZ30" i="4" s="1"/>
  <c r="BA30" i="4" a="1"/>
  <c r="BA30" i="4" s="1"/>
  <c r="B31" i="4" a="1"/>
  <c r="B31" i="4" s="1"/>
  <c r="C31" i="4" a="1"/>
  <c r="C31" i="4" s="1"/>
  <c r="D31" i="4" a="1"/>
  <c r="D31" i="4" s="1"/>
  <c r="G15" i="1" s="1"/>
  <c r="E31" i="4" a="1"/>
  <c r="E31" i="4" s="1"/>
  <c r="F31" i="4" a="1"/>
  <c r="F31" i="4" s="1"/>
  <c r="G31" i="4" a="1"/>
  <c r="G31" i="4" s="1"/>
  <c r="H31" i="4" a="1"/>
  <c r="H31" i="4" s="1"/>
  <c r="I31" i="4" a="1"/>
  <c r="I31" i="4" s="1"/>
  <c r="J31" i="4" a="1"/>
  <c r="J31" i="4" s="1"/>
  <c r="K31" i="4" a="1"/>
  <c r="K31" i="4" s="1"/>
  <c r="L31" i="4" a="1"/>
  <c r="L31" i="4" s="1"/>
  <c r="N31" i="4" a="1"/>
  <c r="N31" i="4" s="1"/>
  <c r="O31" i="4" a="1"/>
  <c r="O31" i="4" s="1"/>
  <c r="P31" i="4" a="1"/>
  <c r="P31" i="4" s="1"/>
  <c r="Q31" i="4" a="1"/>
  <c r="Q31" i="4" s="1"/>
  <c r="R31" i="4" a="1"/>
  <c r="R31" i="4" s="1"/>
  <c r="S31" i="4" a="1"/>
  <c r="S31" i="4" s="1"/>
  <c r="T31" i="4" a="1"/>
  <c r="T31" i="4" s="1"/>
  <c r="U31" i="4" a="1"/>
  <c r="U31" i="4" s="1"/>
  <c r="V31" i="4" a="1"/>
  <c r="V31" i="4" s="1"/>
  <c r="W31" i="4" a="1"/>
  <c r="W31" i="4" s="1"/>
  <c r="X31" i="4" a="1"/>
  <c r="X31" i="4" s="1"/>
  <c r="Y31" i="4" a="1"/>
  <c r="Y31" i="4" s="1"/>
  <c r="Z31" i="4" a="1"/>
  <c r="Z31" i="4" s="1"/>
  <c r="AA31" i="4" a="1"/>
  <c r="AA31" i="4" s="1"/>
  <c r="AB31" i="4" a="1"/>
  <c r="AB31" i="4" s="1"/>
  <c r="AC31" i="4" a="1"/>
  <c r="AC31" i="4" s="1"/>
  <c r="AD31" i="4" a="1"/>
  <c r="AD31" i="4" s="1"/>
  <c r="AE31" i="4" a="1"/>
  <c r="AE31" i="4" s="1"/>
  <c r="AF31" i="4" a="1"/>
  <c r="AF31" i="4" s="1"/>
  <c r="AG31" i="4" a="1"/>
  <c r="AG31" i="4" s="1"/>
  <c r="AH31" i="4" a="1"/>
  <c r="AH31" i="4" s="1"/>
  <c r="AI31" i="4" a="1"/>
  <c r="AI31" i="4" s="1"/>
  <c r="AJ31" i="4" a="1"/>
  <c r="AJ31" i="4" s="1"/>
  <c r="AK31" i="4" a="1"/>
  <c r="AK31" i="4" s="1"/>
  <c r="AL31" i="4" a="1"/>
  <c r="AL31" i="4" s="1"/>
  <c r="AM31" i="4" a="1"/>
  <c r="AM31" i="4" s="1"/>
  <c r="AN31" i="4" a="1"/>
  <c r="AN31" i="4" s="1"/>
  <c r="AO31" i="4" a="1"/>
  <c r="AO31" i="4" s="1"/>
  <c r="AP31" i="4" a="1"/>
  <c r="AP31" i="4" s="1"/>
  <c r="AQ31" i="4" a="1"/>
  <c r="AQ31" i="4" s="1"/>
  <c r="AR31" i="4" a="1"/>
  <c r="AR31" i="4" s="1"/>
  <c r="AS31" i="4" a="1"/>
  <c r="AS31" i="4" s="1"/>
  <c r="AT31" i="4" a="1"/>
  <c r="AT31" i="4" s="1"/>
  <c r="AU31" i="4" a="1"/>
  <c r="AU31" i="4" s="1"/>
  <c r="AV31" i="4" a="1"/>
  <c r="AV31" i="4" s="1"/>
  <c r="AW31" i="4" a="1"/>
  <c r="AW31" i="4" s="1"/>
  <c r="AX31" i="4" a="1"/>
  <c r="AX31" i="4" s="1"/>
  <c r="AY31" i="4" a="1"/>
  <c r="AY31" i="4" s="1"/>
  <c r="AZ31" i="4" a="1"/>
  <c r="AZ31" i="4" s="1"/>
  <c r="BA31" i="4" a="1"/>
  <c r="BA31" i="4" s="1"/>
  <c r="F2" i="1" l="1"/>
  <c r="H2" i="1"/>
  <c r="H5" i="1" l="1"/>
  <c r="H6" i="1"/>
  <c r="H15" i="1"/>
  <c r="H9" i="1"/>
  <c r="H11" i="1"/>
  <c r="H3" i="1"/>
  <c r="I3" i="1" s="1"/>
  <c r="H8" i="1"/>
  <c r="H12" i="1"/>
  <c r="H7" i="1"/>
  <c r="H14" i="1"/>
  <c r="H10" i="1"/>
  <c r="H13" i="1"/>
  <c r="H4" i="1"/>
  <c r="I5" i="1" l="1"/>
  <c r="I6" i="1"/>
  <c r="I15" i="1"/>
  <c r="I8" i="1"/>
  <c r="I9" i="1"/>
  <c r="I10" i="1"/>
  <c r="I12" i="1"/>
  <c r="I13" i="1"/>
  <c r="I14" i="1"/>
  <c r="I7" i="1"/>
  <c r="I11" i="1"/>
  <c r="I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<sst xmlns="http://schemas.openxmlformats.org/spreadsheetml/2006/main" count="2669" uniqueCount="134">
  <si>
    <t>Vencimento</t>
  </si>
  <si>
    <t>Prazo du</t>
  </si>
  <si>
    <t>Prazo dc</t>
  </si>
  <si>
    <t>DI</t>
  </si>
  <si>
    <t>FRC</t>
  </si>
  <si>
    <t>DOL</t>
  </si>
  <si>
    <t>Diferencial</t>
  </si>
  <si>
    <t>DI1V24</t>
  </si>
  <si>
    <t>DI1X24</t>
  </si>
  <si>
    <t>DI1Z24</t>
  </si>
  <si>
    <t>DI1F25</t>
  </si>
  <si>
    <t>uteis</t>
  </si>
  <si>
    <t>corridos</t>
  </si>
  <si>
    <t>DI1F26</t>
  </si>
  <si>
    <t>Asset</t>
  </si>
  <si>
    <t>Data</t>
  </si>
  <si>
    <t>Hora</t>
  </si>
  <si>
    <t>Último</t>
  </si>
  <si>
    <t>Abertura</t>
  </si>
  <si>
    <t>Máximo</t>
  </si>
  <si>
    <t>Mínimo</t>
  </si>
  <si>
    <t>Fechamento Anterior</t>
  </si>
  <si>
    <t>Strike</t>
  </si>
  <si>
    <t>Variação</t>
  </si>
  <si>
    <t>Variação(pts)</t>
  </si>
  <si>
    <t>Média</t>
  </si>
  <si>
    <t>Nome do Ativo</t>
  </si>
  <si>
    <t>Negócios</t>
  </si>
  <si>
    <t>QUL</t>
  </si>
  <si>
    <t>Quantidade</t>
  </si>
  <si>
    <t>Volume</t>
  </si>
  <si>
    <t>Of. Compra</t>
  </si>
  <si>
    <t>Of. Venda</t>
  </si>
  <si>
    <t>VOC</t>
  </si>
  <si>
    <t>VOV</t>
  </si>
  <si>
    <t>Ajuste</t>
  </si>
  <si>
    <t>Aj. Anterior</t>
  </si>
  <si>
    <t>Preço Teórico</t>
  </si>
  <si>
    <t>Qtd. Teórica</t>
  </si>
  <si>
    <t>Volume Projetado</t>
  </si>
  <si>
    <t>Semana</t>
  </si>
  <si>
    <t>Mês</t>
  </si>
  <si>
    <t>3 meses</t>
  </si>
  <si>
    <t>6 meses</t>
  </si>
  <si>
    <t>12 meses</t>
  </si>
  <si>
    <t>Ano</t>
  </si>
  <si>
    <t>Trimestre</t>
  </si>
  <si>
    <t>Semestre</t>
  </si>
  <si>
    <t>Validade</t>
  </si>
  <si>
    <t>Cont. Abertos</t>
  </si>
  <si>
    <t>Estado Atual</t>
  </si>
  <si>
    <t>Black Scholes</t>
  </si>
  <si>
    <t>Volt. Implícita</t>
  </si>
  <si>
    <t>Delta</t>
  </si>
  <si>
    <t>Gama</t>
  </si>
  <si>
    <t>Theta</t>
  </si>
  <si>
    <t>Rho</t>
  </si>
  <si>
    <t>Vega</t>
  </si>
  <si>
    <t>VI Ask</t>
  </si>
  <si>
    <t>VI Bid</t>
  </si>
  <si>
    <t>Dobrar %</t>
  </si>
  <si>
    <t>VI / VH</t>
  </si>
  <si>
    <t>Valor Intrínseco</t>
  </si>
  <si>
    <t>Valor Extrínseco</t>
  </si>
  <si>
    <t>Média Móvel</t>
  </si>
  <si>
    <t>TR - Acúmulo de Agressão - Saldo</t>
  </si>
  <si>
    <t>INDFUT</t>
  </si>
  <si>
    <t>Indice Bovespa</t>
  </si>
  <si>
    <t>DOLFUT</t>
  </si>
  <si>
    <t>Dolar Comercial Futuro</t>
  </si>
  <si>
    <t>USD/BRL</t>
  </si>
  <si>
    <t>United States Dollar to Brazilian Real</t>
  </si>
  <si>
    <t>Ativo</t>
  </si>
  <si>
    <t>Di De 1 Dia</t>
  </si>
  <si>
    <t>DI1G25</t>
  </si>
  <si>
    <t>DI1H25</t>
  </si>
  <si>
    <t>DI1J25</t>
  </si>
  <si>
    <t>DI1K25</t>
  </si>
  <si>
    <t>DI1M25</t>
  </si>
  <si>
    <t>DI1N25</t>
  </si>
  <si>
    <t>DI1Q25</t>
  </si>
  <si>
    <t>DI1U25</t>
  </si>
  <si>
    <t>DI1V25</t>
  </si>
  <si>
    <t>FRCX24</t>
  </si>
  <si>
    <t>Fra De Cupom</t>
  </si>
  <si>
    <t>FRCZ24</t>
  </si>
  <si>
    <t>FRCF25</t>
  </si>
  <si>
    <t>FRCG25</t>
  </si>
  <si>
    <t>FRCH25</t>
  </si>
  <si>
    <t>FRCJ25</t>
  </si>
  <si>
    <t>FRCK25</t>
  </si>
  <si>
    <t>FRCM25</t>
  </si>
  <si>
    <t>FRCN25</t>
  </si>
  <si>
    <t>FRCQ25</t>
  </si>
  <si>
    <t>FRCU25</t>
  </si>
  <si>
    <t>FRCV25</t>
  </si>
  <si>
    <t>FRCF26</t>
  </si>
  <si>
    <t>Dia da Semana</t>
  </si>
  <si>
    <t>Feriado</t>
  </si>
  <si>
    <t>segunda-feira</t>
  </si>
  <si>
    <t>Confraternização Universal</t>
  </si>
  <si>
    <t>Carnaval</t>
  </si>
  <si>
    <t>terça-feira</t>
  </si>
  <si>
    <t>sexta-feira</t>
  </si>
  <si>
    <t>Paixão de Cristo</t>
  </si>
  <si>
    <t>sábado</t>
  </si>
  <si>
    <t>Tiradentes</t>
  </si>
  <si>
    <t>Dia do Trabalho</t>
  </si>
  <si>
    <t>quinta-feira</t>
  </si>
  <si>
    <t>Corpus Christi</t>
  </si>
  <si>
    <t>Independência do Brasil</t>
  </si>
  <si>
    <t>Nossa Sr.a Aparecida - Padroeira do Brasil</t>
  </si>
  <si>
    <t>Finados</t>
  </si>
  <si>
    <t>Proclamação da República</t>
  </si>
  <si>
    <t>Natal</t>
  </si>
  <si>
    <t>domingo</t>
  </si>
  <si>
    <t>quarta-feira</t>
  </si>
  <si>
    <t>Dia Nacional de Zumbi e da Consciência Negra</t>
  </si>
  <si>
    <t xml:space="preserve">Confraternização Universal </t>
  </si>
  <si>
    <t>Liquidação</t>
  </si>
  <si>
    <t>V24</t>
  </si>
  <si>
    <t>X24</t>
  </si>
  <si>
    <t>Z24</t>
  </si>
  <si>
    <t>F25</t>
  </si>
  <si>
    <t>G25</t>
  </si>
  <si>
    <t>H25</t>
  </si>
  <si>
    <t>J25</t>
  </si>
  <si>
    <t>K25</t>
  </si>
  <si>
    <t>M25</t>
  </si>
  <si>
    <t>N25</t>
  </si>
  <si>
    <t>Q25</t>
  </si>
  <si>
    <t>U25</t>
  </si>
  <si>
    <t>V25</t>
  </si>
  <si>
    <t>F26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</si>
</sst>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 style="medium">
        <color indexed="23"/>
      </top>
      <bottom style="medium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27">
    <xf numFmtId="0" fontId="0" fillId="0" borderId="0" xfId="0"/>
    <xf numFmtId="14" fontId="0" fillId="0" borderId="0" xfId="0" applyNumberFormat="1"/>
    <xf numFmtId="0" fontId="4" fillId="2" borderId="2" xfId="0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left" wrapText="1"/>
    </xf>
    <xf numFmtId="14" fontId="2" fillId="3" borderId="0" xfId="1" applyNumberFormat="1" applyFill="1" applyAlignment="1">
      <alignment horizontal="right"/>
    </xf>
    <xf numFmtId="0" fontId="2" fillId="3" borderId="0" xfId="1" applyFill="1"/>
    <xf numFmtId="14" fontId="2" fillId="0" borderId="0" xfId="1" applyNumberFormat="1" applyAlignment="1">
      <alignment horizontal="right"/>
    </xf>
    <xf numFmtId="0" fontId="2" fillId="0" borderId="0" xfId="1"/>
    <xf numFmtId="14" fontId="4" fillId="2" borderId="1" xfId="0" applyNumberFormat="1" applyFont="1" applyFill="1" applyBorder="1" applyAlignment="1">
      <alignment horizontal="right" wrapText="1"/>
    </xf>
    <xf numFmtId="14" fontId="0" fillId="0" borderId="5" xfId="0" applyNumberFormat="1" applyBorder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4" xfId="0" applyBorder="1" applyAlignment="1">
      <alignment horizontal="center"/>
    </xf>
    <xf numFmtId="14" fontId="0" fillId="0" borderId="4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11" xfId="0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2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</cellXfs>
  <cellStyles count="2">
    <cellStyle name="Normal" xfId="0" builtinId="0"/>
    <cellStyle name="Normal 3" xfId="1" xr:uid="{CE10D387-A21B-4275-A4B5-4DAA70E45A1D}"/>
  </cellStyles>
  <dxfs count="14">
    <dxf>
      <numFmt numFmtId="164" formatCode="0.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257175</xdr:colOff>
      <xdr:row>0</xdr:row>
      <xdr:rowOff>66675</xdr:rowOff>
    </xdr:from>
    <xdr:to>
      <xdr:col>18</xdr:col>
      <xdr:colOff>324166</xdr:colOff>
      <xdr:row>3</xdr:row>
      <xdr:rowOff>114389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A4CB5C6-A708-B319-C051-54EAE89C7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34725" y="66675"/>
          <a:ext cx="2267266" cy="6382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9b36fbf3b0d57c59/D&#211;LAR%20SINT&#201;TICO%20FEVEREIRO%202024.xlsm" TargetMode="External"/><Relationship Id="rId1" Type="http://schemas.openxmlformats.org/officeDocument/2006/relationships/externalLinkPath" Target="/9b36fbf3b0d57c59/D&#211;LAR%20SINT&#201;TICO%20FEVEREIRO%20202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ráfico1"/>
      <sheetName val="Gráfico2"/>
      <sheetName val="Dolar"/>
      <sheetName val="Planilha1"/>
      <sheetName val="Planilha2"/>
      <sheetName val="feriad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>
            <v>36892</v>
          </cell>
        </row>
        <row r="3">
          <cell r="A3">
            <v>36948</v>
          </cell>
        </row>
        <row r="4">
          <cell r="A4">
            <v>36949</v>
          </cell>
        </row>
        <row r="5">
          <cell r="A5">
            <v>36994</v>
          </cell>
        </row>
        <row r="6">
          <cell r="A6">
            <v>37002</v>
          </cell>
        </row>
        <row r="7">
          <cell r="A7">
            <v>37012</v>
          </cell>
        </row>
        <row r="8">
          <cell r="A8">
            <v>37056</v>
          </cell>
        </row>
        <row r="9">
          <cell r="A9">
            <v>37141</v>
          </cell>
        </row>
        <row r="10">
          <cell r="A10">
            <v>37176</v>
          </cell>
        </row>
        <row r="11">
          <cell r="A11">
            <v>37197</v>
          </cell>
        </row>
        <row r="12">
          <cell r="A12">
            <v>37210</v>
          </cell>
        </row>
        <row r="13">
          <cell r="A13">
            <v>37250</v>
          </cell>
        </row>
        <row r="14">
          <cell r="A14">
            <v>37257</v>
          </cell>
        </row>
        <row r="15">
          <cell r="A15">
            <v>37298</v>
          </cell>
        </row>
        <row r="16">
          <cell r="A16">
            <v>37299</v>
          </cell>
        </row>
        <row r="17">
          <cell r="A17">
            <v>37344</v>
          </cell>
        </row>
        <row r="18">
          <cell r="A18">
            <v>37367</v>
          </cell>
        </row>
        <row r="19">
          <cell r="A19">
            <v>37377</v>
          </cell>
        </row>
        <row r="20">
          <cell r="A20">
            <v>37406</v>
          </cell>
        </row>
        <row r="21">
          <cell r="A21">
            <v>37506</v>
          </cell>
        </row>
        <row r="22">
          <cell r="A22">
            <v>37541</v>
          </cell>
        </row>
        <row r="23">
          <cell r="A23">
            <v>37562</v>
          </cell>
        </row>
        <row r="24">
          <cell r="A24">
            <v>37575</v>
          </cell>
        </row>
        <row r="25">
          <cell r="A25">
            <v>37615</v>
          </cell>
        </row>
        <row r="26">
          <cell r="A26">
            <v>37622</v>
          </cell>
        </row>
        <row r="27">
          <cell r="A27">
            <v>37683</v>
          </cell>
        </row>
        <row r="28">
          <cell r="A28">
            <v>37684</v>
          </cell>
        </row>
        <row r="29">
          <cell r="A29">
            <v>37729</v>
          </cell>
        </row>
        <row r="30">
          <cell r="A30">
            <v>37732</v>
          </cell>
        </row>
        <row r="31">
          <cell r="A31">
            <v>37742</v>
          </cell>
        </row>
        <row r="32">
          <cell r="A32">
            <v>37791</v>
          </cell>
        </row>
        <row r="33">
          <cell r="A33">
            <v>37871</v>
          </cell>
        </row>
        <row r="34">
          <cell r="A34">
            <v>37906</v>
          </cell>
        </row>
        <row r="35">
          <cell r="A35">
            <v>37927</v>
          </cell>
        </row>
        <row r="36">
          <cell r="A36">
            <v>37940</v>
          </cell>
        </row>
        <row r="37">
          <cell r="A37">
            <v>37980</v>
          </cell>
        </row>
        <row r="38">
          <cell r="A38">
            <v>37987</v>
          </cell>
        </row>
        <row r="39">
          <cell r="A39">
            <v>38040</v>
          </cell>
        </row>
        <row r="40">
          <cell r="A40">
            <v>38041</v>
          </cell>
        </row>
        <row r="41">
          <cell r="A41">
            <v>38086</v>
          </cell>
        </row>
        <row r="42">
          <cell r="A42">
            <v>38098</v>
          </cell>
        </row>
        <row r="43">
          <cell r="A43">
            <v>38108</v>
          </cell>
        </row>
        <row r="44">
          <cell r="A44">
            <v>38148</v>
          </cell>
        </row>
        <row r="45">
          <cell r="A45">
            <v>38237</v>
          </cell>
        </row>
        <row r="46">
          <cell r="A46">
            <v>38272</v>
          </cell>
        </row>
        <row r="47">
          <cell r="A47">
            <v>38293</v>
          </cell>
        </row>
        <row r="48">
          <cell r="A48">
            <v>38306</v>
          </cell>
        </row>
        <row r="49">
          <cell r="A49">
            <v>38346</v>
          </cell>
        </row>
        <row r="50">
          <cell r="A50">
            <v>38353</v>
          </cell>
        </row>
        <row r="51">
          <cell r="A51">
            <v>38390</v>
          </cell>
        </row>
        <row r="52">
          <cell r="A52">
            <v>38391</v>
          </cell>
        </row>
        <row r="53">
          <cell r="A53">
            <v>38436</v>
          </cell>
        </row>
        <row r="54">
          <cell r="A54">
            <v>38463</v>
          </cell>
        </row>
        <row r="55">
          <cell r="A55">
            <v>38473</v>
          </cell>
        </row>
        <row r="56">
          <cell r="A56">
            <v>38498</v>
          </cell>
        </row>
        <row r="57">
          <cell r="A57">
            <v>38602</v>
          </cell>
        </row>
        <row r="58">
          <cell r="A58">
            <v>38637</v>
          </cell>
        </row>
        <row r="59">
          <cell r="A59">
            <v>38658</v>
          </cell>
        </row>
        <row r="60">
          <cell r="A60">
            <v>38671</v>
          </cell>
        </row>
        <row r="61">
          <cell r="A61">
            <v>38711</v>
          </cell>
        </row>
        <row r="62">
          <cell r="A62">
            <v>38718</v>
          </cell>
        </row>
        <row r="63">
          <cell r="A63">
            <v>38775</v>
          </cell>
        </row>
        <row r="64">
          <cell r="A64">
            <v>38776</v>
          </cell>
        </row>
        <row r="65">
          <cell r="A65">
            <v>38821</v>
          </cell>
        </row>
        <row r="66">
          <cell r="A66">
            <v>38828</v>
          </cell>
        </row>
        <row r="67">
          <cell r="A67">
            <v>38838</v>
          </cell>
        </row>
        <row r="68">
          <cell r="A68">
            <v>38883</v>
          </cell>
        </row>
        <row r="69">
          <cell r="A69">
            <v>38967</v>
          </cell>
        </row>
        <row r="70">
          <cell r="A70">
            <v>39002</v>
          </cell>
        </row>
        <row r="71">
          <cell r="A71">
            <v>39023</v>
          </cell>
        </row>
        <row r="72">
          <cell r="A72">
            <v>39036</v>
          </cell>
        </row>
        <row r="73">
          <cell r="A73">
            <v>39076</v>
          </cell>
        </row>
        <row r="74">
          <cell r="A74">
            <v>39083</v>
          </cell>
        </row>
        <row r="75">
          <cell r="A75">
            <v>39132</v>
          </cell>
        </row>
        <row r="76">
          <cell r="A76">
            <v>39133</v>
          </cell>
        </row>
        <row r="77">
          <cell r="A77">
            <v>39178</v>
          </cell>
        </row>
        <row r="78">
          <cell r="A78">
            <v>39193</v>
          </cell>
        </row>
        <row r="79">
          <cell r="A79">
            <v>39203</v>
          </cell>
        </row>
        <row r="80">
          <cell r="A80">
            <v>39240</v>
          </cell>
        </row>
        <row r="81">
          <cell r="A81">
            <v>39332</v>
          </cell>
        </row>
        <row r="82">
          <cell r="A82">
            <v>39367</v>
          </cell>
        </row>
        <row r="83">
          <cell r="A83">
            <v>39388</v>
          </cell>
        </row>
        <row r="84">
          <cell r="A84">
            <v>39401</v>
          </cell>
        </row>
        <row r="85">
          <cell r="A85">
            <v>39441</v>
          </cell>
        </row>
        <row r="86">
          <cell r="A86">
            <v>39448</v>
          </cell>
        </row>
        <row r="87">
          <cell r="A87">
            <v>39482</v>
          </cell>
        </row>
        <row r="88">
          <cell r="A88">
            <v>39483</v>
          </cell>
        </row>
        <row r="89">
          <cell r="A89">
            <v>39528</v>
          </cell>
        </row>
        <row r="90">
          <cell r="A90">
            <v>39559</v>
          </cell>
        </row>
        <row r="91">
          <cell r="A91">
            <v>39569</v>
          </cell>
        </row>
        <row r="92">
          <cell r="A92">
            <v>39590</v>
          </cell>
        </row>
        <row r="93">
          <cell r="A93">
            <v>39698</v>
          </cell>
        </row>
        <row r="94">
          <cell r="A94">
            <v>39733</v>
          </cell>
        </row>
        <row r="95">
          <cell r="A95">
            <v>39754</v>
          </cell>
        </row>
        <row r="96">
          <cell r="A96">
            <v>39767</v>
          </cell>
        </row>
        <row r="97">
          <cell r="A97">
            <v>39807</v>
          </cell>
        </row>
        <row r="98">
          <cell r="A98">
            <v>39814</v>
          </cell>
        </row>
        <row r="99">
          <cell r="A99">
            <v>39867</v>
          </cell>
        </row>
        <row r="100">
          <cell r="A100">
            <v>39868</v>
          </cell>
        </row>
        <row r="101">
          <cell r="A101">
            <v>39913</v>
          </cell>
        </row>
        <row r="102">
          <cell r="A102">
            <v>39924</v>
          </cell>
        </row>
        <row r="103">
          <cell r="A103">
            <v>39934</v>
          </cell>
        </row>
        <row r="104">
          <cell r="A104">
            <v>39975</v>
          </cell>
        </row>
        <row r="105">
          <cell r="A105">
            <v>40063</v>
          </cell>
        </row>
        <row r="106">
          <cell r="A106">
            <v>40098</v>
          </cell>
        </row>
        <row r="107">
          <cell r="A107">
            <v>40119</v>
          </cell>
        </row>
        <row r="108">
          <cell r="A108">
            <v>40132</v>
          </cell>
        </row>
        <row r="109">
          <cell r="A109">
            <v>40172</v>
          </cell>
        </row>
        <row r="110">
          <cell r="A110">
            <v>40179</v>
          </cell>
        </row>
        <row r="111">
          <cell r="A111">
            <v>40224</v>
          </cell>
        </row>
        <row r="112">
          <cell r="A112">
            <v>40225</v>
          </cell>
        </row>
        <row r="113">
          <cell r="A113">
            <v>40270</v>
          </cell>
        </row>
        <row r="114">
          <cell r="A114">
            <v>40289</v>
          </cell>
        </row>
        <row r="115">
          <cell r="A115">
            <v>40299</v>
          </cell>
        </row>
        <row r="116">
          <cell r="A116">
            <v>40332</v>
          </cell>
        </row>
        <row r="117">
          <cell r="A117">
            <v>40428</v>
          </cell>
        </row>
        <row r="118">
          <cell r="A118">
            <v>40463</v>
          </cell>
        </row>
        <row r="119">
          <cell r="A119">
            <v>40484</v>
          </cell>
        </row>
        <row r="120">
          <cell r="A120">
            <v>40497</v>
          </cell>
        </row>
        <row r="121">
          <cell r="A121">
            <v>40537</v>
          </cell>
        </row>
        <row r="122">
          <cell r="A122">
            <v>40544</v>
          </cell>
        </row>
        <row r="123">
          <cell r="A123">
            <v>40609</v>
          </cell>
        </row>
        <row r="124">
          <cell r="A124">
            <v>40610</v>
          </cell>
        </row>
        <row r="125">
          <cell r="A125">
            <v>40654</v>
          </cell>
        </row>
        <row r="126">
          <cell r="A126">
            <v>40655</v>
          </cell>
        </row>
        <row r="127">
          <cell r="A127">
            <v>40664</v>
          </cell>
        </row>
        <row r="128">
          <cell r="A128">
            <v>40717</v>
          </cell>
        </row>
        <row r="129">
          <cell r="A129">
            <v>40793</v>
          </cell>
        </row>
        <row r="130">
          <cell r="A130">
            <v>40828</v>
          </cell>
        </row>
        <row r="131">
          <cell r="A131">
            <v>40849</v>
          </cell>
        </row>
        <row r="132">
          <cell r="A132">
            <v>40862</v>
          </cell>
        </row>
        <row r="133">
          <cell r="A133">
            <v>40902</v>
          </cell>
        </row>
        <row r="134">
          <cell r="A134">
            <v>40909</v>
          </cell>
        </row>
        <row r="135">
          <cell r="A135">
            <v>40959</v>
          </cell>
        </row>
        <row r="136">
          <cell r="A136">
            <v>40960</v>
          </cell>
        </row>
        <row r="137">
          <cell r="A137">
            <v>41005</v>
          </cell>
        </row>
        <row r="138">
          <cell r="A138">
            <v>41020</v>
          </cell>
        </row>
        <row r="139">
          <cell r="A139">
            <v>41030</v>
          </cell>
        </row>
        <row r="140">
          <cell r="A140">
            <v>41067</v>
          </cell>
        </row>
        <row r="141">
          <cell r="A141">
            <v>41159</v>
          </cell>
        </row>
        <row r="142">
          <cell r="A142">
            <v>41194</v>
          </cell>
        </row>
        <row r="143">
          <cell r="A143">
            <v>41215</v>
          </cell>
        </row>
        <row r="144">
          <cell r="A144">
            <v>41228</v>
          </cell>
        </row>
        <row r="145">
          <cell r="A145">
            <v>41268</v>
          </cell>
        </row>
        <row r="146">
          <cell r="A146">
            <v>41275</v>
          </cell>
        </row>
        <row r="147">
          <cell r="A147">
            <v>41316</v>
          </cell>
        </row>
        <row r="148">
          <cell r="A148">
            <v>41317</v>
          </cell>
        </row>
        <row r="149">
          <cell r="A149">
            <v>41362</v>
          </cell>
        </row>
        <row r="150">
          <cell r="A150">
            <v>41385</v>
          </cell>
        </row>
        <row r="151">
          <cell r="A151">
            <v>41395</v>
          </cell>
        </row>
        <row r="152">
          <cell r="A152">
            <v>41424</v>
          </cell>
        </row>
        <row r="153">
          <cell r="A153">
            <v>41524</v>
          </cell>
        </row>
        <row r="154">
          <cell r="A154">
            <v>41559</v>
          </cell>
        </row>
        <row r="155">
          <cell r="A155">
            <v>41580</v>
          </cell>
        </row>
        <row r="156">
          <cell r="A156">
            <v>41593</v>
          </cell>
        </row>
        <row r="157">
          <cell r="A157">
            <v>41633</v>
          </cell>
        </row>
        <row r="158">
          <cell r="A158">
            <v>41640</v>
          </cell>
        </row>
        <row r="159">
          <cell r="A159">
            <v>41701</v>
          </cell>
        </row>
        <row r="160">
          <cell r="A160">
            <v>41702</v>
          </cell>
        </row>
        <row r="161">
          <cell r="A161">
            <v>41747</v>
          </cell>
        </row>
        <row r="162">
          <cell r="A162">
            <v>41750</v>
          </cell>
        </row>
        <row r="163">
          <cell r="A163">
            <v>41760</v>
          </cell>
        </row>
        <row r="164">
          <cell r="A164">
            <v>41809</v>
          </cell>
        </row>
        <row r="165">
          <cell r="A165">
            <v>41889</v>
          </cell>
        </row>
        <row r="166">
          <cell r="A166">
            <v>41924</v>
          </cell>
        </row>
        <row r="167">
          <cell r="A167">
            <v>41945</v>
          </cell>
        </row>
        <row r="168">
          <cell r="A168">
            <v>41958</v>
          </cell>
        </row>
        <row r="169">
          <cell r="A169">
            <v>41998</v>
          </cell>
        </row>
        <row r="170">
          <cell r="A170">
            <v>42005</v>
          </cell>
        </row>
        <row r="171">
          <cell r="A171">
            <v>42051</v>
          </cell>
        </row>
        <row r="172">
          <cell r="A172">
            <v>42052</v>
          </cell>
        </row>
        <row r="173">
          <cell r="A173">
            <v>42097</v>
          </cell>
        </row>
        <row r="174">
          <cell r="A174">
            <v>42115</v>
          </cell>
        </row>
        <row r="175">
          <cell r="A175">
            <v>42125</v>
          </cell>
        </row>
        <row r="176">
          <cell r="A176">
            <v>42159</v>
          </cell>
        </row>
        <row r="177">
          <cell r="A177">
            <v>42254</v>
          </cell>
        </row>
        <row r="178">
          <cell r="A178">
            <v>42289</v>
          </cell>
        </row>
        <row r="179">
          <cell r="A179">
            <v>42310</v>
          </cell>
        </row>
        <row r="180">
          <cell r="A180">
            <v>42323</v>
          </cell>
        </row>
        <row r="181">
          <cell r="A181">
            <v>42363</v>
          </cell>
        </row>
        <row r="182">
          <cell r="A182">
            <v>42370</v>
          </cell>
        </row>
        <row r="183">
          <cell r="A183">
            <v>42408</v>
          </cell>
        </row>
        <row r="184">
          <cell r="A184">
            <v>42409</v>
          </cell>
        </row>
        <row r="185">
          <cell r="A185">
            <v>42454</v>
          </cell>
        </row>
        <row r="186">
          <cell r="A186">
            <v>42481</v>
          </cell>
        </row>
        <row r="187">
          <cell r="A187">
            <v>42491</v>
          </cell>
        </row>
        <row r="188">
          <cell r="A188">
            <v>42516</v>
          </cell>
        </row>
        <row r="189">
          <cell r="A189">
            <v>42620</v>
          </cell>
        </row>
        <row r="190">
          <cell r="A190">
            <v>42655</v>
          </cell>
        </row>
        <row r="191">
          <cell r="A191">
            <v>42676</v>
          </cell>
        </row>
        <row r="192">
          <cell r="A192">
            <v>42689</v>
          </cell>
        </row>
        <row r="193">
          <cell r="A193">
            <v>42729</v>
          </cell>
        </row>
        <row r="194">
          <cell r="A194">
            <v>42736</v>
          </cell>
        </row>
        <row r="195">
          <cell r="A195">
            <v>42793</v>
          </cell>
        </row>
        <row r="196">
          <cell r="A196">
            <v>42794</v>
          </cell>
        </row>
        <row r="197">
          <cell r="A197">
            <v>42839</v>
          </cell>
        </row>
        <row r="198">
          <cell r="A198">
            <v>42846</v>
          </cell>
        </row>
        <row r="199">
          <cell r="A199">
            <v>42856</v>
          </cell>
        </row>
        <row r="200">
          <cell r="A200">
            <v>42901</v>
          </cell>
        </row>
        <row r="201">
          <cell r="A201">
            <v>42985</v>
          </cell>
        </row>
        <row r="202">
          <cell r="A202">
            <v>43020</v>
          </cell>
        </row>
        <row r="203">
          <cell r="A203">
            <v>43041</v>
          </cell>
        </row>
        <row r="204">
          <cell r="A204">
            <v>43054</v>
          </cell>
        </row>
        <row r="205">
          <cell r="A205">
            <v>43094</v>
          </cell>
        </row>
        <row r="206">
          <cell r="A206">
            <v>43101</v>
          </cell>
        </row>
        <row r="207">
          <cell r="A207">
            <v>43143</v>
          </cell>
        </row>
        <row r="208">
          <cell r="A208">
            <v>43144</v>
          </cell>
        </row>
        <row r="209">
          <cell r="A209">
            <v>43189</v>
          </cell>
        </row>
        <row r="210">
          <cell r="A210">
            <v>43211</v>
          </cell>
        </row>
        <row r="211">
          <cell r="A211">
            <v>43221</v>
          </cell>
        </row>
        <row r="212">
          <cell r="A212">
            <v>43251</v>
          </cell>
        </row>
        <row r="213">
          <cell r="A213">
            <v>43350</v>
          </cell>
        </row>
        <row r="214">
          <cell r="A214">
            <v>43385</v>
          </cell>
        </row>
        <row r="215">
          <cell r="A215">
            <v>43406</v>
          </cell>
        </row>
        <row r="216">
          <cell r="A216">
            <v>43419</v>
          </cell>
        </row>
        <row r="217">
          <cell r="A217">
            <v>43459</v>
          </cell>
        </row>
        <row r="218">
          <cell r="A218">
            <v>43466</v>
          </cell>
        </row>
        <row r="219">
          <cell r="A219">
            <v>43528</v>
          </cell>
        </row>
        <row r="220">
          <cell r="A220">
            <v>43529</v>
          </cell>
        </row>
        <row r="221">
          <cell r="A221">
            <v>43574</v>
          </cell>
        </row>
        <row r="222">
          <cell r="A222">
            <v>43576</v>
          </cell>
        </row>
        <row r="223">
          <cell r="A223">
            <v>43586</v>
          </cell>
        </row>
        <row r="224">
          <cell r="A224">
            <v>43636</v>
          </cell>
        </row>
        <row r="225">
          <cell r="A225">
            <v>43715</v>
          </cell>
        </row>
        <row r="226">
          <cell r="A226">
            <v>43750</v>
          </cell>
        </row>
        <row r="227">
          <cell r="A227">
            <v>43771</v>
          </cell>
        </row>
        <row r="228">
          <cell r="A228">
            <v>43784</v>
          </cell>
        </row>
        <row r="229">
          <cell r="A229">
            <v>43824</v>
          </cell>
        </row>
        <row r="230">
          <cell r="A230">
            <v>43831</v>
          </cell>
        </row>
        <row r="231">
          <cell r="A231">
            <v>43885</v>
          </cell>
        </row>
        <row r="232">
          <cell r="A232">
            <v>43886</v>
          </cell>
        </row>
        <row r="233">
          <cell r="A233">
            <v>43931</v>
          </cell>
        </row>
        <row r="234">
          <cell r="A234">
            <v>43942</v>
          </cell>
        </row>
        <row r="235">
          <cell r="A235">
            <v>43952</v>
          </cell>
        </row>
        <row r="236">
          <cell r="A236">
            <v>43993</v>
          </cell>
        </row>
        <row r="237">
          <cell r="A237">
            <v>44081</v>
          </cell>
        </row>
        <row r="238">
          <cell r="A238">
            <v>44116</v>
          </cell>
        </row>
        <row r="239">
          <cell r="A239">
            <v>44137</v>
          </cell>
        </row>
        <row r="240">
          <cell r="A240">
            <v>44150</v>
          </cell>
        </row>
        <row r="241">
          <cell r="A241">
            <v>44190</v>
          </cell>
        </row>
        <row r="242">
          <cell r="A242">
            <v>44197</v>
          </cell>
        </row>
        <row r="243">
          <cell r="A243">
            <v>44242</v>
          </cell>
        </row>
        <row r="244">
          <cell r="A244">
            <v>44243</v>
          </cell>
        </row>
        <row r="245">
          <cell r="A245">
            <v>44288</v>
          </cell>
        </row>
        <row r="246">
          <cell r="A246">
            <v>44307</v>
          </cell>
        </row>
        <row r="247">
          <cell r="A247">
            <v>44317</v>
          </cell>
        </row>
        <row r="248">
          <cell r="A248">
            <v>44350</v>
          </cell>
        </row>
        <row r="249">
          <cell r="A249">
            <v>44446</v>
          </cell>
        </row>
        <row r="250">
          <cell r="A250">
            <v>44481</v>
          </cell>
        </row>
        <row r="251">
          <cell r="A251">
            <v>44502</v>
          </cell>
        </row>
        <row r="252">
          <cell r="A252">
            <v>44515</v>
          </cell>
        </row>
        <row r="253">
          <cell r="A253">
            <v>44555</v>
          </cell>
        </row>
        <row r="254">
          <cell r="A254">
            <v>44562</v>
          </cell>
        </row>
        <row r="255">
          <cell r="A255">
            <v>44620</v>
          </cell>
        </row>
        <row r="256">
          <cell r="A256">
            <v>44621</v>
          </cell>
        </row>
        <row r="257">
          <cell r="A257">
            <v>44666</v>
          </cell>
        </row>
        <row r="258">
          <cell r="A258">
            <v>44672</v>
          </cell>
        </row>
        <row r="259">
          <cell r="A259">
            <v>44682</v>
          </cell>
        </row>
        <row r="260">
          <cell r="A260">
            <v>44728</v>
          </cell>
        </row>
        <row r="261">
          <cell r="A261">
            <v>44811</v>
          </cell>
        </row>
        <row r="262">
          <cell r="A262">
            <v>44846</v>
          </cell>
        </row>
        <row r="263">
          <cell r="A263">
            <v>44867</v>
          </cell>
        </row>
        <row r="264">
          <cell r="A264">
            <v>44880</v>
          </cell>
        </row>
        <row r="265">
          <cell r="A265">
            <v>44920</v>
          </cell>
        </row>
        <row r="266">
          <cell r="A266">
            <v>44927</v>
          </cell>
        </row>
        <row r="267">
          <cell r="A267">
            <v>44977</v>
          </cell>
        </row>
        <row r="268">
          <cell r="A268">
            <v>44978</v>
          </cell>
        </row>
        <row r="269">
          <cell r="A269">
            <v>45023</v>
          </cell>
        </row>
        <row r="270">
          <cell r="A270">
            <v>45037</v>
          </cell>
        </row>
        <row r="271">
          <cell r="A271">
            <v>45047</v>
          </cell>
        </row>
        <row r="272">
          <cell r="A272">
            <v>45085</v>
          </cell>
        </row>
        <row r="273">
          <cell r="A273">
            <v>45176</v>
          </cell>
        </row>
        <row r="274">
          <cell r="A274">
            <v>45211</v>
          </cell>
        </row>
        <row r="275">
          <cell r="A275">
            <v>45232</v>
          </cell>
        </row>
        <row r="276">
          <cell r="A276">
            <v>45245</v>
          </cell>
        </row>
        <row r="277">
          <cell r="A277">
            <v>45285</v>
          </cell>
        </row>
        <row r="278">
          <cell r="A278">
            <v>45292</v>
          </cell>
        </row>
        <row r="279">
          <cell r="A279">
            <v>45334</v>
          </cell>
        </row>
        <row r="280">
          <cell r="A280">
            <v>45335</v>
          </cell>
        </row>
        <row r="281">
          <cell r="A281">
            <v>45380</v>
          </cell>
        </row>
        <row r="282">
          <cell r="A282">
            <v>45403</v>
          </cell>
        </row>
        <row r="283">
          <cell r="A283">
            <v>45413</v>
          </cell>
        </row>
        <row r="284">
          <cell r="A284">
            <v>45442</v>
          </cell>
        </row>
        <row r="285">
          <cell r="A285">
            <v>45542</v>
          </cell>
        </row>
        <row r="286">
          <cell r="A286">
            <v>45577</v>
          </cell>
        </row>
        <row r="287">
          <cell r="A287">
            <v>45598</v>
          </cell>
        </row>
        <row r="288">
          <cell r="A288">
            <v>45611</v>
          </cell>
        </row>
        <row r="289">
          <cell r="A289">
            <v>45651</v>
          </cell>
        </row>
        <row r="290">
          <cell r="A290">
            <v>45658</v>
          </cell>
        </row>
        <row r="291">
          <cell r="A291">
            <v>45719</v>
          </cell>
        </row>
        <row r="292">
          <cell r="A292">
            <v>45720</v>
          </cell>
        </row>
        <row r="293">
          <cell r="A293">
            <v>45765</v>
          </cell>
        </row>
        <row r="294">
          <cell r="A294">
            <v>45768</v>
          </cell>
        </row>
        <row r="295">
          <cell r="A295">
            <v>45778</v>
          </cell>
        </row>
        <row r="296">
          <cell r="A296">
            <v>45827</v>
          </cell>
        </row>
        <row r="297">
          <cell r="A297">
            <v>45907</v>
          </cell>
        </row>
        <row r="298">
          <cell r="A298">
            <v>45942</v>
          </cell>
        </row>
        <row r="299">
          <cell r="A299">
            <v>45963</v>
          </cell>
        </row>
        <row r="300">
          <cell r="A300">
            <v>45976</v>
          </cell>
        </row>
        <row r="301">
          <cell r="A301">
            <v>46016</v>
          </cell>
        </row>
        <row r="302">
          <cell r="A302">
            <v>46023</v>
          </cell>
        </row>
        <row r="303">
          <cell r="A303">
            <v>46069</v>
          </cell>
        </row>
        <row r="304">
          <cell r="A304">
            <v>46070</v>
          </cell>
        </row>
        <row r="305">
          <cell r="A305">
            <v>46115</v>
          </cell>
        </row>
        <row r="306">
          <cell r="A306">
            <v>46133</v>
          </cell>
        </row>
        <row r="307">
          <cell r="A307">
            <v>46143</v>
          </cell>
        </row>
        <row r="308">
          <cell r="A308">
            <v>46177</v>
          </cell>
        </row>
        <row r="309">
          <cell r="A309">
            <v>46272</v>
          </cell>
        </row>
        <row r="310">
          <cell r="A310">
            <v>46307</v>
          </cell>
        </row>
        <row r="311">
          <cell r="A311">
            <v>46328</v>
          </cell>
        </row>
        <row r="312">
          <cell r="A312">
            <v>46341</v>
          </cell>
        </row>
        <row r="313">
          <cell r="A313">
            <v>46381</v>
          </cell>
        </row>
        <row r="314">
          <cell r="A314">
            <v>46388</v>
          </cell>
        </row>
        <row r="315">
          <cell r="A315">
            <v>46426</v>
          </cell>
        </row>
        <row r="316">
          <cell r="A316">
            <v>46427</v>
          </cell>
        </row>
        <row r="317">
          <cell r="A317">
            <v>46472</v>
          </cell>
        </row>
        <row r="318">
          <cell r="A318">
            <v>46498</v>
          </cell>
        </row>
        <row r="319">
          <cell r="A319">
            <v>46508</v>
          </cell>
        </row>
        <row r="320">
          <cell r="A320">
            <v>46534</v>
          </cell>
        </row>
        <row r="321">
          <cell r="A321">
            <v>46637</v>
          </cell>
        </row>
        <row r="322">
          <cell r="A322">
            <v>46672</v>
          </cell>
        </row>
        <row r="323">
          <cell r="A323">
            <v>46693</v>
          </cell>
        </row>
        <row r="324">
          <cell r="A324">
            <v>46706</v>
          </cell>
        </row>
        <row r="325">
          <cell r="A325">
            <v>46746</v>
          </cell>
        </row>
        <row r="326">
          <cell r="A326">
            <v>46753</v>
          </cell>
        </row>
        <row r="327">
          <cell r="A327">
            <v>46811</v>
          </cell>
        </row>
        <row r="328">
          <cell r="A328">
            <v>46812</v>
          </cell>
        </row>
        <row r="329">
          <cell r="A329">
            <v>46857</v>
          </cell>
        </row>
        <row r="330">
          <cell r="A330">
            <v>46864</v>
          </cell>
        </row>
        <row r="331">
          <cell r="A331">
            <v>46874</v>
          </cell>
        </row>
        <row r="332">
          <cell r="A332">
            <v>46919</v>
          </cell>
        </row>
        <row r="333">
          <cell r="A333">
            <v>47003</v>
          </cell>
        </row>
        <row r="334">
          <cell r="A334">
            <v>47038</v>
          </cell>
        </row>
        <row r="335">
          <cell r="A335">
            <v>47059</v>
          </cell>
        </row>
        <row r="336">
          <cell r="A336">
            <v>47072</v>
          </cell>
        </row>
        <row r="337">
          <cell r="A337">
            <v>47112</v>
          </cell>
        </row>
        <row r="338">
          <cell r="A338">
            <v>47119</v>
          </cell>
        </row>
        <row r="339">
          <cell r="A339">
            <v>47161</v>
          </cell>
        </row>
        <row r="340">
          <cell r="A340">
            <v>47162</v>
          </cell>
        </row>
        <row r="341">
          <cell r="A341">
            <v>47207</v>
          </cell>
        </row>
        <row r="342">
          <cell r="A342">
            <v>47229</v>
          </cell>
        </row>
        <row r="343">
          <cell r="A343">
            <v>47239</v>
          </cell>
        </row>
        <row r="344">
          <cell r="A344">
            <v>47269</v>
          </cell>
        </row>
        <row r="345">
          <cell r="A345">
            <v>47368</v>
          </cell>
        </row>
        <row r="346">
          <cell r="A346">
            <v>47403</v>
          </cell>
        </row>
        <row r="347">
          <cell r="A347">
            <v>47424</v>
          </cell>
        </row>
        <row r="348">
          <cell r="A348">
            <v>47437</v>
          </cell>
        </row>
        <row r="349">
          <cell r="A349">
            <v>47477</v>
          </cell>
        </row>
        <row r="350">
          <cell r="A350">
            <v>47484</v>
          </cell>
        </row>
        <row r="351">
          <cell r="A351">
            <v>47546</v>
          </cell>
        </row>
        <row r="352">
          <cell r="A352">
            <v>47547</v>
          </cell>
        </row>
        <row r="353">
          <cell r="A353">
            <v>47592</v>
          </cell>
        </row>
        <row r="354">
          <cell r="A354">
            <v>47594</v>
          </cell>
        </row>
        <row r="355">
          <cell r="A355">
            <v>47604</v>
          </cell>
        </row>
        <row r="356">
          <cell r="A356">
            <v>47654</v>
          </cell>
        </row>
        <row r="357">
          <cell r="A357">
            <v>47733</v>
          </cell>
        </row>
        <row r="358">
          <cell r="A358">
            <v>47768</v>
          </cell>
        </row>
        <row r="359">
          <cell r="A359">
            <v>47789</v>
          </cell>
        </row>
        <row r="360">
          <cell r="A360">
            <v>47802</v>
          </cell>
        </row>
        <row r="361">
          <cell r="A361">
            <v>47842</v>
          </cell>
        </row>
        <row r="362">
          <cell r="A362">
            <v>47849</v>
          </cell>
        </row>
        <row r="363">
          <cell r="A363">
            <v>47903</v>
          </cell>
        </row>
        <row r="364">
          <cell r="A364">
            <v>47904</v>
          </cell>
        </row>
        <row r="365">
          <cell r="A365">
            <v>47949</v>
          </cell>
        </row>
        <row r="366">
          <cell r="A366">
            <v>47959</v>
          </cell>
        </row>
        <row r="367">
          <cell r="A367">
            <v>47969</v>
          </cell>
        </row>
        <row r="368">
          <cell r="A368">
            <v>48011</v>
          </cell>
        </row>
        <row r="369">
          <cell r="A369">
            <v>48098</v>
          </cell>
        </row>
        <row r="370">
          <cell r="A370">
            <v>48133</v>
          </cell>
        </row>
        <row r="371">
          <cell r="A371">
            <v>48154</v>
          </cell>
        </row>
        <row r="372">
          <cell r="A372">
            <v>48167</v>
          </cell>
        </row>
        <row r="373">
          <cell r="A373">
            <v>48207</v>
          </cell>
        </row>
        <row r="374">
          <cell r="A374">
            <v>48214</v>
          </cell>
        </row>
        <row r="375">
          <cell r="A375">
            <v>48253</v>
          </cell>
        </row>
        <row r="376">
          <cell r="A376">
            <v>48254</v>
          </cell>
        </row>
        <row r="377">
          <cell r="A377">
            <v>48299</v>
          </cell>
        </row>
        <row r="378">
          <cell r="A378">
            <v>48325</v>
          </cell>
        </row>
        <row r="379">
          <cell r="A379">
            <v>48335</v>
          </cell>
        </row>
        <row r="380">
          <cell r="A380">
            <v>48361</v>
          </cell>
        </row>
        <row r="381">
          <cell r="A381">
            <v>48464</v>
          </cell>
        </row>
        <row r="382">
          <cell r="A382">
            <v>48499</v>
          </cell>
        </row>
        <row r="383">
          <cell r="A383">
            <v>48520</v>
          </cell>
        </row>
        <row r="384">
          <cell r="A384">
            <v>48533</v>
          </cell>
        </row>
        <row r="385">
          <cell r="A385">
            <v>48573</v>
          </cell>
        </row>
        <row r="386">
          <cell r="A386">
            <v>48580</v>
          </cell>
        </row>
        <row r="387">
          <cell r="A387">
            <v>48638</v>
          </cell>
        </row>
        <row r="388">
          <cell r="A388">
            <v>48639</v>
          </cell>
        </row>
        <row r="389">
          <cell r="A389">
            <v>48684</v>
          </cell>
        </row>
        <row r="390">
          <cell r="A390">
            <v>48690</v>
          </cell>
        </row>
        <row r="391">
          <cell r="A391">
            <v>48700</v>
          </cell>
        </row>
        <row r="392">
          <cell r="A392">
            <v>48746</v>
          </cell>
        </row>
        <row r="393">
          <cell r="A393">
            <v>48829</v>
          </cell>
        </row>
        <row r="394">
          <cell r="A394">
            <v>48864</v>
          </cell>
        </row>
        <row r="395">
          <cell r="A395">
            <v>48885</v>
          </cell>
        </row>
        <row r="396">
          <cell r="A396">
            <v>48898</v>
          </cell>
        </row>
        <row r="397">
          <cell r="A397">
            <v>48938</v>
          </cell>
        </row>
        <row r="398">
          <cell r="A398">
            <v>48945</v>
          </cell>
        </row>
        <row r="399">
          <cell r="A399">
            <v>48995</v>
          </cell>
        </row>
        <row r="400">
          <cell r="A400">
            <v>48996</v>
          </cell>
        </row>
        <row r="401">
          <cell r="A401">
            <v>49041</v>
          </cell>
        </row>
        <row r="402">
          <cell r="A402">
            <v>49055</v>
          </cell>
        </row>
        <row r="403">
          <cell r="A403">
            <v>49065</v>
          </cell>
        </row>
        <row r="404">
          <cell r="A404">
            <v>49103</v>
          </cell>
        </row>
        <row r="405">
          <cell r="A405">
            <v>49194</v>
          </cell>
        </row>
        <row r="406">
          <cell r="A406">
            <v>49229</v>
          </cell>
        </row>
        <row r="407">
          <cell r="A407">
            <v>49250</v>
          </cell>
        </row>
        <row r="408">
          <cell r="A408">
            <v>49263</v>
          </cell>
        </row>
        <row r="409">
          <cell r="A409">
            <v>49303</v>
          </cell>
        </row>
        <row r="410">
          <cell r="A410">
            <v>49310</v>
          </cell>
        </row>
        <row r="411">
          <cell r="A411">
            <v>49345</v>
          </cell>
        </row>
        <row r="412">
          <cell r="A412">
            <v>49346</v>
          </cell>
        </row>
        <row r="413">
          <cell r="A413">
            <v>49391</v>
          </cell>
        </row>
        <row r="414">
          <cell r="A414">
            <v>49420</v>
          </cell>
        </row>
        <row r="415">
          <cell r="A415">
            <v>49430</v>
          </cell>
        </row>
        <row r="416">
          <cell r="A416">
            <v>49453</v>
          </cell>
        </row>
        <row r="417">
          <cell r="A417">
            <v>49559</v>
          </cell>
        </row>
        <row r="418">
          <cell r="A418">
            <v>49594</v>
          </cell>
        </row>
        <row r="419">
          <cell r="A419">
            <v>49615</v>
          </cell>
        </row>
        <row r="420">
          <cell r="A420">
            <v>49628</v>
          </cell>
        </row>
        <row r="421">
          <cell r="A421">
            <v>49668</v>
          </cell>
        </row>
        <row r="422">
          <cell r="A422">
            <v>49675</v>
          </cell>
        </row>
        <row r="423">
          <cell r="A423">
            <v>49730</v>
          </cell>
        </row>
        <row r="424">
          <cell r="A424">
            <v>49731</v>
          </cell>
        </row>
        <row r="425">
          <cell r="A425">
            <v>49776</v>
          </cell>
        </row>
        <row r="426">
          <cell r="A426">
            <v>49786</v>
          </cell>
        </row>
        <row r="427">
          <cell r="A427">
            <v>49796</v>
          </cell>
        </row>
        <row r="428">
          <cell r="A428">
            <v>49838</v>
          </cell>
        </row>
        <row r="429">
          <cell r="A429">
            <v>49925</v>
          </cell>
        </row>
        <row r="430">
          <cell r="A430">
            <v>49960</v>
          </cell>
        </row>
        <row r="431">
          <cell r="A431">
            <v>49981</v>
          </cell>
        </row>
        <row r="432">
          <cell r="A432">
            <v>49994</v>
          </cell>
        </row>
        <row r="433">
          <cell r="A433">
            <v>50034</v>
          </cell>
        </row>
        <row r="434">
          <cell r="A434">
            <v>50041</v>
          </cell>
        </row>
        <row r="435">
          <cell r="A435">
            <v>50087</v>
          </cell>
        </row>
        <row r="436">
          <cell r="A436">
            <v>50088</v>
          </cell>
        </row>
        <row r="437">
          <cell r="A437">
            <v>50133</v>
          </cell>
        </row>
        <row r="438">
          <cell r="A438">
            <v>50151</v>
          </cell>
        </row>
        <row r="439">
          <cell r="A439">
            <v>50161</v>
          </cell>
        </row>
        <row r="440">
          <cell r="A440">
            <v>50195</v>
          </cell>
        </row>
        <row r="441">
          <cell r="A441">
            <v>50290</v>
          </cell>
        </row>
        <row r="442">
          <cell r="A442">
            <v>50325</v>
          </cell>
        </row>
        <row r="443">
          <cell r="A443">
            <v>50346</v>
          </cell>
        </row>
        <row r="444">
          <cell r="A444">
            <v>50359</v>
          </cell>
        </row>
        <row r="445">
          <cell r="A445">
            <v>50399</v>
          </cell>
        </row>
        <row r="446">
          <cell r="A446">
            <v>50406</v>
          </cell>
        </row>
        <row r="447">
          <cell r="A447">
            <v>50472</v>
          </cell>
        </row>
        <row r="448">
          <cell r="A448">
            <v>50473</v>
          </cell>
        </row>
        <row r="449">
          <cell r="A449">
            <v>50516</v>
          </cell>
        </row>
        <row r="450">
          <cell r="A450">
            <v>50518</v>
          </cell>
        </row>
        <row r="451">
          <cell r="A451">
            <v>50526</v>
          </cell>
        </row>
        <row r="452">
          <cell r="A452">
            <v>50580</v>
          </cell>
        </row>
        <row r="453">
          <cell r="A453">
            <v>50655</v>
          </cell>
        </row>
        <row r="454">
          <cell r="A454">
            <v>50690</v>
          </cell>
        </row>
        <row r="455">
          <cell r="A455">
            <v>50711</v>
          </cell>
        </row>
        <row r="456">
          <cell r="A456">
            <v>50724</v>
          </cell>
        </row>
        <row r="457">
          <cell r="A457">
            <v>50764</v>
          </cell>
        </row>
        <row r="458">
          <cell r="A458">
            <v>50771</v>
          </cell>
        </row>
        <row r="459">
          <cell r="A459">
            <v>50822</v>
          </cell>
        </row>
        <row r="460">
          <cell r="A460">
            <v>50823</v>
          </cell>
        </row>
        <row r="461">
          <cell r="A461">
            <v>50868</v>
          </cell>
        </row>
        <row r="462">
          <cell r="A462">
            <v>50881</v>
          </cell>
        </row>
        <row r="463">
          <cell r="A463">
            <v>50891</v>
          </cell>
        </row>
        <row r="464">
          <cell r="A464">
            <v>50930</v>
          </cell>
        </row>
        <row r="465">
          <cell r="A465">
            <v>51020</v>
          </cell>
        </row>
        <row r="466">
          <cell r="A466">
            <v>51055</v>
          </cell>
        </row>
        <row r="467">
          <cell r="A467">
            <v>51076</v>
          </cell>
        </row>
        <row r="468">
          <cell r="A468">
            <v>51089</v>
          </cell>
        </row>
        <row r="469">
          <cell r="A469">
            <v>51129</v>
          </cell>
        </row>
        <row r="470">
          <cell r="A470">
            <v>51136</v>
          </cell>
        </row>
        <row r="471">
          <cell r="A471">
            <v>51179</v>
          </cell>
        </row>
        <row r="472">
          <cell r="A472">
            <v>51180</v>
          </cell>
        </row>
        <row r="473">
          <cell r="A473">
            <v>51225</v>
          </cell>
        </row>
        <row r="474">
          <cell r="A474">
            <v>51247</v>
          </cell>
        </row>
        <row r="475">
          <cell r="A475">
            <v>51257</v>
          </cell>
        </row>
        <row r="476">
          <cell r="A476">
            <v>51287</v>
          </cell>
        </row>
        <row r="477">
          <cell r="A477">
            <v>51386</v>
          </cell>
        </row>
        <row r="478">
          <cell r="A478">
            <v>51421</v>
          </cell>
        </row>
        <row r="479">
          <cell r="A479">
            <v>51442</v>
          </cell>
        </row>
        <row r="480">
          <cell r="A480">
            <v>51455</v>
          </cell>
        </row>
        <row r="481">
          <cell r="A481">
            <v>51495</v>
          </cell>
        </row>
        <row r="482">
          <cell r="A482">
            <v>51502</v>
          </cell>
        </row>
        <row r="483">
          <cell r="A483">
            <v>51564</v>
          </cell>
        </row>
        <row r="484">
          <cell r="A484">
            <v>51565</v>
          </cell>
        </row>
        <row r="485">
          <cell r="A485">
            <v>51610</v>
          </cell>
        </row>
        <row r="486">
          <cell r="A486">
            <v>51612</v>
          </cell>
        </row>
        <row r="487">
          <cell r="A487">
            <v>51622</v>
          </cell>
        </row>
        <row r="488">
          <cell r="A488">
            <v>51672</v>
          </cell>
        </row>
        <row r="489">
          <cell r="A489">
            <v>51751</v>
          </cell>
        </row>
        <row r="490">
          <cell r="A490">
            <v>51786</v>
          </cell>
        </row>
        <row r="491">
          <cell r="A491">
            <v>51807</v>
          </cell>
        </row>
        <row r="492">
          <cell r="A492">
            <v>51820</v>
          </cell>
        </row>
        <row r="493">
          <cell r="A493">
            <v>51860</v>
          </cell>
        </row>
        <row r="494">
          <cell r="A494">
            <v>51867</v>
          </cell>
        </row>
        <row r="495">
          <cell r="A495">
            <v>51914</v>
          </cell>
        </row>
        <row r="496">
          <cell r="A496">
            <v>51915</v>
          </cell>
        </row>
        <row r="497">
          <cell r="A497">
            <v>51960</v>
          </cell>
        </row>
        <row r="498">
          <cell r="A498">
            <v>51977</v>
          </cell>
        </row>
        <row r="499">
          <cell r="A499">
            <v>51987</v>
          </cell>
        </row>
        <row r="500">
          <cell r="A500">
            <v>52022</v>
          </cell>
        </row>
        <row r="501">
          <cell r="A501">
            <v>52116</v>
          </cell>
        </row>
        <row r="502">
          <cell r="A502">
            <v>52151</v>
          </cell>
        </row>
        <row r="503">
          <cell r="A503">
            <v>52172</v>
          </cell>
        </row>
        <row r="504">
          <cell r="A504">
            <v>52185</v>
          </cell>
        </row>
        <row r="505">
          <cell r="A505">
            <v>52225</v>
          </cell>
        </row>
        <row r="506">
          <cell r="A506">
            <v>52232</v>
          </cell>
        </row>
        <row r="507">
          <cell r="A507">
            <v>52271</v>
          </cell>
        </row>
        <row r="508">
          <cell r="A508">
            <v>52272</v>
          </cell>
        </row>
        <row r="509">
          <cell r="A509">
            <v>52317</v>
          </cell>
        </row>
        <row r="510">
          <cell r="A510">
            <v>52342</v>
          </cell>
        </row>
        <row r="511">
          <cell r="A511">
            <v>52352</v>
          </cell>
        </row>
        <row r="512">
          <cell r="A512">
            <v>52379</v>
          </cell>
        </row>
        <row r="513">
          <cell r="A513">
            <v>52481</v>
          </cell>
        </row>
        <row r="514">
          <cell r="A514">
            <v>52516</v>
          </cell>
        </row>
        <row r="515">
          <cell r="A515">
            <v>52537</v>
          </cell>
        </row>
        <row r="516">
          <cell r="A516">
            <v>52550</v>
          </cell>
        </row>
        <row r="517">
          <cell r="A517">
            <v>52590</v>
          </cell>
        </row>
        <row r="518">
          <cell r="A518">
            <v>52597</v>
          </cell>
        </row>
        <row r="519">
          <cell r="A519">
            <v>52656</v>
          </cell>
        </row>
        <row r="520">
          <cell r="A520">
            <v>52657</v>
          </cell>
        </row>
        <row r="521">
          <cell r="A521">
            <v>52702</v>
          </cell>
        </row>
        <row r="522">
          <cell r="A522">
            <v>52708</v>
          </cell>
        </row>
        <row r="523">
          <cell r="A523">
            <v>52718</v>
          </cell>
        </row>
        <row r="524">
          <cell r="A524">
            <v>52764</v>
          </cell>
        </row>
        <row r="525">
          <cell r="A525">
            <v>52847</v>
          </cell>
        </row>
        <row r="526">
          <cell r="A526">
            <v>52882</v>
          </cell>
        </row>
        <row r="527">
          <cell r="A527">
            <v>52903</v>
          </cell>
        </row>
        <row r="528">
          <cell r="A528">
            <v>52916</v>
          </cell>
        </row>
        <row r="529">
          <cell r="A529">
            <v>52956</v>
          </cell>
        </row>
        <row r="530">
          <cell r="A530">
            <v>52963</v>
          </cell>
        </row>
        <row r="531">
          <cell r="A531">
            <v>53013</v>
          </cell>
        </row>
        <row r="532">
          <cell r="A532">
            <v>53014</v>
          </cell>
        </row>
        <row r="533">
          <cell r="A533">
            <v>53059</v>
          </cell>
        </row>
        <row r="534">
          <cell r="A534">
            <v>53073</v>
          </cell>
        </row>
        <row r="535">
          <cell r="A535">
            <v>53083</v>
          </cell>
        </row>
        <row r="536">
          <cell r="A536">
            <v>53121</v>
          </cell>
        </row>
        <row r="537">
          <cell r="A537">
            <v>53212</v>
          </cell>
        </row>
        <row r="538">
          <cell r="A538">
            <v>53247</v>
          </cell>
        </row>
        <row r="539">
          <cell r="A539">
            <v>53268</v>
          </cell>
        </row>
        <row r="540">
          <cell r="A540">
            <v>53281</v>
          </cell>
        </row>
        <row r="541">
          <cell r="A541">
            <v>53321</v>
          </cell>
        </row>
        <row r="542">
          <cell r="A542">
            <v>53328</v>
          </cell>
        </row>
        <row r="543">
          <cell r="A543">
            <v>53363</v>
          </cell>
        </row>
        <row r="544">
          <cell r="A544">
            <v>53364</v>
          </cell>
        </row>
        <row r="545">
          <cell r="A545">
            <v>53409</v>
          </cell>
        </row>
        <row r="546">
          <cell r="A546">
            <v>53438</v>
          </cell>
        </row>
        <row r="547">
          <cell r="A547">
            <v>53448</v>
          </cell>
        </row>
        <row r="548">
          <cell r="A548">
            <v>53471</v>
          </cell>
        </row>
        <row r="549">
          <cell r="A549">
            <v>53577</v>
          </cell>
        </row>
        <row r="550">
          <cell r="A550">
            <v>53612</v>
          </cell>
        </row>
        <row r="551">
          <cell r="A551">
            <v>53633</v>
          </cell>
        </row>
        <row r="552">
          <cell r="A552">
            <v>53646</v>
          </cell>
        </row>
        <row r="553">
          <cell r="A553">
            <v>53686</v>
          </cell>
        </row>
        <row r="554">
          <cell r="A554">
            <v>53693</v>
          </cell>
        </row>
        <row r="555">
          <cell r="A555">
            <v>53748</v>
          </cell>
        </row>
        <row r="556">
          <cell r="A556">
            <v>53749</v>
          </cell>
        </row>
        <row r="557">
          <cell r="A557">
            <v>53794</v>
          </cell>
        </row>
        <row r="558">
          <cell r="A558">
            <v>53803</v>
          </cell>
        </row>
        <row r="559">
          <cell r="A559">
            <v>53813</v>
          </cell>
        </row>
        <row r="560">
          <cell r="A560">
            <v>53856</v>
          </cell>
        </row>
        <row r="561">
          <cell r="A561">
            <v>53942</v>
          </cell>
        </row>
        <row r="562">
          <cell r="A562">
            <v>53977</v>
          </cell>
        </row>
        <row r="563">
          <cell r="A563">
            <v>53998</v>
          </cell>
        </row>
        <row r="564">
          <cell r="A564">
            <v>54011</v>
          </cell>
        </row>
        <row r="565">
          <cell r="A565">
            <v>54051</v>
          </cell>
        </row>
        <row r="566">
          <cell r="A566">
            <v>54058</v>
          </cell>
        </row>
        <row r="567">
          <cell r="A567">
            <v>54105</v>
          </cell>
        </row>
        <row r="568">
          <cell r="A568">
            <v>54106</v>
          </cell>
        </row>
        <row r="569">
          <cell r="A569">
            <v>54151</v>
          </cell>
        </row>
        <row r="570">
          <cell r="A570">
            <v>54169</v>
          </cell>
        </row>
        <row r="571">
          <cell r="A571">
            <v>54179</v>
          </cell>
        </row>
        <row r="572">
          <cell r="A572">
            <v>54213</v>
          </cell>
        </row>
        <row r="573">
          <cell r="A573">
            <v>54308</v>
          </cell>
        </row>
        <row r="574">
          <cell r="A574">
            <v>54343</v>
          </cell>
        </row>
        <row r="575">
          <cell r="A575">
            <v>54364</v>
          </cell>
        </row>
        <row r="576">
          <cell r="A576">
            <v>54377</v>
          </cell>
        </row>
        <row r="577">
          <cell r="A577">
            <v>54417</v>
          </cell>
        </row>
        <row r="578">
          <cell r="A578">
            <v>54424</v>
          </cell>
        </row>
        <row r="579">
          <cell r="A579">
            <v>54483</v>
          </cell>
        </row>
        <row r="580">
          <cell r="A580">
            <v>54484</v>
          </cell>
        </row>
        <row r="581">
          <cell r="A581">
            <v>54529</v>
          </cell>
        </row>
        <row r="582">
          <cell r="A582">
            <v>54534</v>
          </cell>
        </row>
        <row r="583">
          <cell r="A583">
            <v>54544</v>
          </cell>
        </row>
        <row r="584">
          <cell r="A584">
            <v>54591</v>
          </cell>
        </row>
        <row r="585">
          <cell r="A585">
            <v>54673</v>
          </cell>
        </row>
        <row r="586">
          <cell r="A586">
            <v>54708</v>
          </cell>
        </row>
        <row r="587">
          <cell r="A587">
            <v>54729</v>
          </cell>
        </row>
        <row r="588">
          <cell r="A588">
            <v>54742</v>
          </cell>
        </row>
        <row r="589">
          <cell r="A589">
            <v>54782</v>
          </cell>
        </row>
        <row r="590">
          <cell r="A590">
            <v>54789</v>
          </cell>
        </row>
        <row r="591">
          <cell r="A591">
            <v>54840</v>
          </cell>
        </row>
        <row r="592">
          <cell r="A592">
            <v>54841</v>
          </cell>
        </row>
        <row r="593">
          <cell r="A593">
            <v>54886</v>
          </cell>
        </row>
        <row r="594">
          <cell r="A594">
            <v>54899</v>
          </cell>
        </row>
        <row r="595">
          <cell r="A595">
            <v>54909</v>
          </cell>
        </row>
        <row r="596">
          <cell r="A596">
            <v>54948</v>
          </cell>
        </row>
        <row r="597">
          <cell r="A597">
            <v>55038</v>
          </cell>
        </row>
        <row r="598">
          <cell r="A598">
            <v>55073</v>
          </cell>
        </row>
        <row r="599">
          <cell r="A599">
            <v>55094</v>
          </cell>
        </row>
        <row r="600">
          <cell r="A600">
            <v>55107</v>
          </cell>
        </row>
        <row r="601">
          <cell r="A601">
            <v>55147</v>
          </cell>
        </row>
        <row r="602">
          <cell r="A602">
            <v>55154</v>
          </cell>
        </row>
        <row r="603">
          <cell r="A603">
            <v>55197</v>
          </cell>
        </row>
        <row r="604">
          <cell r="A604">
            <v>55198</v>
          </cell>
        </row>
        <row r="605">
          <cell r="A605">
            <v>55243</v>
          </cell>
        </row>
        <row r="606">
          <cell r="A606">
            <v>55264</v>
          </cell>
        </row>
        <row r="607">
          <cell r="A607">
            <v>55274</v>
          </cell>
        </row>
        <row r="608">
          <cell r="A608">
            <v>55305</v>
          </cell>
        </row>
        <row r="609">
          <cell r="A609">
            <v>55403</v>
          </cell>
        </row>
        <row r="610">
          <cell r="A610">
            <v>55438</v>
          </cell>
        </row>
        <row r="611">
          <cell r="A611">
            <v>55459</v>
          </cell>
        </row>
        <row r="612">
          <cell r="A612">
            <v>55472</v>
          </cell>
        </row>
        <row r="613">
          <cell r="A613">
            <v>55512</v>
          </cell>
        </row>
        <row r="614">
          <cell r="A614">
            <v>55519</v>
          </cell>
        </row>
        <row r="615">
          <cell r="A615">
            <v>55582</v>
          </cell>
        </row>
        <row r="616">
          <cell r="A616">
            <v>55583</v>
          </cell>
        </row>
        <row r="617">
          <cell r="A617">
            <v>55628</v>
          </cell>
        </row>
        <row r="618">
          <cell r="A618">
            <v>55630</v>
          </cell>
        </row>
        <row r="619">
          <cell r="A619">
            <v>55640</v>
          </cell>
        </row>
        <row r="620">
          <cell r="A620">
            <v>55690</v>
          </cell>
        </row>
        <row r="621">
          <cell r="A621">
            <v>55769</v>
          </cell>
        </row>
        <row r="622">
          <cell r="A622">
            <v>55804</v>
          </cell>
        </row>
        <row r="623">
          <cell r="A623">
            <v>55825</v>
          </cell>
        </row>
        <row r="624">
          <cell r="A624">
            <v>55838</v>
          </cell>
        </row>
        <row r="625">
          <cell r="A625">
            <v>55878</v>
          </cell>
        </row>
        <row r="626">
          <cell r="A626">
            <v>55885</v>
          </cell>
        </row>
        <row r="627">
          <cell r="A627">
            <v>55932</v>
          </cell>
        </row>
        <row r="628">
          <cell r="A628">
            <v>55933</v>
          </cell>
        </row>
        <row r="629">
          <cell r="A629">
            <v>55978</v>
          </cell>
        </row>
        <row r="630">
          <cell r="A630">
            <v>55995</v>
          </cell>
        </row>
        <row r="631">
          <cell r="A631">
            <v>56005</v>
          </cell>
        </row>
        <row r="632">
          <cell r="A632">
            <v>56040</v>
          </cell>
        </row>
        <row r="633">
          <cell r="A633">
            <v>56134</v>
          </cell>
        </row>
        <row r="634">
          <cell r="A634">
            <v>56169</v>
          </cell>
        </row>
        <row r="635">
          <cell r="A635">
            <v>56190</v>
          </cell>
        </row>
        <row r="636">
          <cell r="A636">
            <v>56203</v>
          </cell>
        </row>
        <row r="637">
          <cell r="A637">
            <v>56243</v>
          </cell>
        </row>
        <row r="638">
          <cell r="A638">
            <v>56250</v>
          </cell>
        </row>
        <row r="639">
          <cell r="A639">
            <v>56289</v>
          </cell>
        </row>
        <row r="640">
          <cell r="A640">
            <v>56290</v>
          </cell>
        </row>
        <row r="641">
          <cell r="A641">
            <v>56335</v>
          </cell>
        </row>
        <row r="642">
          <cell r="A642">
            <v>56360</v>
          </cell>
        </row>
        <row r="643">
          <cell r="A643">
            <v>56370</v>
          </cell>
        </row>
        <row r="644">
          <cell r="A644">
            <v>56397</v>
          </cell>
        </row>
        <row r="645">
          <cell r="A645">
            <v>56499</v>
          </cell>
        </row>
        <row r="646">
          <cell r="A646">
            <v>56534</v>
          </cell>
        </row>
        <row r="647">
          <cell r="A647">
            <v>56555</v>
          </cell>
        </row>
        <row r="648">
          <cell r="A648">
            <v>56568</v>
          </cell>
        </row>
        <row r="649">
          <cell r="A649">
            <v>56608</v>
          </cell>
        </row>
        <row r="650">
          <cell r="A650">
            <v>56615</v>
          </cell>
        </row>
        <row r="651">
          <cell r="A651">
            <v>56674</v>
          </cell>
        </row>
        <row r="652">
          <cell r="A652">
            <v>56675</v>
          </cell>
        </row>
        <row r="653">
          <cell r="A653">
            <v>56720</v>
          </cell>
        </row>
        <row r="654">
          <cell r="A654">
            <v>56725</v>
          </cell>
        </row>
        <row r="655">
          <cell r="A655">
            <v>56735</v>
          </cell>
        </row>
        <row r="656">
          <cell r="A656">
            <v>56782</v>
          </cell>
        </row>
        <row r="657">
          <cell r="A657">
            <v>56864</v>
          </cell>
        </row>
        <row r="658">
          <cell r="A658">
            <v>56899</v>
          </cell>
        </row>
        <row r="659">
          <cell r="A659">
            <v>56920</v>
          </cell>
        </row>
        <row r="660">
          <cell r="A660">
            <v>56933</v>
          </cell>
        </row>
        <row r="661">
          <cell r="A661">
            <v>56973</v>
          </cell>
        </row>
        <row r="662">
          <cell r="A662">
            <v>56980</v>
          </cell>
        </row>
        <row r="663">
          <cell r="A663">
            <v>57024</v>
          </cell>
        </row>
        <row r="664">
          <cell r="A664">
            <v>57025</v>
          </cell>
        </row>
        <row r="665">
          <cell r="A665">
            <v>57070</v>
          </cell>
        </row>
        <row r="666">
          <cell r="A666">
            <v>57091</v>
          </cell>
        </row>
        <row r="667">
          <cell r="A667">
            <v>57101</v>
          </cell>
        </row>
        <row r="668">
          <cell r="A668">
            <v>57132</v>
          </cell>
        </row>
        <row r="669">
          <cell r="A669">
            <v>57230</v>
          </cell>
        </row>
        <row r="670">
          <cell r="A670">
            <v>57265</v>
          </cell>
        </row>
        <row r="671">
          <cell r="A671">
            <v>57286</v>
          </cell>
        </row>
        <row r="672">
          <cell r="A672">
            <v>57299</v>
          </cell>
        </row>
        <row r="673">
          <cell r="A673">
            <v>57339</v>
          </cell>
        </row>
        <row r="674">
          <cell r="A674">
            <v>57346</v>
          </cell>
        </row>
        <row r="675">
          <cell r="A675">
            <v>57409</v>
          </cell>
        </row>
        <row r="676">
          <cell r="A676">
            <v>57410</v>
          </cell>
        </row>
        <row r="677">
          <cell r="A677">
            <v>57455</v>
          </cell>
        </row>
        <row r="678">
          <cell r="A678">
            <v>57456</v>
          </cell>
        </row>
        <row r="679">
          <cell r="A679">
            <v>57466</v>
          </cell>
        </row>
        <row r="680">
          <cell r="A680">
            <v>57517</v>
          </cell>
        </row>
        <row r="681">
          <cell r="A681">
            <v>57595</v>
          </cell>
        </row>
        <row r="682">
          <cell r="A682">
            <v>57630</v>
          </cell>
        </row>
        <row r="683">
          <cell r="A683">
            <v>57651</v>
          </cell>
        </row>
        <row r="684">
          <cell r="A684">
            <v>57664</v>
          </cell>
        </row>
        <row r="685">
          <cell r="A685">
            <v>57704</v>
          </cell>
        </row>
        <row r="686">
          <cell r="A686">
            <v>57711</v>
          </cell>
        </row>
        <row r="687">
          <cell r="A687">
            <v>57766</v>
          </cell>
        </row>
        <row r="688">
          <cell r="A688">
            <v>57767</v>
          </cell>
        </row>
        <row r="689">
          <cell r="A689">
            <v>57812</v>
          </cell>
        </row>
        <row r="690">
          <cell r="A690">
            <v>57821</v>
          </cell>
        </row>
        <row r="691">
          <cell r="A691">
            <v>57831</v>
          </cell>
        </row>
        <row r="692">
          <cell r="A692">
            <v>57874</v>
          </cell>
        </row>
        <row r="693">
          <cell r="A693">
            <v>57960</v>
          </cell>
        </row>
        <row r="694">
          <cell r="A694">
            <v>57995</v>
          </cell>
        </row>
        <row r="695">
          <cell r="A695">
            <v>58016</v>
          </cell>
        </row>
        <row r="696">
          <cell r="A696">
            <v>58029</v>
          </cell>
        </row>
        <row r="697">
          <cell r="A697">
            <v>58069</v>
          </cell>
        </row>
        <row r="698">
          <cell r="A698">
            <v>58076</v>
          </cell>
        </row>
        <row r="699">
          <cell r="A699">
            <v>58116</v>
          </cell>
        </row>
        <row r="700">
          <cell r="A700">
            <v>58117</v>
          </cell>
        </row>
        <row r="701">
          <cell r="A701">
            <v>58162</v>
          </cell>
        </row>
        <row r="702">
          <cell r="A702">
            <v>58186</v>
          </cell>
        </row>
        <row r="703">
          <cell r="A703">
            <v>58196</v>
          </cell>
        </row>
        <row r="704">
          <cell r="A704">
            <v>58224</v>
          </cell>
        </row>
        <row r="705">
          <cell r="A705">
            <v>58325</v>
          </cell>
        </row>
        <row r="706">
          <cell r="A706">
            <v>58360</v>
          </cell>
        </row>
        <row r="707">
          <cell r="A707">
            <v>58381</v>
          </cell>
        </row>
        <row r="708">
          <cell r="A708">
            <v>58394</v>
          </cell>
        </row>
        <row r="709">
          <cell r="A709">
            <v>58434</v>
          </cell>
        </row>
        <row r="710">
          <cell r="A710">
            <v>58441</v>
          </cell>
        </row>
        <row r="711">
          <cell r="A711">
            <v>58501</v>
          </cell>
        </row>
        <row r="712">
          <cell r="A712">
            <v>58502</v>
          </cell>
        </row>
        <row r="713">
          <cell r="A713">
            <v>58547</v>
          </cell>
        </row>
        <row r="714">
          <cell r="A714">
            <v>58552</v>
          </cell>
        </row>
        <row r="715">
          <cell r="A715">
            <v>58562</v>
          </cell>
        </row>
        <row r="716">
          <cell r="A716">
            <v>58609</v>
          </cell>
        </row>
        <row r="717">
          <cell r="A717">
            <v>58691</v>
          </cell>
        </row>
        <row r="718">
          <cell r="A718">
            <v>58726</v>
          </cell>
        </row>
        <row r="719">
          <cell r="A719">
            <v>58747</v>
          </cell>
        </row>
        <row r="720">
          <cell r="A720">
            <v>58760</v>
          </cell>
        </row>
        <row r="721">
          <cell r="A721">
            <v>58800</v>
          </cell>
        </row>
        <row r="722">
          <cell r="A722">
            <v>58807</v>
          </cell>
        </row>
        <row r="723">
          <cell r="A723">
            <v>58858</v>
          </cell>
        </row>
        <row r="724">
          <cell r="A724">
            <v>58859</v>
          </cell>
        </row>
        <row r="725">
          <cell r="A725">
            <v>58904</v>
          </cell>
        </row>
        <row r="726">
          <cell r="A726">
            <v>58917</v>
          </cell>
        </row>
        <row r="727">
          <cell r="A727">
            <v>58927</v>
          </cell>
        </row>
        <row r="728">
          <cell r="A728">
            <v>58966</v>
          </cell>
        </row>
        <row r="729">
          <cell r="A729">
            <v>59056</v>
          </cell>
        </row>
        <row r="730">
          <cell r="A730">
            <v>59091</v>
          </cell>
        </row>
        <row r="731">
          <cell r="A731">
            <v>59112</v>
          </cell>
        </row>
        <row r="732">
          <cell r="A732">
            <v>59125</v>
          </cell>
        </row>
        <row r="733">
          <cell r="A733">
            <v>59165</v>
          </cell>
        </row>
        <row r="734">
          <cell r="A734">
            <v>59172</v>
          </cell>
        </row>
        <row r="735">
          <cell r="A735">
            <v>59208</v>
          </cell>
        </row>
        <row r="736">
          <cell r="A736">
            <v>59209</v>
          </cell>
        </row>
        <row r="737">
          <cell r="A737">
            <v>59254</v>
          </cell>
        </row>
        <row r="738">
          <cell r="A738">
            <v>59282</v>
          </cell>
        </row>
        <row r="739">
          <cell r="A739">
            <v>59292</v>
          </cell>
        </row>
        <row r="740">
          <cell r="A740">
            <v>59316</v>
          </cell>
        </row>
        <row r="741">
          <cell r="A741">
            <v>59421</v>
          </cell>
        </row>
        <row r="742">
          <cell r="A742">
            <v>59456</v>
          </cell>
        </row>
        <row r="743">
          <cell r="A743">
            <v>59477</v>
          </cell>
        </row>
        <row r="744">
          <cell r="A744">
            <v>59490</v>
          </cell>
        </row>
        <row r="745">
          <cell r="A745">
            <v>59530</v>
          </cell>
        </row>
        <row r="746">
          <cell r="A746">
            <v>59537</v>
          </cell>
        </row>
        <row r="747">
          <cell r="A747">
            <v>59593</v>
          </cell>
        </row>
        <row r="748">
          <cell r="A748">
            <v>59594</v>
          </cell>
        </row>
        <row r="749">
          <cell r="A749">
            <v>59639</v>
          </cell>
        </row>
        <row r="750">
          <cell r="A750">
            <v>59647</v>
          </cell>
        </row>
        <row r="751">
          <cell r="A751">
            <v>59657</v>
          </cell>
        </row>
        <row r="752">
          <cell r="A752">
            <v>59701</v>
          </cell>
        </row>
        <row r="753">
          <cell r="A753">
            <v>59786</v>
          </cell>
        </row>
        <row r="754">
          <cell r="A754">
            <v>59821</v>
          </cell>
        </row>
        <row r="755">
          <cell r="A755">
            <v>59842</v>
          </cell>
        </row>
        <row r="756">
          <cell r="A756">
            <v>59855</v>
          </cell>
        </row>
        <row r="757">
          <cell r="A757">
            <v>59895</v>
          </cell>
        </row>
        <row r="758">
          <cell r="A758">
            <v>59902</v>
          </cell>
        </row>
        <row r="759">
          <cell r="A759">
            <v>59950</v>
          </cell>
        </row>
        <row r="760">
          <cell r="A760">
            <v>59951</v>
          </cell>
        </row>
        <row r="761">
          <cell r="A761">
            <v>59996</v>
          </cell>
        </row>
        <row r="762">
          <cell r="A762">
            <v>60013</v>
          </cell>
        </row>
        <row r="763">
          <cell r="A763">
            <v>60023</v>
          </cell>
        </row>
        <row r="764">
          <cell r="A764">
            <v>60058</v>
          </cell>
        </row>
        <row r="765">
          <cell r="A765">
            <v>60152</v>
          </cell>
        </row>
        <row r="766">
          <cell r="A766">
            <v>60187</v>
          </cell>
        </row>
        <row r="767">
          <cell r="A767">
            <v>60208</v>
          </cell>
        </row>
        <row r="768">
          <cell r="A768">
            <v>60221</v>
          </cell>
        </row>
        <row r="769">
          <cell r="A769">
            <v>60261</v>
          </cell>
        </row>
        <row r="770">
          <cell r="A770">
            <v>60268</v>
          </cell>
        </row>
        <row r="771">
          <cell r="A771">
            <v>60307</v>
          </cell>
        </row>
        <row r="772">
          <cell r="A772">
            <v>60308</v>
          </cell>
        </row>
        <row r="773">
          <cell r="A773">
            <v>60353</v>
          </cell>
        </row>
        <row r="774">
          <cell r="A774">
            <v>60378</v>
          </cell>
        </row>
        <row r="775">
          <cell r="A775">
            <v>60388</v>
          </cell>
        </row>
        <row r="776">
          <cell r="A776">
            <v>60415</v>
          </cell>
        </row>
        <row r="777">
          <cell r="A777">
            <v>60517</v>
          </cell>
        </row>
        <row r="778">
          <cell r="A778">
            <v>60552</v>
          </cell>
        </row>
        <row r="779">
          <cell r="A779">
            <v>60573</v>
          </cell>
        </row>
        <row r="780">
          <cell r="A780">
            <v>60586</v>
          </cell>
        </row>
        <row r="781">
          <cell r="A781">
            <v>60626</v>
          </cell>
        </row>
        <row r="782">
          <cell r="A782">
            <v>60633</v>
          </cell>
        </row>
        <row r="783">
          <cell r="A783">
            <v>60685</v>
          </cell>
        </row>
        <row r="784">
          <cell r="A784">
            <v>60686</v>
          </cell>
        </row>
        <row r="785">
          <cell r="A785">
            <v>60731</v>
          </cell>
        </row>
        <row r="786">
          <cell r="A786">
            <v>60743</v>
          </cell>
        </row>
        <row r="787">
          <cell r="A787">
            <v>60753</v>
          </cell>
        </row>
        <row r="788">
          <cell r="A788">
            <v>60793</v>
          </cell>
        </row>
        <row r="789">
          <cell r="A789">
            <v>60882</v>
          </cell>
        </row>
        <row r="790">
          <cell r="A790">
            <v>60917</v>
          </cell>
        </row>
        <row r="791">
          <cell r="A791">
            <v>60938</v>
          </cell>
        </row>
        <row r="792">
          <cell r="A792">
            <v>60951</v>
          </cell>
        </row>
        <row r="793">
          <cell r="A793">
            <v>60991</v>
          </cell>
        </row>
        <row r="794">
          <cell r="A794">
            <v>60998</v>
          </cell>
        </row>
        <row r="795">
          <cell r="A795">
            <v>61042</v>
          </cell>
        </row>
        <row r="796">
          <cell r="A796">
            <v>61043</v>
          </cell>
        </row>
        <row r="797">
          <cell r="A797">
            <v>61088</v>
          </cell>
        </row>
        <row r="798">
          <cell r="A798">
            <v>61108</v>
          </cell>
        </row>
        <row r="799">
          <cell r="A799">
            <v>61118</v>
          </cell>
        </row>
        <row r="800">
          <cell r="A800">
            <v>61150</v>
          </cell>
        </row>
        <row r="801">
          <cell r="A801">
            <v>61247</v>
          </cell>
        </row>
        <row r="802">
          <cell r="A802">
            <v>61282</v>
          </cell>
        </row>
        <row r="803">
          <cell r="A803">
            <v>61303</v>
          </cell>
        </row>
        <row r="804">
          <cell r="A804">
            <v>61316</v>
          </cell>
        </row>
        <row r="805">
          <cell r="A805">
            <v>61356</v>
          </cell>
        </row>
        <row r="806">
          <cell r="A806">
            <v>61363</v>
          </cell>
        </row>
        <row r="807">
          <cell r="A807">
            <v>61427</v>
          </cell>
        </row>
        <row r="808">
          <cell r="A808">
            <v>61428</v>
          </cell>
        </row>
        <row r="809">
          <cell r="A809">
            <v>61473</v>
          </cell>
        </row>
        <row r="810">
          <cell r="A810">
            <v>61474</v>
          </cell>
        </row>
        <row r="811">
          <cell r="A811">
            <v>61484</v>
          </cell>
        </row>
        <row r="812">
          <cell r="A812">
            <v>61535</v>
          </cell>
        </row>
        <row r="813">
          <cell r="A813">
            <v>61613</v>
          </cell>
        </row>
        <row r="814">
          <cell r="A814">
            <v>61648</v>
          </cell>
        </row>
        <row r="815">
          <cell r="A815">
            <v>61669</v>
          </cell>
        </row>
        <row r="816">
          <cell r="A816">
            <v>61682</v>
          </cell>
        </row>
        <row r="817">
          <cell r="A817">
            <v>61722</v>
          </cell>
        </row>
        <row r="818">
          <cell r="A818">
            <v>61729</v>
          </cell>
        </row>
        <row r="819">
          <cell r="A819">
            <v>61784</v>
          </cell>
        </row>
        <row r="820">
          <cell r="A820">
            <v>61785</v>
          </cell>
        </row>
        <row r="821">
          <cell r="A821">
            <v>61830</v>
          </cell>
        </row>
        <row r="822">
          <cell r="A822">
            <v>61839</v>
          </cell>
        </row>
        <row r="823">
          <cell r="A823">
            <v>61849</v>
          </cell>
        </row>
        <row r="824">
          <cell r="A824">
            <v>61892</v>
          </cell>
        </row>
        <row r="825">
          <cell r="A825">
            <v>61978</v>
          </cell>
        </row>
        <row r="826">
          <cell r="A826">
            <v>62013</v>
          </cell>
        </row>
        <row r="827">
          <cell r="A827">
            <v>62034</v>
          </cell>
        </row>
        <row r="828">
          <cell r="A828">
            <v>62047</v>
          </cell>
        </row>
        <row r="829">
          <cell r="A829">
            <v>62087</v>
          </cell>
        </row>
        <row r="830">
          <cell r="A830">
            <v>62094</v>
          </cell>
        </row>
        <row r="831">
          <cell r="A831">
            <v>62134</v>
          </cell>
        </row>
        <row r="832">
          <cell r="A832">
            <v>62135</v>
          </cell>
        </row>
        <row r="833">
          <cell r="A833">
            <v>62180</v>
          </cell>
        </row>
        <row r="834">
          <cell r="A834">
            <v>62204</v>
          </cell>
        </row>
        <row r="835">
          <cell r="A835">
            <v>62214</v>
          </cell>
        </row>
        <row r="836">
          <cell r="A836">
            <v>62242</v>
          </cell>
        </row>
        <row r="837">
          <cell r="A837">
            <v>62343</v>
          </cell>
        </row>
        <row r="838">
          <cell r="A838">
            <v>62378</v>
          </cell>
        </row>
        <row r="839">
          <cell r="A839">
            <v>62399</v>
          </cell>
        </row>
        <row r="840">
          <cell r="A840">
            <v>62412</v>
          </cell>
        </row>
        <row r="841">
          <cell r="A841">
            <v>62452</v>
          </cell>
        </row>
        <row r="842">
          <cell r="A842">
            <v>62459</v>
          </cell>
        </row>
        <row r="843">
          <cell r="A843">
            <v>62519</v>
          </cell>
        </row>
        <row r="844">
          <cell r="A844">
            <v>62520</v>
          </cell>
        </row>
        <row r="845">
          <cell r="A845">
            <v>62565</v>
          </cell>
        </row>
        <row r="846">
          <cell r="A846">
            <v>62569</v>
          </cell>
        </row>
        <row r="847">
          <cell r="A847">
            <v>62579</v>
          </cell>
        </row>
        <row r="848">
          <cell r="A848">
            <v>62627</v>
          </cell>
        </row>
        <row r="849">
          <cell r="A849">
            <v>62708</v>
          </cell>
        </row>
        <row r="850">
          <cell r="A850">
            <v>62743</v>
          </cell>
        </row>
        <row r="851">
          <cell r="A851">
            <v>62764</v>
          </cell>
        </row>
        <row r="852">
          <cell r="A852">
            <v>62777</v>
          </cell>
        </row>
        <row r="853">
          <cell r="A853">
            <v>62817</v>
          </cell>
        </row>
        <row r="854">
          <cell r="A854">
            <v>62824</v>
          </cell>
        </row>
        <row r="855">
          <cell r="A855">
            <v>62876</v>
          </cell>
        </row>
        <row r="856">
          <cell r="A856">
            <v>62877</v>
          </cell>
        </row>
        <row r="857">
          <cell r="A857">
            <v>62922</v>
          </cell>
        </row>
        <row r="858">
          <cell r="A858">
            <v>62935</v>
          </cell>
        </row>
        <row r="859">
          <cell r="A859">
            <v>62945</v>
          </cell>
        </row>
        <row r="860">
          <cell r="A860">
            <v>62984</v>
          </cell>
        </row>
        <row r="861">
          <cell r="A861">
            <v>63074</v>
          </cell>
        </row>
        <row r="862">
          <cell r="A862">
            <v>63109</v>
          </cell>
        </row>
        <row r="863">
          <cell r="A863">
            <v>63130</v>
          </cell>
        </row>
        <row r="864">
          <cell r="A864">
            <v>63143</v>
          </cell>
        </row>
        <row r="865">
          <cell r="A865">
            <v>63183</v>
          </cell>
        </row>
        <row r="866">
          <cell r="A866">
            <v>63190</v>
          </cell>
        </row>
        <row r="867">
          <cell r="A867">
            <v>63226</v>
          </cell>
        </row>
        <row r="868">
          <cell r="A868">
            <v>63227</v>
          </cell>
        </row>
        <row r="869">
          <cell r="A869">
            <v>63272</v>
          </cell>
        </row>
        <row r="870">
          <cell r="A870">
            <v>63300</v>
          </cell>
        </row>
        <row r="871">
          <cell r="A871">
            <v>63310</v>
          </cell>
        </row>
        <row r="872">
          <cell r="A872">
            <v>63334</v>
          </cell>
        </row>
        <row r="873">
          <cell r="A873">
            <v>63439</v>
          </cell>
        </row>
        <row r="874">
          <cell r="A874">
            <v>63474</v>
          </cell>
        </row>
        <row r="875">
          <cell r="A875">
            <v>63495</v>
          </cell>
        </row>
        <row r="876">
          <cell r="A876">
            <v>63508</v>
          </cell>
        </row>
        <row r="877">
          <cell r="A877">
            <v>63548</v>
          </cell>
        </row>
        <row r="878">
          <cell r="A878">
            <v>63555</v>
          </cell>
        </row>
        <row r="879">
          <cell r="A879">
            <v>63611</v>
          </cell>
        </row>
        <row r="880">
          <cell r="A880">
            <v>63612</v>
          </cell>
        </row>
        <row r="881">
          <cell r="A881">
            <v>63657</v>
          </cell>
        </row>
        <row r="882">
          <cell r="A882">
            <v>63665</v>
          </cell>
        </row>
        <row r="883">
          <cell r="A883">
            <v>63675</v>
          </cell>
        </row>
        <row r="884">
          <cell r="A884">
            <v>63719</v>
          </cell>
        </row>
        <row r="885">
          <cell r="A885">
            <v>63804</v>
          </cell>
        </row>
        <row r="886">
          <cell r="A886">
            <v>63839</v>
          </cell>
        </row>
        <row r="887">
          <cell r="A887">
            <v>63860</v>
          </cell>
        </row>
        <row r="888">
          <cell r="A888">
            <v>63873</v>
          </cell>
        </row>
        <row r="889">
          <cell r="A889">
            <v>63913</v>
          </cell>
        </row>
        <row r="890">
          <cell r="A890">
            <v>63920</v>
          </cell>
        </row>
        <row r="891">
          <cell r="A891">
            <v>63968</v>
          </cell>
        </row>
        <row r="892">
          <cell r="A892">
            <v>63969</v>
          </cell>
        </row>
        <row r="893">
          <cell r="A893">
            <v>64014</v>
          </cell>
        </row>
        <row r="894">
          <cell r="A894">
            <v>64030</v>
          </cell>
        </row>
        <row r="895">
          <cell r="A895">
            <v>64040</v>
          </cell>
        </row>
        <row r="896">
          <cell r="A896">
            <v>64076</v>
          </cell>
        </row>
        <row r="897">
          <cell r="A897">
            <v>64169</v>
          </cell>
        </row>
        <row r="898">
          <cell r="A898">
            <v>64204</v>
          </cell>
        </row>
        <row r="899">
          <cell r="A899">
            <v>64225</v>
          </cell>
        </row>
        <row r="900">
          <cell r="A900">
            <v>64238</v>
          </cell>
        </row>
        <row r="901">
          <cell r="A901">
            <v>64278</v>
          </cell>
        </row>
        <row r="902">
          <cell r="A902">
            <v>64285</v>
          </cell>
        </row>
        <row r="903">
          <cell r="A903">
            <v>64346</v>
          </cell>
        </row>
        <row r="904">
          <cell r="A904">
            <v>64347</v>
          </cell>
        </row>
        <row r="905">
          <cell r="A905">
            <v>64392</v>
          </cell>
        </row>
        <row r="906">
          <cell r="A906">
            <v>64396</v>
          </cell>
        </row>
        <row r="907">
          <cell r="A907">
            <v>64406</v>
          </cell>
        </row>
        <row r="908">
          <cell r="A908">
            <v>64454</v>
          </cell>
        </row>
        <row r="909">
          <cell r="A909">
            <v>64535</v>
          </cell>
        </row>
        <row r="910">
          <cell r="A910">
            <v>64570</v>
          </cell>
        </row>
        <row r="911">
          <cell r="A911">
            <v>64591</v>
          </cell>
        </row>
        <row r="912">
          <cell r="A912">
            <v>64604</v>
          </cell>
        </row>
        <row r="913">
          <cell r="A913">
            <v>64644</v>
          </cell>
        </row>
        <row r="914">
          <cell r="A914">
            <v>64651</v>
          </cell>
        </row>
        <row r="915">
          <cell r="A915">
            <v>64703</v>
          </cell>
        </row>
        <row r="916">
          <cell r="A916">
            <v>64704</v>
          </cell>
        </row>
        <row r="917">
          <cell r="A917">
            <v>64749</v>
          </cell>
        </row>
        <row r="918">
          <cell r="A918">
            <v>64761</v>
          </cell>
        </row>
        <row r="919">
          <cell r="A919">
            <v>64771</v>
          </cell>
        </row>
        <row r="920">
          <cell r="A920">
            <v>64811</v>
          </cell>
        </row>
        <row r="921">
          <cell r="A921">
            <v>64900</v>
          </cell>
        </row>
        <row r="922">
          <cell r="A922">
            <v>64935</v>
          </cell>
        </row>
        <row r="923">
          <cell r="A923">
            <v>64956</v>
          </cell>
        </row>
        <row r="924">
          <cell r="A924">
            <v>64969</v>
          </cell>
        </row>
        <row r="925">
          <cell r="A925">
            <v>65009</v>
          </cell>
        </row>
        <row r="926">
          <cell r="A926">
            <v>65016</v>
          </cell>
        </row>
        <row r="927">
          <cell r="A927">
            <v>65060</v>
          </cell>
        </row>
        <row r="928">
          <cell r="A928">
            <v>65061</v>
          </cell>
        </row>
        <row r="929">
          <cell r="A929">
            <v>65106</v>
          </cell>
        </row>
        <row r="930">
          <cell r="A930">
            <v>65126</v>
          </cell>
        </row>
        <row r="931">
          <cell r="A931">
            <v>65136</v>
          </cell>
        </row>
        <row r="932">
          <cell r="A932">
            <v>65168</v>
          </cell>
        </row>
        <row r="933">
          <cell r="A933">
            <v>65265</v>
          </cell>
        </row>
        <row r="934">
          <cell r="A934">
            <v>65300</v>
          </cell>
        </row>
        <row r="935">
          <cell r="A935">
            <v>65321</v>
          </cell>
        </row>
        <row r="936">
          <cell r="A936">
            <v>65334</v>
          </cell>
        </row>
        <row r="937">
          <cell r="A937">
            <v>65374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profitchart" ddeTopic="cot">
    <ddeItems>
      <ddeItem name="DI1F25.103" advise="1">
        <values>
          <value t="str">
            <val>98.963,000</val>
          </value>
        </values>
      </ddeItem>
      <ddeItem name="DI1F25.12M" advise="1">
        <values>
          <value>
            <val>4.9832295160517441</val>
          </value>
        </values>
      </ddeItem>
      <ddeItem name="DI1F25.3" advise="1">
        <values>
          <value t="str">
            <val>10,944</val>
          </value>
        </values>
      </ddeItem>
      <ddeItem name="DI1F25.3M" advise="1">
        <values>
          <value>
            <val>2.1445221445221314</val>
          </value>
        </values>
      </ddeItem>
      <ddeItem name="DI1F25.6M" advise="1">
        <values>
          <value>
            <val>11.10547667342798</val>
          </value>
        </values>
      </ddeItem>
      <ddeItem name="DI1F25.ABE" advise="1">
        <values>
          <value>
            <val>10.93</val>
          </value>
        </values>
      </ddeItem>
      <ddeItem name="DI1F25.AJA" advise="1">
        <values>
          <value>
            <val>10.923999999999999</val>
          </value>
        </values>
      </ddeItem>
      <ddeItem name="DI1F25.AJU" advise="1">
        <values>
          <value>
            <val>10.958</val>
          </value>
        </values>
      </ddeItem>
      <ddeItem name="DI1F25.ANO" advise="1">
        <values>
          <value>
            <val>9.222333000996997</val>
          </value>
        </values>
      </ddeItem>
      <ddeItem name="DI1F25.BLACK" advise="1">
        <values>
          <value>
            <val>0</val>
          </value>
        </values>
      </ddeItem>
      <ddeItem name="DI1F25.CAB" advise="1">
        <values>
          <value>
            <val>6912753</val>
          </value>
        </values>
      </ddeItem>
      <ddeItem name="DI1F25.DAT" advise="1">
        <values>
          <value t="str">
            <val>12/09/2024</val>
          </value>
        </values>
      </ddeItem>
      <ddeItem name="DI1F25.DELTA" advise="1">
        <values>
          <value>
            <val>0</val>
          </value>
        </values>
      </ddeItem>
      <ddeItem name="DI1F25.DOBRAR" advise="1">
        <values>
          <value>
            <val>0</val>
          </value>
        </values>
      </ddeItem>
      <ddeItem name="DI1F25.EST" advise="1">
        <values>
          <value t="str">
            <val>Aberto</val>
          </value>
        </values>
      </ddeItem>
      <ddeItem name="DI1F25.FEC" advise="1">
        <values>
          <value>
            <val>10.925000000000001</val>
          </value>
        </values>
      </ddeItem>
      <ddeItem name="DI1F25.GAMA" advise="1">
        <values>
          <value>
            <val>0</val>
          </value>
        </values>
      </ddeItem>
      <ddeItem name="DI1F25.HOR" advise="1">
        <values>
          <value t="str">
            <val>16:59:43</val>
          </value>
        </values>
      </ddeItem>
      <ddeItem name="DI1F25.IMPVT" advise="1">
        <values>
          <value>
            <val>0</val>
          </value>
        </values>
      </ddeItem>
      <ddeItem name="DI1F25.MAX" advise="1">
        <values>
          <value>
            <val>10.96</val>
          </value>
        </values>
      </ddeItem>
      <ddeItem name="DI1F25.MED" advise="1">
        <values>
          <value>
            <val>10.94375</val>
          </value>
        </values>
      </ddeItem>
      <ddeItem name="DI1F25.MES" advise="1">
        <values>
          <value>
            <val>-0.36380172805821664</val>
          </value>
        </values>
      </ddeItem>
      <ddeItem name="DI1F25.MIN" advise="1">
        <values>
          <value>
            <val>10.93</val>
          </value>
        </values>
      </ddeItem>
      <ddeItem name="DI1F25.NEG" advise="1">
        <values>
          <value>
            <val>16221</val>
          </value>
        </values>
      </ddeItem>
      <ddeItem name="DI1F25.OCP" advise="1">
        <values>
          <value>
            <val>10.950000000000001</val>
          </value>
        </values>
      </ddeItem>
      <ddeItem name="DI1F25.OVD" advise="1">
        <values>
          <value>
            <val>10.955</val>
          </value>
        </values>
      </ddeItem>
      <ddeItem name="DI1F25.PEX" advise="1">
        <values>
          <value>
            <val>0</val>
          </value>
        </values>
      </ddeItem>
      <ddeItem name="DI1F25.PRT" advise="1">
        <values>
          <value>
            <val>0</val>
          </value>
        </values>
      </ddeItem>
      <ddeItem name="DI1F25.QTE" advise="1">
        <values>
          <value>
            <val>0</val>
          </value>
        </values>
      </ddeItem>
      <ddeItem name="DI1F25.QTT" advise="1">
        <values>
          <value>
            <val>682024</val>
          </value>
        </values>
      </ddeItem>
      <ddeItem name="DI1F25.QUL" advise="1">
        <values>
          <value>
            <val>5</val>
          </value>
        </values>
      </ddeItem>
      <ddeItem name="DI1F25.RHO" advise="1">
        <values>
          <value>
            <val>0</val>
          </value>
        </values>
      </ddeItem>
      <ddeItem name="DI1F25.SEM" advise="1">
        <values>
          <value>
            <val>0.3205128205128055</val>
          </value>
        </values>
      </ddeItem>
      <ddeItem name="DI1F25.SEMES" advise="1">
        <values>
          <value>
            <val>1.7177344475394496</val>
          </value>
        </values>
      </ddeItem>
      <ddeItem name="DI1F25.THETA" advise="1">
        <values>
          <value>
            <val>0</val>
          </value>
        </values>
      </ddeItem>
      <ddeItem name="DI1F25.TRIM" advise="1">
        <values>
          <value>
            <val>1.7177344475394496</val>
          </value>
        </values>
      </ddeItem>
      <ddeItem name="DI1F25.ULT" advise="1">
        <values>
          <value>
            <val>10.955</val>
          </value>
        </values>
      </ddeItem>
      <ddeItem name="DI1F25.VAL" advise="1">
        <values>
          <value t="str">
            <val>30/12/2024</val>
          </value>
        </values>
      </ddeItem>
      <ddeItem name="DI1F25.VAR" advise="1">
        <values>
          <value>
            <val>0.27459954233408723</val>
          </value>
        </values>
      </ddeItem>
      <ddeItem name="DI1F25.VARPTS" advise="1">
        <values>
          <value>
            <val>2.9999999999999361E-2</val>
          </value>
        </values>
      </ddeItem>
      <ddeItem name="DI1F25.VEGA" advise="1">
        <values>
          <value>
            <val>0</val>
          </value>
        </values>
      </ddeItem>
      <ddeItem name="DI1F25.VEN" advise="1">
        <values>
          <value t="str">
            <val>02/01/2025</val>
          </value>
        </values>
      </ddeItem>
      <ddeItem name="DI1F25.VEXT" advise="1">
        <values>
          <value>
            <val>0</val>
          </value>
        </values>
      </ddeItem>
      <ddeItem name="DI1F25.VIA" advise="1">
        <values>
          <value>
            <val>0</val>
          </value>
        </values>
      </ddeItem>
      <ddeItem name="DI1F25.VIB" advise="1">
        <values>
          <value>
            <val>0</val>
          </value>
        </values>
      </ddeItem>
      <ddeItem name="DI1F25.VINT" advise="1">
        <values>
          <value>
            <val>0</val>
          </value>
        </values>
      </ddeItem>
      <ddeItem name="DI1F25.VIVH" advise="1">
        <values>
          <value>
            <val>0</val>
          </value>
        </values>
      </ddeItem>
      <ddeItem name="DI1F25.VOC" advise="1">
        <values>
          <value>
            <val>14424</val>
          </value>
        </values>
      </ddeItem>
      <ddeItem name="DI1F25.VOL" advise="1">
        <values>
          <value>
            <val>66097910285.93</val>
          </value>
        </values>
      </ddeItem>
      <ddeItem name="DI1F25.VOV" advise="1">
        <values>
          <value>
            <val>346</val>
          </value>
        </values>
      </ddeItem>
      <ddeItem name="DI1F25.VPJ" advise="1">
        <values>
          <value>
            <val>66146482015.15419</val>
          </value>
        </values>
      </ddeItem>
      <ddeItem name="DI1F26.103" advise="1">
        <values>
          <value t="str">
            <val>52.149,000</val>
          </value>
        </values>
      </ddeItem>
      <ddeItem name="DI1F26.12M" advise="1">
        <values>
          <value>
            <val>17.743538767395627</val>
          </value>
        </values>
      </ddeItem>
      <ddeItem name="DI1F26.3" advise="1">
        <values>
          <value t="str">
            <val>11,800</val>
          </value>
        </values>
      </ddeItem>
      <ddeItem name="DI1F26.3M" advise="1">
        <values>
          <value>
            <val>4.361233480176204</val>
          </value>
        </values>
      </ddeItem>
      <ddeItem name="DI1F26.6M" advise="1">
        <values>
          <value>
            <val>22.176379577101603</val>
          </value>
        </values>
      </ddeItem>
      <ddeItem name="DI1F26.ABE" advise="1">
        <values>
          <value>
            <val>11.8</val>
          </value>
        </values>
      </ddeItem>
      <ddeItem name="DI1F26.AJA" advise="1">
        <values>
          <value>
            <val>11.776999999999999</val>
          </value>
        </values>
      </ddeItem>
      <ddeItem name="DI1F26.AJU" advise="1">
        <values>
          <value>
            <val>11.846</val>
          </value>
        </values>
      </ddeItem>
      <ddeItem name="DI1F26.ANO" advise="1">
        <values>
          <value>
            <val>23.257023933402696</val>
          </value>
        </values>
      </ddeItem>
      <ddeItem name="DI1F26.BLACK" advise="1">
        <values>
          <value>
            <val>0</val>
          </value>
        </values>
      </ddeItem>
      <ddeItem name="DI1F26.CAB" advise="1">
        <values>
          <value>
            <val>4176476</val>
          </value>
        </values>
      </ddeItem>
      <ddeItem name="DI1F26.DAT" advise="1">
        <values>
          <value t="str">
            <val>12/09/2024</val>
          </value>
        </values>
      </ddeItem>
      <ddeItem name="DI1F26.DELTA" advise="1">
        <values>
          <value>
            <val>0</val>
          </value>
        </values>
      </ddeItem>
      <ddeItem name="DI1F26.DOBRAR" advise="1">
        <values>
          <value>
            <val>0</val>
          </value>
        </values>
      </ddeItem>
      <ddeItem name="DI1F26.EST" advise="1">
        <values>
          <value t="str">
            <val>Aberto</val>
          </value>
        </values>
      </ddeItem>
      <ddeItem name="DI1F26.FEC" advise="1">
        <values>
          <value>
            <val>11.790000000000001</val>
          </value>
        </values>
      </ddeItem>
      <ddeItem name="DI1F26.GAMA" advise="1">
        <values>
          <value>
            <val>0</val>
          </value>
        </values>
      </ddeItem>
      <ddeItem name="DI1F26.HOR" advise="1">
        <values>
          <value t="str">
            <val>17:00:00</val>
          </value>
        </values>
      </ddeItem>
      <ddeItem name="DI1F26.IMPVT" advise="1">
        <values>
          <value>
            <val>0</val>
          </value>
        </values>
      </ddeItem>
      <ddeItem name="DI1F26.MAX" advise="1">
        <values>
          <value>
            <val>11.9</val>
          </value>
        </values>
      </ddeItem>
      <ddeItem name="DI1F26.MED" advise="1">
        <values>
          <value>
            <val>11.83375</val>
          </value>
        </values>
      </ddeItem>
      <ddeItem name="DI1F26.MES" advise="1">
        <values>
          <value>
            <val>-0.29461279461279577</val>
          </value>
        </values>
      </ddeItem>
      <ddeItem name="DI1F26.MIN" advise="1">
        <values>
          <value>
            <val>11.79</val>
          </value>
        </values>
      </ddeItem>
      <ddeItem name="DI1F26.NEG" advise="1">
        <values>
          <value>
            <val>45038</val>
          </value>
        </values>
      </ddeItem>
      <ddeItem name="DI1F26.OCP" advise="1">
        <values>
          <value>
            <val>11.845000000000001</val>
          </value>
        </values>
      </ddeItem>
      <ddeItem name="DI1F26.OVD" advise="1">
        <values>
          <value>
            <val>11.85</val>
          </value>
        </values>
      </ddeItem>
      <ddeItem name="DI1F26.PEX" advise="1">
        <values>
          <value>
            <val>0</val>
          </value>
        </values>
      </ddeItem>
      <ddeItem name="DI1F26.PRT" advise="1">
        <values>
          <value>
            <val>0</val>
          </value>
        </values>
      </ddeItem>
      <ddeItem name="DI1F26.QTE" advise="1">
        <values>
          <value>
            <val>0</val>
          </value>
        </values>
      </ddeItem>
      <ddeItem name="DI1F26.QTT" advise="1">
        <values>
          <value>
            <val>529816</val>
          </value>
        </values>
      </ddeItem>
      <ddeItem name="DI1F26.QUL" advise="1">
        <values>
          <value>
            <val>8</val>
          </value>
        </values>
      </ddeItem>
      <ddeItem name="DI1F26.RHO" advise="1">
        <values>
          <value>
            <val>0</val>
          </value>
        </values>
      </ddeItem>
      <ddeItem name="DI1F26.SEM" advise="1">
        <values>
          <value>
            <val>0.93736685129952646</val>
          </value>
        </values>
      </ddeItem>
      <ddeItem name="DI1F26.SEMES" advise="1">
        <values>
          <value>
            <val>2.200172562553917</val>
          </value>
        </values>
      </ddeItem>
      <ddeItem name="DI1F26.THETA" advise="1">
        <values>
          <value>
            <val>0</val>
          </value>
        </values>
      </ddeItem>
      <ddeItem name="DI1F26.TRIM" advise="1">
        <values>
          <value>
            <val>2.200172562553917</val>
          </value>
        </values>
      </ddeItem>
      <ddeItem name="DI1F26.ULT" advise="1">
        <values>
          <value>
            <val>11.845000000000001</val>
          </value>
        </values>
      </ddeItem>
      <ddeItem name="DI1F26.VAL" advise="1">
        <values>
          <value t="str">
            <val>30/12/2025</val>
          </value>
        </values>
      </ddeItem>
      <ddeItem name="DI1F26.VAR" advise="1">
        <values>
          <value>
            <val>0.46649703138253074</val>
          </value>
        </values>
      </ddeItem>
      <ddeItem name="DI1F26.VARPTS" advise="1">
        <values>
          <value>
            <val>5.4999999999999716E-2</val>
          </value>
        </values>
      </ddeItem>
      <ddeItem name="DI1F26.VEGA" advise="1">
        <values>
          <value>
            <val>0</val>
          </value>
        </values>
      </ddeItem>
      <ddeItem name="DI1F26.VEN" advise="1">
        <values>
          <value t="str">
            <val>02/01/2026</val>
          </value>
        </values>
      </ddeItem>
      <ddeItem name="DI1F26.VEXT" advise="1">
        <values>
          <value>
            <val>0</val>
          </value>
        </values>
      </ddeItem>
      <ddeItem name="DI1F26.VIA" advise="1">
        <values>
          <value>
            <val>0</val>
          </value>
        </values>
      </ddeItem>
      <ddeItem name="DI1F26.VIB" advise="1">
        <values>
          <value>
            <val>0</val>
          </value>
        </values>
      </ddeItem>
      <ddeItem name="DI1F26.VINT" advise="1">
        <values>
          <value>
            <val>0</val>
          </value>
        </values>
      </ddeItem>
      <ddeItem name="DI1F26.VIVH" advise="1">
        <values>
          <value>
            <val>0</val>
          </value>
        </values>
      </ddeItem>
      <ddeItem name="DI1F26.VOC" advise="1">
        <values>
          <value>
            <val>534</val>
          </value>
        </values>
      </ddeItem>
      <ddeItem name="DI1F26.VOL" advise="1">
        <values>
          <value>
            <val>45790843794.019997</val>
          </value>
        </values>
      </ddeItem>
      <ddeItem name="DI1F26.VOV" advise="1">
        <values>
          <value>
            <val>663</val>
          </value>
        </values>
      </ddeItem>
      <ddeItem name="DI1F26.VPJ" advise="1">
        <values>
          <value>
            <val>45790843794.020004</val>
          </value>
        </values>
      </ddeItem>
      <ddeItem name="DI1G25.103" advise="1">
        <values>
          <value t="str">
            <val>-4.416,000</val>
          </value>
        </values>
      </ddeItem>
      <ddeItem name="DI1G25.12M" advise="1">
        <values>
          <value>
            <val>12.386248736097064</val>
          </value>
        </values>
      </ddeItem>
      <ddeItem name="DI1G25.3" advise="1">
        <values>
          <value t="str">
            <val>11,099</val>
          </value>
        </values>
      </ddeItem>
      <ddeItem name="DI1G25.3M" advise="1">
        <values>
          <value>
            <val>3.0598052851182205</val>
          </value>
        </values>
      </ddeItem>
      <ddeItem name="DI1G25.6M" advise="1">
        <values>
          <value>
            <val>13.592233009708737</val>
          </value>
        </values>
      </ddeItem>
      <ddeItem name="DI1G25.ABE" advise="1">
        <values>
          <value>
            <val>11.095000000000001</val>
          </value>
        </values>
      </ddeItem>
      <ddeItem name="DI1G25.AJA" advise="1">
        <values>
          <value>
            <val>11.071999999999999</val>
          </value>
        </values>
      </ddeItem>
      <ddeItem name="DI1G25.AJU" advise="1">
        <values>
          <value>
            <val>11.118</val>
          </value>
        </values>
      </ddeItem>
      <ddeItem name="DI1G25.ANO" advise="1">
        <values>
          <value>
            <val>12.386248736097064</val>
          </value>
        </values>
      </ddeItem>
      <ddeItem name="DI1G25.BLACK" advise="1">
        <values>
          <value>
            <val>0</val>
          </value>
        </values>
      </ddeItem>
      <ddeItem name="DI1G25.CAB" advise="1">
        <values>
          <value>
            <val>120164</val>
          </value>
        </values>
      </ddeItem>
      <ddeItem name="DI1G25.DAT" advise="1">
        <values>
          <value t="str">
            <val>12/09/2024</val>
          </value>
        </values>
      </ddeItem>
      <ddeItem name="DI1G25.DELTA" advise="1">
        <values>
          <value>
            <val>0</val>
          </value>
        </values>
      </ddeItem>
      <ddeItem name="DI1G25.DOBRAR" advise="1">
        <values>
          <value>
            <val>0</val>
          </value>
        </values>
      </ddeItem>
      <ddeItem name="DI1G25.EST" advise="1">
        <values>
          <value t="str">
            <val>Aberto</val>
          </value>
        </values>
      </ddeItem>
      <ddeItem name="DI1G25.FEC" advise="1">
        <values>
          <value>
            <val>11.08</val>
          </value>
        </values>
      </ddeItem>
      <ddeItem name="DI1G25.GAMA" advise="1">
        <values>
          <value>
            <val>0</val>
          </value>
        </values>
      </ddeItem>
      <ddeItem name="DI1G25.HOR" advise="1">
        <values>
          <value t="str">
            <val>16:34:02</val>
          </value>
        </values>
      </ddeItem>
      <ddeItem name="DI1G25.IMPVT" advise="1">
        <values>
          <value>
            <val>0</val>
          </value>
        </values>
      </ddeItem>
      <ddeItem name="DI1G25.MAX" advise="1">
        <values>
          <value>
            <val>11.12</val>
          </value>
        </values>
      </ddeItem>
      <ddeItem name="DI1G25.MED" advise="1">
        <values>
          <value>
            <val>11.106250000000001</val>
          </value>
        </values>
      </ddeItem>
      <ddeItem name="DI1G25.MES" advise="1">
        <values>
          <value>
            <val>-0.17961383026494249</val>
          </value>
        </values>
      </ddeItem>
      <ddeItem name="DI1G25.MIN" advise="1">
        <values>
          <value>
            <val>11.095000000000001</val>
          </value>
        </values>
      </ddeItem>
      <ddeItem name="DI1G25.NEG" advise="1">
        <values>
          <value>
            <val>476</val>
          </value>
        </values>
      </ddeItem>
      <ddeItem name="DI1G25.OCP" advise="1">
        <values>
          <value>
            <val>11.105</val>
          </value>
        </values>
      </ddeItem>
      <ddeItem name="DI1G25.OVD" advise="1">
        <values>
          <value>
            <val>11.120000000000001</val>
          </value>
        </values>
      </ddeItem>
      <ddeItem name="DI1G25.PEX" advise="1">
        <values>
          <value>
            <val>0</val>
          </value>
        </values>
      </ddeItem>
      <ddeItem name="DI1G25.PRT" advise="1">
        <values>
          <value>
            <val>0</val>
          </value>
        </values>
      </ddeItem>
      <ddeItem name="DI1G25.QTE" advise="1">
        <values>
          <value>
            <val>0</val>
          </value>
        </values>
      </ddeItem>
      <ddeItem name="DI1G25.QTT" advise="1">
        <values>
          <value>
            <val>6499</val>
          </value>
        </values>
      </ddeItem>
      <ddeItem name="DI1G25.QUL" advise="1">
        <values>
          <value>
            <val>1</val>
          </value>
        </values>
      </ddeItem>
      <ddeItem name="DI1G25.RHO" advise="1">
        <values>
          <value>
            <val>0</val>
          </value>
        </values>
      </ddeItem>
      <ddeItem name="DI1G25.SEM" advise="1">
        <values>
          <value>
            <val>0.45187528242204184</val>
          </value>
        </values>
      </ddeItem>
      <ddeItem name="DI1G25.SEMES" advise="1">
        <values>
          <value>
            <val>2.6315789473684221</val>
          </value>
        </values>
      </ddeItem>
      <ddeItem name="DI1G25.THETA" advise="1">
        <values>
          <value>
            <val>0</val>
          </value>
        </values>
      </ddeItem>
      <ddeItem name="DI1G25.TRIM" advise="1">
        <values>
          <value>
            <val>2.6315789473684221</val>
          </value>
        </values>
      </ddeItem>
      <ddeItem name="DI1G25.ULT" advise="1">
        <values>
          <value>
            <val>11.115</val>
          </value>
        </values>
      </ddeItem>
      <ddeItem name="DI1G25.VAL" advise="1">
        <values>
          <value t="str">
            <val>31/01/2025</val>
          </value>
        </values>
      </ddeItem>
      <ddeItem name="DI1G25.VAR" advise="1">
        <values>
          <value>
            <val>0.31588447653430762</val>
          </value>
        </values>
      </ddeItem>
      <ddeItem name="DI1G25.VARPTS" advise="1">
        <values>
          <value>
            <val>3.5000000000000142E-2</val>
          </value>
        </values>
      </ddeItem>
      <ddeItem name="DI1G25.VEGA" advise="1">
        <values>
          <value>
            <val>0</val>
          </value>
        </values>
      </ddeItem>
      <ddeItem name="DI1G25.VEN" advise="1">
        <values>
          <value t="str">
            <val>03/02/2025</val>
          </value>
        </values>
      </ddeItem>
      <ddeItem name="DI1G25.VEXT" advise="1">
        <values>
          <value>
            <val>0</val>
          </value>
        </values>
      </ddeItem>
      <ddeItem name="DI1G25.VIA" advise="1">
        <values>
          <value>
            <val>0</val>
          </value>
        </values>
      </ddeItem>
      <ddeItem name="DI1G25.VIB" advise="1">
        <values>
          <value>
            <val>0</val>
          </value>
        </values>
      </ddeItem>
      <ddeItem name="DI1G25.VINT" advise="1">
        <values>
          <value>
            <val>0</val>
          </value>
        </values>
      </ddeItem>
      <ddeItem name="DI1G25.VIVH" advise="1">
        <values>
          <value>
            <val>0</val>
          </value>
        </values>
      </ddeItem>
      <ddeItem name="DI1G25.VOC" advise="1">
        <values>
          <value>
            <val>255</val>
          </value>
        </values>
      </ddeItem>
      <ddeItem name="DI1G25.VOL" advise="1">
        <values>
          <value>
            <val>623796873.16999996</val>
          </value>
        </values>
      </ddeItem>
      <ddeItem name="DI1G25.VOV" advise="1">
        <values>
          <value>
            <val>670</val>
          </value>
        </values>
      </ddeItem>
      <ddeItem name="DI1G25.VPJ" advise="1">
        <values>
          <value>
            <val>668805435.40027475</val>
          </value>
        </values>
      </ddeItem>
      <ddeItem name="DI1H25.103" advise="1">
        <values>
          <value t="str">
            <val>97,000</val>
          </value>
        </values>
      </ddeItem>
      <ddeItem name="DI1H25.12M" advise="1">
        <values>
          <value>
            <val>14.517766497461906</val>
          </value>
        </values>
      </ddeItem>
      <ddeItem name="DI1H25.3" advise="1">
        <values>
          <value t="str">
            <val>11,248</val>
          </value>
        </values>
      </ddeItem>
      <ddeItem name="DI1H25.3M" advise="1">
        <values>
          <value>
            <val>3.8674033149171096</val>
          </value>
        </values>
      </ddeItem>
      <ddeItem name="DI1H25.6M" advise="1">
        <values>
          <value>
            <val>15.811088295687876</val>
          </value>
        </values>
      </ddeItem>
      <ddeItem name="DI1H25.ABE" advise="1">
        <values>
          <value>
            <val>11.29</val>
          </value>
        </values>
      </ddeItem>
      <ddeItem name="DI1H25.AJA" advise="1">
        <values>
          <value>
            <val>11.225</val>
          </value>
        </values>
      </ddeItem>
      <ddeItem name="DI1H25.AJU" advise="1">
        <values>
          <value>
            <val>11.273999999999999</val>
          </value>
        </values>
      </ddeItem>
      <ddeItem name="DI1H25.ANO" advise="1">
        <values>
          <value>
            <val>14.517766497461906</val>
          </value>
        </values>
      </ddeItem>
      <ddeItem name="DI1H25.BLACK" advise="1">
        <values>
          <value>
            <val>0</val>
          </value>
        </values>
      </ddeItem>
      <ddeItem name="DI1H25.CAB" advise="1">
        <values>
          <value>
            <val>220840</val>
          </value>
        </values>
      </ddeItem>
      <ddeItem name="DI1H25.DAT" advise="1">
        <values>
          <value t="str">
            <val>12/09/2024</val>
          </value>
        </values>
      </ddeItem>
      <ddeItem name="DI1H25.DELTA" advise="1">
        <values>
          <value>
            <val>0</val>
          </value>
        </values>
      </ddeItem>
      <ddeItem name="DI1H25.DOBRAR" advise="1">
        <values>
          <value>
            <val>0</val>
          </value>
        </values>
      </ddeItem>
      <ddeItem name="DI1H25.EST" advise="1">
        <values>
          <value t="str">
            <val>Aberto</val>
          </value>
        </values>
      </ddeItem>
      <ddeItem name="DI1H25.FEC" advise="1">
        <values>
          <value>
            <val>11.225000000000001</val>
          </value>
        </values>
      </ddeItem>
      <ddeItem name="DI1H25.GAMA" advise="1">
        <values>
          <value>
            <val>0</val>
          </value>
        </values>
      </ddeItem>
      <ddeItem name="DI1H25.HOR" advise="1">
        <values>
          <value t="str">
            <val>15:44:00</val>
          </value>
        </values>
      </ddeItem>
      <ddeItem name="DI1H25.IMPVT" advise="1">
        <values>
          <value>
            <val>0</val>
          </value>
        </values>
      </ddeItem>
      <ddeItem name="DI1H25.MAX" advise="1">
        <values>
          <value>
            <val>11.29</val>
          </value>
        </values>
      </ddeItem>
      <ddeItem name="DI1H25.MED" advise="1">
        <values>
          <value>
            <val>11.27875</val>
          </value>
        </values>
      </ddeItem>
      <ddeItem name="DI1H25.MES" advise="1">
        <values>
          <value>
            <val>-0.4413062665489913</val>
          </value>
        </values>
      </ddeItem>
      <ddeItem name="DI1H25.MIN" advise="1">
        <values>
          <value>
            <val>11.255000000000001</val>
          </value>
        </values>
      </ddeItem>
      <ddeItem name="DI1H25.NEG" advise="1">
        <values>
          <value>
            <val>25</val>
          </value>
        </values>
      </ddeItem>
      <ddeItem name="DI1H25.OCP" advise="1">
        <values>
          <value>
            <val>11.26</val>
          </value>
        </values>
      </ddeItem>
      <ddeItem name="DI1H25.OVD" advise="1">
        <values>
          <value>
            <val>11.285</val>
          </value>
        </values>
      </ddeItem>
      <ddeItem name="DI1H25.PEX" advise="1">
        <values>
          <value>
            <val>0</val>
          </value>
        </values>
      </ddeItem>
      <ddeItem name="DI1H25.PRT" advise="1">
        <values>
          <value>
            <val>0</val>
          </value>
        </values>
      </ddeItem>
      <ddeItem name="DI1H25.QTE" advise="1">
        <values>
          <value>
            <val>0</val>
          </value>
        </values>
      </ddeItem>
      <ddeItem name="DI1H25.QTT" advise="1">
        <values>
          <value>
            <val>17796</val>
          </value>
        </values>
      </ddeItem>
      <ddeItem name="DI1H25.QUL" advise="1">
        <values>
          <value>
            <val>895</val>
          </value>
        </values>
      </ddeItem>
      <ddeItem name="DI1H25.RHO" advise="1">
        <values>
          <value>
            <val>0</val>
          </value>
        </values>
      </ddeItem>
      <ddeItem name="DI1H25.SEM" advise="1">
        <values>
          <value>
            <val>0.48997772828505953</val>
          </value>
        </values>
      </ddeItem>
      <ddeItem name="DI1H25.SEMES" advise="1">
        <values>
          <value>
            <val>3.2967032967032748</val>
          </value>
        </values>
      </ddeItem>
      <ddeItem name="DI1H25.THETA" advise="1">
        <values>
          <value>
            <val>0</val>
          </value>
        </values>
      </ddeItem>
      <ddeItem name="DI1H25.TRIM" advise="1">
        <values>
          <value>
            <val>3.2967032967032748</val>
          </value>
        </values>
      </ddeItem>
      <ddeItem name="DI1H25.ULT" advise="1">
        <values>
          <value>
            <val>11.28</val>
          </value>
        </values>
      </ddeItem>
      <ddeItem name="DI1H25.VAL" advise="1">
        <values>
          <value t="str">
            <val>28/02/2025</val>
          </value>
        </values>
      </ddeItem>
      <ddeItem name="DI1H25.VAR" advise="1">
        <values>
          <value>
            <val>0.48997772828505504</val>
          </value>
        </values>
      </ddeItem>
      <ddeItem name="DI1H25.VARPTS" advise="1">
        <values>
          <value>
            <val>5.4999999999997939E-2</val>
          </value>
        </values>
      </ddeItem>
      <ddeItem name="DI1H25.VEGA" advise="1">
        <values>
          <value>
            <val>0</val>
          </value>
        </values>
      </ddeItem>
      <ddeItem name="DI1H25.VEN" advise="1">
        <values>
          <value t="str">
            <val>05/03/2025</val>
          </value>
        </values>
      </ddeItem>
      <ddeItem name="DI1H25.VEXT" advise="1">
        <values>
          <value>
            <val>0</val>
          </value>
        </values>
      </ddeItem>
      <ddeItem name="DI1H25.VIA" advise="1">
        <values>
          <value>
            <val>0</val>
          </value>
        </values>
      </ddeItem>
      <ddeItem name="DI1H25.VIB" advise="1">
        <values>
          <value>
            <val>0</val>
          </value>
        </values>
      </ddeItem>
      <ddeItem name="DI1H25.VINT" advise="1">
        <values>
          <value>
            <val>0</val>
          </value>
        </values>
      </ddeItem>
      <ddeItem name="DI1H25.VIVH" advise="1">
        <values>
          <value>
            <val>0</val>
          </value>
        </values>
      </ddeItem>
      <ddeItem name="DI1H25.VOC" advise="1">
        <values>
          <value>
            <val>1776</val>
          </value>
        </values>
      </ddeItem>
      <ddeItem name="DI1H25.VOL" advise="1">
        <values>
          <value>
            <val>1692766049.02</val>
          </value>
        </values>
      </ddeItem>
      <ddeItem name="DI1H25.VOV" advise="1">
        <values>
          <value>
            <val>925</val>
          </value>
        </values>
      </ddeItem>
      <ddeItem name="DI1H25.VPJ" advise="1">
        <values>
          <value>
            <val>2085930590.4258206</val>
          </value>
        </values>
      </ddeItem>
      <ddeItem name="DI1J25.103" advise="1">
        <values>
          <value t="str">
            <val>25.303,000</val>
          </value>
        </values>
      </ddeItem>
      <ddeItem name="DI1J25.12M" advise="1">
        <values>
          <value>
            <val>10.754257907542582</val>
          </value>
        </values>
      </ddeItem>
      <ddeItem name="DI1J25.3" advise="1">
        <values>
          <value t="str">
            <val>11,347</val>
          </value>
        </values>
      </ddeItem>
      <ddeItem name="DI1J25.3M" advise="1">
        <values>
          <value>
            <val>4.260192395785614</val>
          </value>
        </values>
      </ddeItem>
      <ddeItem name="DI1J25.6M" advise="1">
        <values>
          <value>
            <val>16.717948717948726</val>
          </value>
        </values>
      </ddeItem>
      <ddeItem name="DI1J25.ABE" advise="1">
        <values>
          <value>
            <val>11.34</val>
          </value>
        </values>
      </ddeItem>
      <ddeItem name="DI1J25.AJA" advise="1">
        <values>
          <value>
            <val>11.326000000000001</val>
          </value>
        </values>
      </ddeItem>
      <ddeItem name="DI1J25.AJU" advise="1">
        <values>
          <value>
            <val>11.382</val>
          </value>
        </values>
      </ddeItem>
      <ddeItem name="DI1J25.ANO" advise="1">
        <values>
          <value>
            <val>15.53299492385786</val>
          </value>
        </values>
      </ddeItem>
      <ddeItem name="DI1J25.BLACK" advise="1">
        <values>
          <value>
            <val>0</val>
          </value>
        </values>
      </ddeItem>
      <ddeItem name="DI1J25.CAB" advise="1">
        <values>
          <value>
            <val>1642059</val>
          </value>
        </values>
      </ddeItem>
      <ddeItem name="DI1J25.DAT" advise="1">
        <values>
          <value t="str">
            <val>12/09/2024</val>
          </value>
        </values>
      </ddeItem>
      <ddeItem name="DI1J25.DELTA" advise="1">
        <values>
          <value>
            <val>0</val>
          </value>
        </values>
      </ddeItem>
      <ddeItem name="DI1J25.DOBRAR" advise="1">
        <values>
          <value>
            <val>0</val>
          </value>
        </values>
      </ddeItem>
      <ddeItem name="DI1J25.EST" advise="1">
        <values>
          <value t="str">
            <val>Aberto</val>
          </value>
        </values>
      </ddeItem>
      <ddeItem name="DI1J25.FEC" advise="1">
        <values>
          <value>
            <val>11.335000000000001</val>
          </value>
        </values>
      </ddeItem>
      <ddeItem name="DI1J25.GAMA" advise="1">
        <values>
          <value>
            <val>0</val>
          </value>
        </values>
      </ddeItem>
      <ddeItem name="DI1J25.HOR" advise="1">
        <values>
          <value t="str">
            <val>16:59:22</val>
          </value>
        </values>
      </ddeItem>
      <ddeItem name="DI1J25.IMPVT" advise="1">
        <values>
          <value>
            <val>0</val>
          </value>
        </values>
      </ddeItem>
      <ddeItem name="DI1J25.MAX" advise="1">
        <values>
          <value>
            <val>11.395</val>
          </value>
        </values>
      </ddeItem>
      <ddeItem name="DI1J25.MED" advise="1">
        <values>
          <value>
            <val>11.363750000000001</val>
          </value>
        </values>
      </ddeItem>
      <ddeItem name="DI1J25.MES" advise="1">
        <values>
          <value>
            <val>-0.3066141042487967</val>
          </value>
        </values>
      </ddeItem>
      <ddeItem name="DI1J25.MIN" advise="1">
        <values>
          <value>
            <val>11.34</val>
          </value>
        </values>
      </ddeItem>
      <ddeItem name="DI1J25.NEG" advise="1">
        <values>
          <value>
            <val>7676</val>
          </value>
        </values>
      </ddeItem>
      <ddeItem name="DI1J25.OCP" advise="1">
        <values>
          <value>
            <val>11.375</val>
          </value>
        </values>
      </ddeItem>
      <ddeItem name="DI1J25.OVD" advise="1">
        <values>
          <value>
            <val>11.38</val>
          </value>
        </values>
      </ddeItem>
      <ddeItem name="DI1J25.PEX" advise="1">
        <values>
          <value>
            <val>0</val>
          </value>
        </values>
      </ddeItem>
      <ddeItem name="DI1J25.PRT" advise="1">
        <values>
          <value>
            <val>0</val>
          </value>
        </values>
      </ddeItem>
      <ddeItem name="DI1J25.QTE" advise="1">
        <values>
          <value>
            <val>0</val>
          </value>
        </values>
      </ddeItem>
      <ddeItem name="DI1J25.QTT" advise="1">
        <values>
          <value>
            <val>137520</val>
          </value>
        </values>
      </ddeItem>
      <ddeItem name="DI1J25.QUL" advise="1">
        <values>
          <value>
            <val>1</val>
          </value>
        </values>
      </ddeItem>
      <ddeItem name="DI1J25.RHO" advise="1">
        <values>
          <value>
            <val>0</val>
          </value>
        </values>
      </ddeItem>
      <ddeItem name="DI1J25.SEM" advise="1">
        <values>
          <value>
            <val>0.4856512141280328</val>
          </value>
        </values>
      </ddeItem>
      <ddeItem name="DI1J25.SEMES" advise="1">
        <values>
          <value>
            <val>3.2667876588021718</val>
          </value>
        </values>
      </ddeItem>
      <ddeItem name="DI1J25.THETA" advise="1">
        <values>
          <value>
            <val>0</val>
          </value>
        </values>
      </ddeItem>
      <ddeItem name="DI1J25.TRIM" advise="1">
        <values>
          <value>
            <val>3.2667876588021718</val>
          </value>
        </values>
      </ddeItem>
      <ddeItem name="DI1J25.ULT" advise="1">
        <values>
          <value>
            <val>11.38</val>
          </value>
        </values>
      </ddeItem>
      <ddeItem name="DI1J25.VAL" advise="1">
        <values>
          <value t="str">
            <val>31/03/2025</val>
          </value>
        </values>
      </ddeItem>
      <ddeItem name="DI1J25.VAR" advise="1">
        <values>
          <value>
            <val>0.39700044111160082</val>
          </value>
        </values>
      </ddeItem>
      <ddeItem name="DI1J25.VARPTS" advise="1">
        <values>
          <value>
            <val>4.4999999999999929E-2</val>
          </value>
        </values>
      </ddeItem>
      <ddeItem name="DI1J25.VEGA" advise="1">
        <values>
          <value>
            <val>0</val>
          </value>
        </values>
      </ddeItem>
      <ddeItem name="DI1J25.VEN" advise="1">
        <values>
          <value t="str">
            <val>01/04/2025</val>
          </value>
        </values>
      </ddeItem>
      <ddeItem name="DI1J25.VEXT" advise="1">
        <values>
          <value>
            <val>0</val>
          </value>
        </values>
      </ddeItem>
      <ddeItem name="DI1J25.VIA" advise="1">
        <values>
          <value>
            <val>0</val>
          </value>
        </values>
      </ddeItem>
      <ddeItem name="DI1J25.VIB" advise="1">
        <values>
          <value>
            <val>0</val>
          </value>
        </values>
      </ddeItem>
      <ddeItem name="DI1J25.VINT" advise="1">
        <values>
          <value>
            <val>0</val>
          </value>
        </values>
      </ddeItem>
      <ddeItem name="DI1J25.VIVH" advise="1">
        <values>
          <value>
            <val>0</val>
          </value>
        </values>
      </ddeItem>
      <ddeItem name="DI1J25.VOC" advise="1">
        <values>
          <value>
            <val>1763</val>
          </value>
        </values>
      </ddeItem>
      <ddeItem name="DI1J25.VOL" advise="1">
        <values>
          <value>
            <val>12969561517.110001</val>
          </value>
        </values>
      </ddeItem>
      <ddeItem name="DI1J25.VOV" advise="1">
        <values>
          <value>
            <val>100</val>
          </value>
        </values>
      </ddeItem>
      <ddeItem name="DI1J25.VPJ" advise="1">
        <values>
          <value>
            <val>12990884610.766953</val>
          </value>
        </values>
      </ddeItem>
      <ddeItem name="DI1K25.103" advise="1">
        <values>
          <value t="str">
            <val>-30,000</val>
          </value>
        </values>
      </ddeItem>
      <ddeItem name="DI1K25.12M" advise="1">
        <values>
          <value>
            <val>12.127139364303162</val>
          </value>
        </values>
      </ddeItem>
      <ddeItem name="DI1K25.3" advise="1">
        <values>
          <value t="str">
            <val>11,426</val>
          </value>
        </values>
      </ddeItem>
      <ddeItem name="DI1K25.3M" advise="1">
        <values>
          <value>
            <val>4.6076642335766334</val>
          </value>
        </values>
      </ddeItem>
      <ddeItem name="DI1K25.6M" advise="1">
        <values>
          <value>
            <val>12.127139364303162</val>
          </value>
        </values>
      </ddeItem>
      <ddeItem name="DI1K25.ABE" advise="1">
        <values>
          <value>
            <val>11.46</val>
          </value>
        </values>
      </ddeItem>
      <ddeItem name="DI1K25.AJA" advise="1">
        <values>
          <value>
            <val>11.414</val>
          </value>
        </values>
      </ddeItem>
      <ddeItem name="DI1K25.AJU" advise="1">
        <values>
          <value>
            <val>11.472</val>
          </value>
        </values>
      </ddeItem>
      <ddeItem name="DI1K25.ANO" advise="1">
        <values>
          <value>
            <val>12.127139364303162</val>
          </value>
        </values>
      </ddeItem>
      <ddeItem name="DI1K25.BLACK" advise="1">
        <values>
          <value>
            <val>0</val>
          </value>
        </values>
      </ddeItem>
      <ddeItem name="DI1K25.CAB" advise="1">
        <values>
          <value>
            <val>89840</val>
          </value>
        </values>
      </ddeItem>
      <ddeItem name="DI1K25.DAT" advise="1">
        <values>
          <value t="str">
            <val>12/09/2024</val>
          </value>
        </values>
      </ddeItem>
      <ddeItem name="DI1K25.DELTA" advise="1">
        <values>
          <value>
            <val>0</val>
          </value>
        </values>
      </ddeItem>
      <ddeItem name="DI1K25.DOBRAR" advise="1">
        <values>
          <value>
            <val>0</val>
          </value>
        </values>
      </ddeItem>
      <ddeItem name="DI1K25.EST" advise="1">
        <values>
          <value t="str">
            <val>Aberto</val>
          </value>
        </values>
      </ddeItem>
      <ddeItem name="DI1K25.FEC" advise="1">
        <values>
          <value>
            <val>11.425000000000001</val>
          </value>
        </values>
      </ddeItem>
      <ddeItem name="DI1K25.GAMA" advise="1">
        <values>
          <value>
            <val>0</val>
          </value>
        </values>
      </ddeItem>
      <ddeItem name="DI1K25.HOR" advise="1">
        <values>
          <value t="str">
            <val>16:02:13</val>
          </value>
        </values>
      </ddeItem>
      <ddeItem name="DI1K25.IMPVT" advise="1">
        <values>
          <value>
            <val>0</val>
          </value>
        </values>
      </ddeItem>
      <ddeItem name="DI1K25.MAX" advise="1">
        <values>
          <value>
            <val>11.465</val>
          </value>
        </values>
      </ddeItem>
      <ddeItem name="DI1K25.MED" advise="1">
        <values>
          <value>
            <val>11.462500000000002</val>
          </value>
        </values>
      </ddeItem>
      <ddeItem name="DI1K25.MES" advise="1">
        <values>
          <value>
            <val>-0.34767492394611837</val>
          </value>
        </values>
      </ddeItem>
      <ddeItem name="DI1K25.MIN" advise="1">
        <values>
          <value>
            <val>11.46</val>
          </value>
        </values>
      </ddeItem>
      <ddeItem name="DI1K25.NEG" advise="1">
        <values>
          <value>
            <val>37</val>
          </value>
        </values>
      </ddeItem>
      <ddeItem name="DI1K25.OCP" advise="1">
        <values>
          <value>
            <val>11.46</val>
          </value>
        </values>
      </ddeItem>
      <ddeItem name="DI1K25.OVD" advise="1">
        <values>
          <value>
            <val>11.475</val>
          </value>
        </values>
      </ddeItem>
      <ddeItem name="DI1K25.PEX" advise="1">
        <values>
          <value>
            <val>0</val>
          </value>
        </values>
      </ddeItem>
      <ddeItem name="DI1K25.PRT" advise="1">
        <values>
          <value>
            <val>0</val>
          </value>
        </values>
      </ddeItem>
      <ddeItem name="DI1K25.QTE" advise="1">
        <values>
          <value>
            <val>0</val>
          </value>
        </values>
      </ddeItem>
      <ddeItem name="DI1K25.QTT" advise="1">
        <values>
          <value>
            <val>3316</val>
          </value>
        </values>
      </ddeItem>
      <ddeItem name="DI1K25.QUL" advise="1">
        <values>
          <value>
            <val>102</val>
          </value>
        </values>
      </ddeItem>
      <ddeItem name="DI1K25.RHO" advise="1">
        <values>
          <value>
            <val>0</val>
          </value>
        </values>
      </ddeItem>
      <ddeItem name="DI1K25.SEM" advise="1">
        <values>
          <value>
            <val>0.8355321020228571</val>
          </value>
        </values>
      </ddeItem>
      <ddeItem name="DI1K25.SEMES" advise="1">
        <values>
          <value>
            <val>3.56820234869015</val>
          </value>
        </values>
      </ddeItem>
      <ddeItem name="DI1K25.THETA" advise="1">
        <values>
          <value>
            <val>0</val>
          </value>
        </values>
      </ddeItem>
      <ddeItem name="DI1K25.TRIM" advise="1">
        <values>
          <value>
            <val>3.56820234869015</val>
          </value>
        </values>
      </ddeItem>
      <ddeItem name="DI1K25.ULT" advise="1">
        <values>
          <value>
            <val>11.465</val>
          </value>
        </values>
      </ddeItem>
      <ddeItem name="DI1K25.VAL" advise="1">
        <values>
          <value t="str">
            <val>30/04/2025</val>
          </value>
        </values>
      </ddeItem>
      <ddeItem name="DI1K25.VAR" advise="1">
        <values>
          <value>
            <val>0.35010940919035249</val>
          </value>
        </values>
      </ddeItem>
      <ddeItem name="DI1K25.VARPTS" advise="1">
        <values>
          <value>
            <val>3.9999999999999147E-2</val>
          </value>
        </values>
      </ddeItem>
      <ddeItem name="DI1K25.VEGA" advise="1">
        <values>
          <value>
            <val>0</val>
          </value>
        </values>
      </ddeItem>
      <ddeItem name="DI1K25.VEN" advise="1">
        <values>
          <value t="str">
            <val>02/05/2025</val>
          </value>
        </values>
      </ddeItem>
      <ddeItem name="DI1K25.VEXT" advise="1">
        <values>
          <value>
            <val>0</val>
          </value>
        </values>
      </ddeItem>
      <ddeItem name="DI1K25.VIA" advise="1">
        <values>
          <value>
            <val>0</val>
          </value>
        </values>
      </ddeItem>
      <ddeItem name="DI1K25.VIB" advise="1">
        <values>
          <value>
            <val>0</val>
          </value>
        </values>
      </ddeItem>
      <ddeItem name="DI1K25.VINT" advise="1">
        <values>
          <value>
            <val>0</val>
          </value>
        </values>
      </ddeItem>
      <ddeItem name="DI1K25.VIVH" advise="1">
        <values>
          <value>
            <val>0</val>
          </value>
        </values>
      </ddeItem>
      <ddeItem name="DI1K25.VOC" advise="1">
        <values>
          <value>
            <val>800</val>
          </value>
        </values>
      </ddeItem>
      <ddeItem name="DI1K25.VOL" advise="1">
        <values>
          <value>
            <val>309920382.88999999</val>
          </value>
        </values>
      </ddeItem>
      <ddeItem name="DI1K25.VOV" advise="1">
        <values>
          <value>
            <val>150</val>
          </value>
        </values>
      </ddeItem>
      <ddeItem name="DI1K25.VPJ" advise="1">
        <values>
          <value>
            <val>364507210.88157117</val>
          </value>
        </values>
      </ddeItem>
      <ddeItem name="DI1M25.103" advise="1">
        <values>
          <value t="str">
            <val>-498,000</val>
          </value>
        </values>
      </ddeItem>
      <ddeItem name="DI1M25.12M" advise="1">
        <values>
          <value>
            <val>8.872109485606412</val>
          </value>
        </values>
      </ddeItem>
      <ddeItem name="DI1M25.3" advise="1">
        <values>
          <value t="str">
            <val>11,494</val>
          </value>
        </values>
      </ddeItem>
      <ddeItem name="DI1M25.3M" advise="1">
        <values>
          <value>
            <val>4.7683923705721938</val>
          </value>
        </values>
      </ddeItem>
      <ddeItem name="DI1M25.6M" advise="1">
        <values>
          <value>
            <val>8.872109485606412</val>
          </value>
        </values>
      </ddeItem>
      <ddeItem name="DI1M25.ABE" advise="1">
        <values>
          <value>
            <val>11.53</val>
          </value>
        </values>
      </ddeItem>
      <ddeItem name="DI1M25.AJA" advise="1">
        <values>
          <value>
            <val>11.475</val>
          </value>
        </values>
      </ddeItem>
      <ddeItem name="DI1M25.AJU" advise="1">
        <values>
          <value>
            <val>11.545</val>
          </value>
        </values>
      </ddeItem>
      <ddeItem name="DI1M25.ANO" advise="1">
        <values>
          <value>
            <val>8.872109485606412</val>
          </value>
        </values>
      </ddeItem>
      <ddeItem name="DI1M25.BLACK" advise="1">
        <values>
          <value>
            <val>0</val>
          </value>
        </values>
      </ddeItem>
      <ddeItem name="DI1M25.CAB" advise="1">
        <values>
          <value>
            <val>85385</val>
          </value>
        </values>
      </ddeItem>
      <ddeItem name="DI1M25.DAT" advise="1">
        <values>
          <value t="str">
            <val>12/09/2024</val>
          </value>
        </values>
      </ddeItem>
      <ddeItem name="DI1M25.DELTA" advise="1">
        <values>
          <value>
            <val>0</val>
          </value>
        </values>
      </ddeItem>
      <ddeItem name="DI1M25.DOBRAR" advise="1">
        <values>
          <value>
            <val>0</val>
          </value>
        </values>
      </ddeItem>
      <ddeItem name="DI1M25.EST" advise="1">
        <values>
          <value t="str">
            <val>Aberto</val>
          </value>
        </values>
      </ddeItem>
      <ddeItem name="DI1M25.FEC" advise="1">
        <values>
          <value>
            <val>11.440000000000001</val>
          </value>
        </values>
      </ddeItem>
      <ddeItem name="DI1M25.GAMA" advise="1">
        <values>
          <value>
            <val>0</val>
          </value>
        </values>
      </ddeItem>
      <ddeItem name="DI1M25.HOR" advise="1">
        <values>
          <value t="str">
            <val>16:02:59</val>
          </value>
        </values>
      </ddeItem>
      <ddeItem name="DI1M25.IMPVT" advise="1">
        <values>
          <value>
            <val>0</val>
          </value>
        </values>
      </ddeItem>
      <ddeItem name="DI1M25.MAX" advise="1">
        <values>
          <value>
            <val>11.545</val>
          </value>
        </values>
      </ddeItem>
      <ddeItem name="DI1M25.MED" advise="1">
        <values>
          <value>
            <val>11.535</val>
          </value>
        </values>
      </ddeItem>
      <ddeItem name="DI1M25.MES" advise="1">
        <values>
          <value>
            <val>-0.30250648228176441</val>
          </value>
        </values>
      </ddeItem>
      <ddeItem name="DI1M25.MIN" advise="1">
        <values>
          <value>
            <val>11.53</val>
          </value>
        </values>
      </ddeItem>
      <ddeItem name="DI1M25.NEG" advise="1">
        <values>
          <value>
            <val>4</val>
          </value>
        </values>
      </ddeItem>
      <ddeItem name="DI1M25.OCP" advise="1">
        <values>
          <value>
            <val>11.535</val>
          </value>
        </values>
      </ddeItem>
      <ddeItem name="DI1M25.OVD" advise="1">
        <values>
          <value>
            <val>11.55</val>
          </value>
        </values>
      </ddeItem>
      <ddeItem name="DI1M25.PEX" advise="1">
        <values>
          <value>
            <val>0</val>
          </value>
        </values>
      </ddeItem>
      <ddeItem name="DI1M25.PRT" advise="1">
        <values>
          <value>
            <val>0</val>
          </value>
        </values>
      </ddeItem>
      <ddeItem name="DI1M25.QTE" advise="1">
        <values>
          <value>
            <val>0</val>
          </value>
        </values>
      </ddeItem>
      <ddeItem name="DI1M25.QTT" advise="1">
        <values>
          <value>
            <val>5498</val>
          </value>
        </values>
      </ddeItem>
      <ddeItem name="DI1M25.QUL" advise="1">
        <values>
          <value>
            <val>5000</val>
          </value>
        </values>
      </ddeItem>
      <ddeItem name="DI1M25.RHO" advise="1">
        <values>
          <value>
            <val>0</val>
          </value>
        </values>
      </ddeItem>
      <ddeItem name="DI1M25.SEM" advise="1">
        <values>
          <value>
            <val>0.56669572798604628</val>
          </value>
        </values>
      </ddeItem>
      <ddeItem name="DI1M25.SEMES" advise="1">
        <values>
          <value>
            <val>3.4065441506051011</val>
          </value>
        </values>
      </ddeItem>
      <ddeItem name="DI1M25.THETA" advise="1">
        <values>
          <value>
            <val>0</val>
          </value>
        </values>
      </ddeItem>
      <ddeItem name="DI1M25.TRIM" advise="1">
        <values>
          <value>
            <val>3.4065441506051011</val>
          </value>
        </values>
      </ddeItem>
      <ddeItem name="DI1M25.ULT" advise="1">
        <values>
          <value>
            <val>11.535</val>
          </value>
        </values>
      </ddeItem>
      <ddeItem name="DI1M25.VAL" advise="1">
        <values>
          <value t="str">
            <val>30/05/2025</val>
          </value>
        </values>
      </ddeItem>
      <ddeItem name="DI1M25.VAR" advise="1">
        <values>
          <value>
            <val>0.83041958041955866</val>
          </value>
        </values>
      </ddeItem>
      <ddeItem name="DI1M25.VARPTS" advise="1">
        <values>
          <value>
            <val>9.4999999999998863E-2</val>
          </value>
        </values>
      </ddeItem>
      <ddeItem name="DI1M25.VEGA" advise="1">
        <values>
          <value>
            <val>0</val>
          </value>
        </values>
      </ddeItem>
      <ddeItem name="DI1M25.VEN" advise="1">
        <values>
          <value t="str">
            <val>02/06/2025</val>
          </value>
        </values>
      </ddeItem>
      <ddeItem name="DI1M25.VEXT" advise="1">
        <values>
          <value>
            <val>0</val>
          </value>
        </values>
      </ddeItem>
      <ddeItem name="DI1M25.VIA" advise="1">
        <values>
          <value>
            <val>0</val>
          </value>
        </values>
      </ddeItem>
      <ddeItem name="DI1M25.VIB" advise="1">
        <values>
          <value>
            <val>0</val>
          </value>
        </values>
      </ddeItem>
      <ddeItem name="DI1M25.VINT" advise="1">
        <values>
          <value>
            <val>0</val>
          </value>
        </values>
      </ddeItem>
      <ddeItem name="DI1M25.VIVH" advise="1">
        <values>
          <value>
            <val>0</val>
          </value>
        </values>
      </ddeItem>
      <ddeItem name="DI1M25.VOC" advise="1">
        <values>
          <value>
            <val>500</val>
          </value>
        </values>
      </ddeItem>
      <ddeItem name="DI1M25.VOL" advise="1">
        <values>
          <value>
            <val>508996639.30000001</val>
          </value>
        </values>
      </ddeItem>
      <ddeItem name="DI1M25.VOV" advise="1">
        <values>
          <value>
            <val>4770</val>
          </value>
        </values>
      </ddeItem>
      <ddeItem name="DI1M25.VPJ" advise="1">
        <values>
          <value>
            <val>597251400.36071968</val>
          </value>
        </values>
      </ddeItem>
      <ddeItem name="DI1N25.103" advise="1">
        <values>
          <value t="str">
            <val>22.426,000</val>
          </value>
        </values>
      </ddeItem>
      <ddeItem name="DI1N25.12M" advise="1">
        <values>
          <value>
            <val>14.370078740157471</val>
          </value>
        </values>
      </ddeItem>
      <ddeItem name="DI1N25.3" advise="1">
        <values>
          <value t="str">
            <val>11,584</val>
          </value>
        </values>
      </ddeItem>
      <ddeItem name="DI1N25.3M" advise="1">
        <values>
          <value>
            <val>4.8736462093862736</val>
          </value>
        </values>
      </ddeItem>
      <ddeItem name="DI1N25.6M" advise="1">
        <values>
          <value>
            <val>19.732096857290049</val>
          </value>
        </values>
      </ddeItem>
      <ddeItem name="DI1N25.ABE" advise="1">
        <values>
          <value>
            <val>11.565</val>
          </value>
        </values>
      </ddeItem>
      <ddeItem name="DI1N25.AJA" advise="1">
        <values>
          <value>
            <val>11.552</val>
          </value>
        </values>
      </ddeItem>
      <ddeItem name="DI1N25.AJU" advise="1">
        <values>
          <value>
            <val>11.624000000000001</val>
          </value>
        </values>
      </ddeItem>
      <ddeItem name="DI1N25.ANO" advise="1">
        <values>
          <value>
            <val>19.485861182519255</val>
          </value>
        </values>
      </ddeItem>
      <ddeItem name="DI1N25.BLACK" advise="1">
        <values>
          <value>
            <val>0</val>
          </value>
        </values>
      </ddeItem>
      <ddeItem name="DI1N25.CAB" advise="1">
        <values>
          <value>
            <val>2104400</val>
          </value>
        </values>
      </ddeItem>
      <ddeItem name="DI1N25.DAT" advise="1">
        <values>
          <value t="str">
            <val>12/09/2024</val>
          </value>
        </values>
      </ddeItem>
      <ddeItem name="DI1N25.DELTA" advise="1">
        <values>
          <value>
            <val>0</val>
          </value>
        </values>
      </ddeItem>
      <ddeItem name="DI1N25.DOBRAR" advise="1">
        <values>
          <value>
            <val>0</val>
          </value>
        </values>
      </ddeItem>
      <ddeItem name="DI1N25.EST" advise="1">
        <values>
          <value t="str">
            <val>Aberto</val>
          </value>
        </values>
      </ddeItem>
      <ddeItem name="DI1N25.FEC" advise="1">
        <values>
          <value>
            <val>11.56</val>
          </value>
        </values>
      </ddeItem>
      <ddeItem name="DI1N25.GAMA" advise="1">
        <values>
          <value>
            <val>0</val>
          </value>
        </values>
      </ddeItem>
      <ddeItem name="DI1N25.HOR" advise="1">
        <values>
          <value t="str">
            <val>16:59:02</val>
          </value>
        </values>
      </ddeItem>
      <ddeItem name="DI1N25.IMPVT" advise="1">
        <values>
          <value>
            <val>0</val>
          </value>
        </values>
      </ddeItem>
      <ddeItem name="DI1N25.MAX" advise="1">
        <values>
          <value>
            <val>11.654999999999999</val>
          </value>
        </values>
      </ddeItem>
      <ddeItem name="DI1N25.MED" advise="1">
        <values>
          <value>
            <val>11.601249999999999</val>
          </value>
        </values>
      </ddeItem>
      <ddeItem name="DI1N25.MES" advise="1">
        <values>
          <value>
            <val>-0.42844901456728773</val>
          </value>
        </values>
      </ddeItem>
      <ddeItem name="DI1N25.MIN" advise="1">
        <values>
          <value>
            <val>11.565</val>
          </value>
        </values>
      </ddeItem>
      <ddeItem name="DI1N25.NEG" advise="1">
        <values>
          <value>
            <val>31033</val>
          </value>
        </values>
      </ddeItem>
      <ddeItem name="DI1N25.OCP" advise="1">
        <values>
          <value>
            <val>11.615</val>
          </value>
        </values>
      </ddeItem>
      <ddeItem name="DI1N25.OVD" advise="1">
        <values>
          <value>
            <val>11.620000000000001</val>
          </value>
        </values>
      </ddeItem>
      <ddeItem name="DI1N25.PEX" advise="1">
        <values>
          <value>
            <val>0</val>
          </value>
        </values>
      </ddeItem>
      <ddeItem name="DI1N25.PRT" advise="1">
        <values>
          <value>
            <val>0</val>
          </value>
        </values>
      </ddeItem>
      <ddeItem name="DI1N25.QTE" advise="1">
        <values>
          <value>
            <val>0</val>
          </value>
        </values>
      </ddeItem>
      <ddeItem name="DI1N25.QTT" advise="1">
        <values>
          <value>
            <val>333026</val>
          </value>
        </values>
      </ddeItem>
      <ddeItem name="DI1N25.QUL" advise="1">
        <values>
          <value>
            <val>5</val>
          </value>
        </values>
      </ddeItem>
      <ddeItem name="DI1N25.RHO" advise="1">
        <values>
          <value>
            <val>0</val>
          </value>
        </values>
      </ddeItem>
      <ddeItem name="DI1N25.SEM" advise="1">
        <values>
          <value>
            <val>0.64963187527065824</val>
          </value>
        </values>
      </ddeItem>
      <ddeItem name="DI1N25.SEMES" advise="1">
        <values>
          <value>
            <val>3.3348154735437814</val>
          </value>
        </values>
      </ddeItem>
      <ddeItem name="DI1N25.THETA" advise="1">
        <values>
          <value>
            <val>0</val>
          </value>
        </values>
      </ddeItem>
      <ddeItem name="DI1N25.TRIM" advise="1">
        <values>
          <value>
            <val>3.3348154735437814</val>
          </value>
        </values>
      </ddeItem>
      <ddeItem name="DI1N25.ULT" advise="1">
        <values>
          <value>
            <val>11.62</val>
          </value>
        </values>
      </ddeItem>
      <ddeItem name="DI1N25.VAL" advise="1">
        <values>
          <value t="str">
            <val>30/06/2025</val>
          </value>
        </values>
      </ddeItem>
      <ddeItem name="DI1N25.VAR" advise="1">
        <values>
          <value>
            <val>0.51903114186850985</val>
          </value>
        </values>
      </ddeItem>
      <ddeItem name="DI1N25.VARPTS" advise="1">
        <values>
          <value>
            <val>5.9999999999998721E-2</val>
          </value>
        </values>
      </ddeItem>
      <ddeItem name="DI1N25.VEGA" advise="1">
        <values>
          <value>
            <val>0</val>
          </value>
        </values>
      </ddeItem>
      <ddeItem name="DI1N25.VEN" advise="1">
        <values>
          <value t="str">
            <val>01/07/2025</val>
          </value>
        </values>
      </ddeItem>
      <ddeItem name="DI1N25.VEXT" advise="1">
        <values>
          <value>
            <val>0</val>
          </value>
        </values>
      </ddeItem>
      <ddeItem name="DI1N25.VIA" advise="1">
        <values>
          <value>
            <val>0</val>
          </value>
        </values>
      </ddeItem>
      <ddeItem name="DI1N25.VIB" advise="1">
        <values>
          <value>
            <val>0</val>
          </value>
        </values>
      </ddeItem>
      <ddeItem name="DI1N25.VINT" advise="1">
        <values>
          <value>
            <val>0</val>
          </value>
        </values>
      </ddeItem>
      <ddeItem name="DI1N25.VIVH" advise="1">
        <values>
          <value>
            <val>0</val>
          </value>
        </values>
      </ddeItem>
      <ddeItem name="DI1N25.VOC" advise="1">
        <values>
          <value>
            <val>824</val>
          </value>
        </values>
      </ddeItem>
      <ddeItem name="DI1N25.VOL" advise="1">
        <values>
          <value>
            <val>30546659209.040001</val>
          </value>
        </values>
      </ddeItem>
      <ddeItem name="DI1N25.VOV" advise="1">
        <values>
          <value>
            <val>1126</val>
          </value>
        </values>
      </ddeItem>
      <ddeItem name="DI1N25.VPJ" advise="1">
        <values>
          <value>
            <val>30623379280.632233</val>
          </value>
        </values>
      </ddeItem>
      <ddeItem name="DI1Q25.103" advise="1">
        <values>
          <value t="str">
            <val>299,000</val>
          </value>
        </values>
      </ddeItem>
      <ddeItem name="DI1Q25.12M" advise="1">
        <values>
          <value>
            <val>3.4055727554179382</val>
          </value>
        </values>
      </ddeItem>
      <ddeItem name="DI1Q25.3" advise="1">
        <values>
          <value t="str">
            <val>11,623</val>
          </value>
        </values>
      </ddeItem>
      <ddeItem name="DI1Q25.3M" advise="1">
        <values>
          <value>
            <val>3.4055727554179382</val>
          </value>
        </values>
      </ddeItem>
      <ddeItem name="DI1Q25.6M" advise="1">
        <values>
          <value>
            <val>3.4055727554179382</val>
          </value>
        </values>
      </ddeItem>
      <ddeItem name="DI1Q25.ABE" advise="1">
        <values>
          <value>
            <val>11.68</val>
          </value>
        </values>
      </ddeItem>
      <ddeItem name="DI1Q25.AJA" advise="1">
        <values>
          <value>
            <val>11.605</val>
          </value>
        </values>
      </ddeItem>
      <ddeItem name="DI1Q25.AJU" advise="1">
        <values>
          <value>
            <val>11.675000000000001</val>
          </value>
        </values>
      </ddeItem>
      <ddeItem name="DI1Q25.ANO" advise="1">
        <values>
          <value>
            <val>3.4055727554179382</val>
          </value>
        </values>
      </ddeItem>
      <ddeItem name="DI1Q25.BLACK" advise="1">
        <values>
          <value>
            <val>0</val>
          </value>
        </values>
      </ddeItem>
      <ddeItem name="DI1Q25.CAB" advise="1">
        <values>
          <value>
            <val>45056</val>
          </value>
        </values>
      </ddeItem>
      <ddeItem name="DI1Q25.DAT" advise="1">
        <values>
          <value t="str">
            <val>12/09/2024</val>
          </value>
        </values>
      </ddeItem>
      <ddeItem name="DI1Q25.DELTA" advise="1">
        <values>
          <value>
            <val>0</val>
          </value>
        </values>
      </ddeItem>
      <ddeItem name="DI1Q25.DOBRAR" advise="1">
        <values>
          <value>
            <val>0</val>
          </value>
        </values>
      </ddeItem>
      <ddeItem name="DI1Q25.EST" advise="1">
        <values>
          <value t="str">
            <val>Aberto</val>
          </value>
        </values>
      </ddeItem>
      <ddeItem name="DI1Q25.FEC" advise="1">
        <values>
          <value>
            <val>11.565000000000001</val>
          </value>
        </values>
      </ddeItem>
      <ddeItem name="DI1Q25.GAMA" advise="1">
        <values>
          <value>
            <val>0</val>
          </value>
        </values>
      </ddeItem>
      <ddeItem name="DI1Q25.HOR" advise="1">
        <values>
          <value t="str">
            <val>14:53:53</val>
          </value>
        </values>
      </ddeItem>
      <ddeItem name="DI1Q25.IMPVT" advise="1">
        <values>
          <value>
            <val>0</val>
          </value>
        </values>
      </ddeItem>
      <ddeItem name="DI1Q25.MAX" advise="1">
        <values>
          <value>
            <val>11.695</val>
          </value>
        </values>
      </ddeItem>
      <ddeItem name="DI1Q25.MED" advise="1">
        <values>
          <value>
            <val>11.686249999999999</val>
          </value>
        </values>
      </ddeItem>
      <ddeItem name="DI1Q25.MES" advise="1">
        <values>
          <value>
            <val>-0.17079419299744961</val>
          </value>
        </values>
      </ddeItem>
      <ddeItem name="DI1Q25.MIN" advise="1">
        <values>
          <value>
            <val>11.68</val>
          </value>
        </values>
      </ddeItem>
      <ddeItem name="DI1Q25.NEG" advise="1">
        <values>
          <value>
            <val>4</val>
          </value>
        </values>
      </ddeItem>
      <ddeItem name="DI1Q25.OCP" advise="1">
        <values>
          <value>
            <val>11.665000000000001</val>
          </value>
        </values>
      </ddeItem>
      <ddeItem name="DI1Q25.OVD" advise="1">
        <values>
          <value>
            <val>11.68</val>
          </value>
        </values>
      </ddeItem>
      <ddeItem name="DI1Q25.PEX" advise="1">
        <values>
          <value>
            <val>0</val>
          </value>
        </values>
      </ddeItem>
      <ddeItem name="DI1Q25.PRT" advise="1">
        <values>
          <value>
            <val>0</val>
          </value>
        </values>
      </ddeItem>
      <ddeItem name="DI1Q25.QTE" advise="1">
        <values>
          <value>
            <val>0</val>
          </value>
        </values>
      </ddeItem>
      <ddeItem name="DI1Q25.QTT" advise="1">
        <values>
          <value>
            <val>311</val>
          </value>
        </values>
      </ddeItem>
      <ddeItem name="DI1Q25.QUL" advise="1">
        <values>
          <value>
            <val>300</val>
          </value>
        </values>
      </ddeItem>
      <ddeItem name="DI1Q25.RHO" advise="1">
        <values>
          <value>
            <val>0</val>
          </value>
        </values>
      </ddeItem>
      <ddeItem name="DI1Q25.SEM" advise="1">
        <values>
          <value>
            <val>1.0808473843493145</val>
          </value>
        </values>
      </ddeItem>
      <ddeItem name="DI1Q25.SEMES" advise="1">
        <values>
          <value>
            <val>3.4055727554179382</val>
          </value>
        </values>
      </ddeItem>
      <ddeItem name="DI1Q25.THETA" advise="1">
        <values>
          <value>
            <val>0</val>
          </value>
        </values>
      </ddeItem>
      <ddeItem name="DI1Q25.TRIM" advise="1">
        <values>
          <value>
            <val>3.4055727554179382</val>
          </value>
        </values>
      </ddeItem>
      <ddeItem name="DI1Q25.ULT" advise="1">
        <values>
          <value>
            <val>11.69</val>
          </value>
        </values>
      </ddeItem>
      <ddeItem name="DI1Q25.VAL" advise="1">
        <values>
          <value t="str">
            <val>31/07/2025</val>
          </value>
        </values>
      </ddeItem>
      <ddeItem name="DI1Q25.VAR" advise="1">
        <values>
          <value>
            <val>1.0808473843492976</val>
          </value>
        </values>
      </ddeItem>
      <ddeItem name="DI1Q25.VARPTS" advise="1">
        <values>
          <value>
            <val>0.12499999999999822</val>
          </value>
        </values>
      </ddeItem>
      <ddeItem name="DI1Q25.VEGA" advise="1">
        <values>
          <value>
            <val>0</val>
          </value>
        </values>
      </ddeItem>
      <ddeItem name="DI1Q25.VEN" advise="1">
        <values>
          <value t="str">
            <val>01/08/2025</val>
          </value>
        </values>
      </ddeItem>
      <ddeItem name="DI1Q25.VEXT" advise="1">
        <values>
          <value>
            <val>0</val>
          </value>
        </values>
      </ddeItem>
      <ddeItem name="DI1Q25.VIA" advise="1">
        <values>
          <value>
            <val>0</val>
          </value>
        </values>
      </ddeItem>
      <ddeItem name="DI1Q25.VIB" advise="1">
        <values>
          <value>
            <val>0</val>
          </value>
        </values>
      </ddeItem>
      <ddeItem name="DI1Q25.VINT" advise="1">
        <values>
          <value>
            <val>0</val>
          </value>
        </values>
      </ddeItem>
      <ddeItem name="DI1Q25.VIVH" advise="1">
        <values>
          <value>
            <val>0</val>
          </value>
        </values>
      </ddeItem>
      <ddeItem name="DI1Q25.VOC" advise="1">
        <values>
          <value>
            <val>1282</val>
          </value>
        </values>
      </ddeItem>
      <ddeItem name="DI1Q25.VOL" advise="1">
        <values>
          <value>
            <val>28226203.16</val>
          </value>
        </values>
      </ddeItem>
      <ddeItem name="DI1Q25.VOV" advise="1">
        <values>
          <value>
            <val>1548</val>
          </value>
        </values>
      </ddeItem>
      <ddeItem name="DI1Q25.VPJ" advise="1">
        <values>
          <value>
            <val>39803805.32601805</val>
          </value>
        </values>
      </ddeItem>
      <ddeItem name="DI1U25.103" advise="1">
        <values>
          <value t="str">
            <val>-978,000</val>
          </value>
        </values>
      </ddeItem>
      <ddeItem name="DI1U25.12M" advise="1">
        <values>
          <value>
            <val>-8.5287846481889654E-2</val>
          </value>
        </values>
      </ddeItem>
      <ddeItem name="DI1U25.3" advise="1"/>
      <ddeItem name="DI1U25.3M" advise="1">
        <values>
          <value>
            <val>-8.5287846481889654E-2</val>
          </value>
        </values>
      </ddeItem>
      <ddeItem name="DI1U25.6M" advise="1">
        <values>
          <value>
            <val>-8.5287846481889654E-2</val>
          </value>
        </values>
      </ddeItem>
      <ddeItem name="DI1U25.ABE" advise="1">
        <values>
          <value>
            <val>11.695</val>
          </value>
        </values>
      </ddeItem>
      <ddeItem name="DI1U25.AJA" advise="1">
        <values>
          <value>
            <val>11.651999999999999</val>
          </value>
        </values>
      </ddeItem>
      <ddeItem name="DI1U25.AJU" advise="1">
        <values>
          <value>
            <val>11.724</val>
          </value>
        </values>
      </ddeItem>
      <ddeItem name="DI1U25.ANO" advise="1">
        <values>
          <value>
            <val>-8.5287846481889654E-2</val>
          </value>
        </values>
      </ddeItem>
      <ddeItem name="DI1U25.BLACK" advise="1">
        <values>
          <value>
            <val>0</val>
          </value>
        </values>
      </ddeItem>
      <ddeItem name="DI1U25.CAB" advise="1">
        <values>
          <value>
            <val>16541</val>
          </value>
        </values>
      </ddeItem>
      <ddeItem name="DI1U25.DAT" advise="1">
        <values>
          <value t="str">
            <val>12/09/2024</val>
          </value>
        </values>
      </ddeItem>
      <ddeItem name="DI1U25.DELTA" advise="1">
        <values>
          <value>
            <val>0</val>
          </value>
        </values>
      </ddeItem>
      <ddeItem name="DI1U25.DOBRAR" advise="1">
        <values>
          <value>
            <val>0</val>
          </value>
        </values>
      </ddeItem>
      <ddeItem name="DI1U25.EST" advise="1">
        <values>
          <value t="str">
            <val>Aberto</val>
          </value>
        </values>
      </ddeItem>
      <ddeItem name="DI1U25.FEC" advise="1">
        <values>
          <value>
            <val>11.64</val>
          </value>
        </values>
      </ddeItem>
      <ddeItem name="DI1U25.GAMA" advise="1">
        <values>
          <value>
            <val>0</val>
          </value>
        </values>
      </ddeItem>
      <ddeItem name="DI1U25.HOR" advise="1">
        <values>
          <value t="str">
            <val>15:18:18</val>
          </value>
        </values>
      </ddeItem>
      <ddeItem name="DI1U25.IMPVT" advise="1">
        <values>
          <value>
            <val>0</val>
          </value>
        </values>
      </ddeItem>
      <ddeItem name="DI1U25.MAX" advise="1">
        <values>
          <value>
            <val>11.744999999999999</val>
          </value>
        </values>
      </ddeItem>
      <ddeItem name="DI1U25.MED" advise="1">
        <values>
          <value>
            <val>11.712499999999999</val>
          </value>
        </values>
      </ddeItem>
      <ddeItem name="DI1U25.MES" advise="1">
        <values>
          <value>
            <val>-8.5287846481889654E-2</val>
          </value>
        </values>
      </ddeItem>
      <ddeItem name="DI1U25.MIN" advise="1">
        <values>
          <value>
            <val>11.695</val>
          </value>
        </values>
      </ddeItem>
      <ddeItem name="DI1U25.NEG" advise="1">
        <values>
          <value>
            <val>11</val>
          </value>
        </values>
      </ddeItem>
      <ddeItem name="DI1U25.OCP" advise="1">
        <values>
          <value>
            <val>11.715</val>
          </value>
        </values>
      </ddeItem>
      <ddeItem name="DI1U25.OVD" advise="1">
        <values>
          <value>
            <val>11.73</val>
          </value>
        </values>
      </ddeItem>
      <ddeItem name="DI1U25.PEX" advise="1">
        <values>
          <value>
            <val>0</val>
          </value>
        </values>
      </ddeItem>
      <ddeItem name="DI1U25.PRT" advise="1">
        <values>
          <value>
            <val>0</val>
          </value>
        </values>
      </ddeItem>
      <ddeItem name="DI1U25.QTE" advise="1">
        <values>
          <value>
            <val>0</val>
          </value>
        </values>
      </ddeItem>
      <ddeItem name="DI1U25.QTT" advise="1">
        <values>
          <value>
            <val>27952</val>
          </value>
        </values>
      </ddeItem>
      <ddeItem name="DI1U25.QUL" advise="1">
        <values>
          <value>
            <val>60</val>
          </value>
        </values>
      </ddeItem>
      <ddeItem name="DI1U25.RHO" advise="1">
        <values>
          <value>
            <val>0</val>
          </value>
        </values>
      </ddeItem>
      <ddeItem name="DI1U25.SEM" advise="1">
        <values>
          <value>
            <val>0.64432989690721043</val>
          </value>
        </values>
      </ddeItem>
      <ddeItem name="DI1U25.SEMES" advise="1">
        <values>
          <value>
            <val>-8.5287846481889654E-2</val>
          </value>
        </values>
      </ddeItem>
      <ddeItem name="DI1U25.THETA" advise="1">
        <values>
          <value>
            <val>0</val>
          </value>
        </values>
      </ddeItem>
      <ddeItem name="DI1U25.TRIM" advise="1">
        <values>
          <value>
            <val>-8.5287846481889654E-2</val>
          </value>
        </values>
      </ddeItem>
      <ddeItem name="DI1U25.ULT" advise="1">
        <values>
          <value>
            <val>11.715</val>
          </value>
        </values>
      </ddeItem>
      <ddeItem name="DI1U25.VAL" advise="1">
        <values>
          <value t="str">
            <val>29/08/2025</val>
          </value>
        </values>
      </ddeItem>
      <ddeItem name="DI1U25.VAR" advise="1">
        <values>
          <value>
            <val>0.64432989690720888</val>
          </value>
        </values>
      </ddeItem>
      <ddeItem name="DI1U25.VARPTS" advise="1">
        <values>
          <value>
            <val>7.4999999999999289E-2</val>
          </value>
        </values>
      </ddeItem>
      <ddeItem name="DI1U25.VEGA" advise="1">
        <values>
          <value>
            <val>0</val>
          </value>
        </values>
      </ddeItem>
      <ddeItem name="DI1U25.VEN" advise="1">
        <values>
          <value t="str">
            <val>01/09/2025</val>
          </value>
        </values>
      </ddeItem>
      <ddeItem name="DI1U25.VEXT" advise="1">
        <values>
          <value>
            <val>0</val>
          </value>
        </values>
      </ddeItem>
      <ddeItem name="DI1U25.VIA" advise="1">
        <values>
          <value>
            <val>0</val>
          </value>
        </values>
      </ddeItem>
      <ddeItem name="DI1U25.VIB" advise="1">
        <values>
          <value>
            <val>0</val>
          </value>
        </values>
      </ddeItem>
      <ddeItem name="DI1U25.VINT" advise="1">
        <values>
          <value>
            <val>0</val>
          </value>
        </values>
      </ddeItem>
      <ddeItem name="DI1U25.VIVH" advise="1">
        <values>
          <value>
            <val>0</val>
          </value>
        </values>
      </ddeItem>
      <ddeItem name="DI1U25.VOC" advise="1">
        <values>
          <value>
            <val>36</val>
          </value>
        </values>
      </ddeItem>
      <ddeItem name="DI1U25.VOL" advise="1">
        <values>
          <value>
            <val>2512798276.1300001</val>
          </value>
        </values>
      </ddeItem>
      <ddeItem name="DI1U25.VOV" advise="1">
        <values>
          <value>
            <val>2160</val>
          </value>
        </values>
      </ddeItem>
      <ddeItem name="DI1U25.VPJ" advise="1">
        <values>
          <value>
            <val>3312697219.5300827</val>
          </value>
        </values>
      </ddeItem>
      <ddeItem name="DI1V24.103" advise="1">
        <values>
          <value t="str">
            <val>-33.129,000</val>
          </value>
        </values>
      </ddeItem>
      <ddeItem name="DI1V24.12M" advise="1">
        <values>
          <value>
            <val>-1.3992537313432867</val>
          </value>
        </values>
      </ddeItem>
      <ddeItem name="DI1V24.3" advise="1">
        <values>
          <value t="str">
            <val>10,535</val>
          </value>
        </values>
      </ddeItem>
      <ddeItem name="DI1V24.3M" advise="1">
        <values>
          <value>
            <val>0.37986704653370507</val>
          </value>
        </values>
      </ddeItem>
      <ddeItem name="DI1V24.6M" advise="1">
        <values>
          <value>
            <val>5.2264808362369184</val>
          </value>
        </values>
      </ddeItem>
      <ddeItem name="DI1V24.ABE" advise="1">
        <values>
          <value>
            <val>10.561999999999999</val>
          </value>
        </values>
      </ddeItem>
      <ddeItem name="DI1V24.AJA" advise="1">
        <values>
          <value>
            <val>10.554</val>
          </value>
        </values>
      </ddeItem>
      <ddeItem name="DI1V24.AJU" advise="1">
        <values>
          <value>
            <val>10.571</val>
          </value>
        </values>
      </ddeItem>
      <ddeItem name="DI1V24.ANO" advise="1">
        <values>
          <value>
            <val>2.3233301064859653</val>
          </value>
        </values>
      </ddeItem>
      <ddeItem name="DI1V24.BLACK" advise="1">
        <values>
          <value>
            <val>0</val>
          </value>
        </values>
      </ddeItem>
      <ddeItem name="DI1V24.CAB" advise="1">
        <values>
          <value>
            <val>6339823</val>
          </value>
        </values>
      </ddeItem>
      <ddeItem name="DI1V24.DAT" advise="1">
        <values>
          <value t="str">
            <val>12/09/2024</val>
          </value>
        </values>
      </ddeItem>
      <ddeItem name="DI1V24.DELTA" advise="1">
        <values>
          <value>
            <val>0</val>
          </value>
        </values>
      </ddeItem>
      <ddeItem name="DI1V24.DOBRAR" advise="1">
        <values>
          <value>
            <val>0</val>
          </value>
        </values>
      </ddeItem>
      <ddeItem name="DI1V24.EST" advise="1">
        <values>
          <value t="str">
            <val>Aberto</val>
          </value>
        </values>
      </ddeItem>
      <ddeItem name="DI1V24.FEC" advise="1">
        <values>
          <value>
            <val>10.556000000000001</val>
          </value>
        </values>
      </ddeItem>
      <ddeItem name="DI1V24.GAMA" advise="1">
        <values>
          <value>
            <val>0</val>
          </value>
        </values>
      </ddeItem>
      <ddeItem name="DI1V24.HOR" advise="1">
        <values>
          <value t="str">
            <val>16:58:43</val>
          </value>
        </values>
      </ddeItem>
      <ddeItem name="DI1V24.IMPVT" advise="1">
        <values>
          <value>
            <val>0</val>
          </value>
        </values>
      </ddeItem>
      <ddeItem name="DI1V24.MAX" advise="1">
        <values>
          <value>
            <val>10.576000000000001</val>
          </value>
        </values>
      </ddeItem>
      <ddeItem name="DI1V24.MED" advise="1">
        <values>
          <value>
            <val>10.5655</val>
          </value>
        </values>
      </ddeItem>
      <ddeItem name="DI1V24.MES" advise="1">
        <values>
          <value>
            <val>0.39893617021276417</val>
          </value>
        </values>
      </ddeItem>
      <ddeItem name="DI1V24.MIN" advise="1">
        <values>
          <value>
            <val>10.554</val>
          </value>
        </values>
      </ddeItem>
      <ddeItem name="DI1V24.NEG" advise="1">
        <values>
          <value>
            <val>3427</val>
          </value>
        </values>
      </ddeItem>
      <ddeItem name="DI1V24.OCP" advise="1">
        <values>
          <value>
            <val>10.57</val>
          </value>
        </values>
      </ddeItem>
      <ddeItem name="DI1V24.OVD" advise="1">
        <values>
          <value>
            <val>10.572000000000001</val>
          </value>
        </values>
      </ddeItem>
      <ddeItem name="DI1V24.PEX" advise="1">
        <values>
          <value>
            <val>0</val>
          </value>
        </values>
      </ddeItem>
      <ddeItem name="DI1V24.PRT" advise="1">
        <values>
          <value>
            <val>0</val>
          </value>
        </values>
      </ddeItem>
      <ddeItem name="DI1V24.QTE" advise="1">
        <values>
          <value>
            <val>0</val>
          </value>
        </values>
      </ddeItem>
      <ddeItem name="DI1V24.QTT" advise="1">
        <values>
          <value>
            <val>468889</val>
          </value>
        </values>
      </ddeItem>
      <ddeItem name="DI1V24.QUL" advise="1">
        <values>
          <value>
            <val>160</val>
          </value>
        </values>
      </ddeItem>
      <ddeItem name="DI1V24.RHO" advise="1">
        <values>
          <value>
            <val>0</val>
          </value>
        </values>
      </ddeItem>
      <ddeItem name="DI1V24.SEM" advise="1">
        <values>
          <value>
            <val>0.418012540376199</val>
          </value>
        </values>
      </ddeItem>
      <ddeItem name="DI1V24.SEMES" advise="1">
        <values>
          <value>
            <val>0.42755344418052182</val>
          </value>
        </values>
      </ddeItem>
      <ddeItem name="DI1V24.THETA" advise="1">
        <values>
          <value>
            <val>0</val>
          </value>
        </values>
      </ddeItem>
      <ddeItem name="DI1V24.TRIM" advise="1">
        <values>
          <value>
            <val>0.42755344418052182</val>
          </value>
        </values>
      </ddeItem>
      <ddeItem name="DI1V24.ULT" advise="1">
        <values>
          <value>
            <val>10.57</val>
          </value>
        </values>
      </ddeItem>
      <ddeItem name="DI1V24.VAL" advise="1">
        <values>
          <value t="str">
            <val>30/09/2024</val>
          </value>
        </values>
      </ddeItem>
      <ddeItem name="DI1V24.VAR" advise="1">
        <values>
          <value>
            <val>0.13262599469494774</val>
          </value>
        </values>
      </ddeItem>
      <ddeItem name="DI1V24.VARPTS" advise="1">
        <values>
          <value>
            <val>1.3999999999999346E-2</val>
          </value>
        </values>
      </ddeItem>
      <ddeItem name="DI1V24.VEGA" advise="1">
        <values>
          <value>
            <val>0</val>
          </value>
        </values>
      </ddeItem>
      <ddeItem name="DI1V24.VEN" advise="1">
        <values>
          <value t="str">
            <val>01/10/2024</val>
          </value>
        </values>
      </ddeItem>
      <ddeItem name="DI1V24.VEXT" advise="1">
        <values>
          <value>
            <val>0</val>
          </value>
        </values>
      </ddeItem>
      <ddeItem name="DI1V24.VIA" advise="1">
        <values>
          <value>
            <val>0</val>
          </value>
        </values>
      </ddeItem>
      <ddeItem name="DI1V24.VIB" advise="1">
        <values>
          <value>
            <val>0</val>
          </value>
        </values>
      </ddeItem>
      <ddeItem name="DI1V24.VINT" advise="1">
        <values>
          <value>
            <val>0</val>
          </value>
        </values>
      </ddeItem>
      <ddeItem name="DI1V24.VIVH" advise="1">
        <values>
          <value>
            <val>0</val>
          </value>
        </values>
      </ddeItem>
      <ddeItem name="DI1V24.VOC" advise="1">
        <values>
          <value>
            <val>5956</val>
          </value>
        </values>
      </ddeItem>
      <ddeItem name="DI1V24.VOL" advise="1">
        <values>
          <value>
            <val>46646542283.709999</val>
          </value>
        </values>
      </ddeItem>
      <ddeItem name="DI1V24.VOV" advise="1">
        <values>
          <value>
            <val>3405</val>
          </value>
        </values>
      </ddeItem>
      <ddeItem name="DI1V24.VPJ" advise="1">
        <values>
          <value>
            <val>46802205117.870789</val>
          </value>
        </values>
      </ddeItem>
      <ddeItem name="DI1V25.103" advise="1">
        <values>
          <value t="str">
            <val>708,000</val>
          </value>
        </values>
      </ddeItem>
      <ddeItem name="DI1V25.12M" advise="1">
        <values>
          <value>
            <val>16.584158415841571</val>
          </value>
        </values>
      </ddeItem>
      <ddeItem name="DI1V25.3" advise="1">
        <values>
          <value t="str">
            <val>11,735</val>
          </value>
        </values>
      </ddeItem>
      <ddeItem name="DI1V25.3M" advise="1">
        <values>
          <value>
            <val>4.8064085447262936</val>
          </value>
        </values>
      </ddeItem>
      <ddeItem name="DI1V25.6M" advise="1">
        <values>
          <value>
            <val>21.391752577319579</val>
          </value>
        </values>
      </ddeItem>
      <ddeItem name="DI1V25.ABE" advise="1">
        <values>
          <value>
            <val>11.72</val>
          </value>
        </values>
      </ddeItem>
      <ddeItem name="DI1V25.AJA" advise="1">
        <values>
          <value>
            <val>11.707000000000001</val>
          </value>
        </values>
      </ddeItem>
      <ddeItem name="DI1V25.AJU" advise="1">
        <values>
          <value>
            <val>11.775</val>
          </value>
        </values>
      </ddeItem>
      <ddeItem name="DI1V25.ANO" advise="1">
        <values>
          <value>
            <val>21.831350232798748</val>
          </value>
        </values>
      </ddeItem>
      <ddeItem name="DI1V25.BLACK" advise="1">
        <values>
          <value>
            <val>0</val>
          </value>
        </values>
      </ddeItem>
      <ddeItem name="DI1V25.CAB" advise="1">
        <values>
          <value>
            <val>916427</val>
          </value>
        </values>
      </ddeItem>
      <ddeItem name="DI1V25.DAT" advise="1">
        <values>
          <value t="str">
            <val>12/09/2024</val>
          </value>
        </values>
      </ddeItem>
      <ddeItem name="DI1V25.DELTA" advise="1">
        <values>
          <value>
            <val>0</val>
          </value>
        </values>
      </ddeItem>
      <ddeItem name="DI1V25.DOBRAR" advise="1">
        <values>
          <value>
            <val>0</val>
          </value>
        </values>
      </ddeItem>
      <ddeItem name="DI1V25.EST" advise="1">
        <values>
          <value t="str">
            <val>Aberto</val>
          </value>
        </values>
      </ddeItem>
      <ddeItem name="DI1V25.FEC" advise="1">
        <values>
          <value>
            <val>11.72</val>
          </value>
        </values>
      </ddeItem>
      <ddeItem name="DI1V25.GAMA" advise="1">
        <values>
          <value>
            <val>0</val>
          </value>
        </values>
      </ddeItem>
      <ddeItem name="DI1V25.HOR" advise="1">
        <values>
          <value t="str">
            <val>17:00:51</val>
          </value>
        </values>
      </ddeItem>
      <ddeItem name="DI1V25.IMPVT" advise="1">
        <values>
          <value>
            <val>0</val>
          </value>
        </values>
      </ddeItem>
      <ddeItem name="DI1V25.MAX" advise="1">
        <values>
          <value>
            <val>11.82</val>
          </value>
        </values>
      </ddeItem>
      <ddeItem name="DI1V25.MED" advise="1">
        <values>
          <value>
            <val>11.758749999999999</val>
          </value>
        </values>
      </ddeItem>
      <ddeItem name="DI1V25.MES" advise="1">
        <values>
          <value>
            <val>-0.33855268726196291</val>
          </value>
        </values>
      </ddeItem>
      <ddeItem name="DI1V25.MIN" advise="1">
        <values>
          <value>
            <val>11.72</val>
          </value>
        </values>
      </ddeItem>
      <ddeItem name="DI1V25.NEG" advise="1">
        <values>
          <value>
            <val>5565</val>
          </value>
        </values>
      </ddeItem>
      <ddeItem name="DI1V25.OCP" advise="1">
        <values>
          <value>
            <val>11.775</val>
          </value>
        </values>
      </ddeItem>
      <ddeItem name="DI1V25.OVD" advise="1">
        <values>
          <value>
            <val>11.78</val>
          </value>
        </values>
      </ddeItem>
      <ddeItem name="DI1V25.PEX" advise="1">
        <values>
          <value>
            <val>0</val>
          </value>
        </values>
      </ddeItem>
      <ddeItem name="DI1V25.PRT" advise="1">
        <values>
          <value>
            <val>0</val>
          </value>
        </values>
      </ddeItem>
      <ddeItem name="DI1V25.QTE" advise="1">
        <values>
          <value>
            <val>0</val>
          </value>
        </values>
      </ddeItem>
      <ddeItem name="DI1V25.QTT" advise="1">
        <values>
          <value>
            <val>66844</val>
          </value>
        </values>
      </ddeItem>
      <ddeItem name="DI1V25.QUL" advise="1">
        <values>
          <value>
            <val>1</val>
          </value>
        </values>
      </ddeItem>
      <ddeItem name="DI1V25.RHO" advise="1">
        <values>
          <value>
            <val>0</val>
          </value>
        </values>
      </ddeItem>
      <ddeItem name="DI1V25.SEM" advise="1">
        <values>
          <value>
            <val>0.81335616438355185</val>
          </value>
        </values>
      </ddeItem>
      <ddeItem name="DI1V25.SEMES" advise="1">
        <values>
          <value>
            <val>2.9283216783216699</val>
          </value>
        </values>
      </ddeItem>
      <ddeItem name="DI1V25.THETA" advise="1">
        <values>
          <value>
            <val>0</val>
          </value>
        </values>
      </ddeItem>
      <ddeItem name="DI1V25.TRIM" advise="1">
        <values>
          <value>
            <val>2.9283216783216699</val>
          </value>
        </values>
      </ddeItem>
      <ddeItem name="DI1V25.ULT" advise="1">
        <values>
          <value>
            <val>11.775</val>
          </value>
        </values>
      </ddeItem>
      <ddeItem name="DI1V25.VAL" advise="1">
        <values>
          <value t="str">
            <val>30/09/2025</val>
          </value>
        </values>
      </ddeItem>
      <ddeItem name="DI1V25.VAR" advise="1">
        <values>
          <value>
            <val>0.46928327645051127</val>
          </value>
        </values>
      </ddeItem>
      <ddeItem name="DI1V25.VARPTS" advise="1">
        <values>
          <value>
            <val>5.4999999999999716E-2</val>
          </value>
        </values>
      </ddeItem>
      <ddeItem name="DI1V25.VEGA" advise="1">
        <values>
          <value>
            <val>0</val>
          </value>
        </values>
      </ddeItem>
      <ddeItem name="DI1V25.VEN" advise="1">
        <values>
          <value t="str">
            <val>01/10/2025</val>
          </value>
        </values>
      </ddeItem>
      <ddeItem name="DI1V25.VEXT" advise="1">
        <values>
          <value>
            <val>0</val>
          </value>
        </values>
      </ddeItem>
      <ddeItem name="DI1V25.VIA" advise="1">
        <values>
          <value>
            <val>0</val>
          </value>
        </values>
      </ddeItem>
      <ddeItem name="DI1V25.VIB" advise="1">
        <values>
          <value>
            <val>0</val>
          </value>
        </values>
      </ddeItem>
      <ddeItem name="DI1V25.VINT" advise="1">
        <values>
          <value>
            <val>0</val>
          </value>
        </values>
      </ddeItem>
      <ddeItem name="DI1V25.VIVH" advise="1">
        <values>
          <value>
            <val>0</val>
          </value>
        </values>
      </ddeItem>
      <ddeItem name="DI1V25.VOC" advise="1">
        <values>
          <value>
            <val>12</val>
          </value>
        </values>
      </ddeItem>
      <ddeItem name="DI1V25.VOL" advise="1">
        <values>
          <value>
            <val>5948214499.5200005</val>
          </value>
        </values>
      </ddeItem>
      <ddeItem name="DI1V25.VOV" advise="1">
        <values>
          <value>
            <val>634</val>
          </value>
        </values>
      </ddeItem>
      <ddeItem name="DI1V25.VPJ" advise="1">
        <values>
          <value>
            <val>5935139880.957242</val>
          </value>
        </values>
      </ddeItem>
      <ddeItem name="DI1X24.103" advise="1">
        <values>
          <value t="str">
            <val>-2.875,000</val>
          </value>
        </values>
      </ddeItem>
      <ddeItem name="DI1X24.12M" advise="1">
        <values>
          <value>
            <val>-4.0216411181244496</val>
          </value>
        </values>
      </ddeItem>
      <ddeItem name="DI1X24.3" advise="1">
        <values>
          <value t="str">
            <val>10,627</val>
          </value>
        </values>
      </ddeItem>
      <ddeItem name="DI1X24.3M" advise="1">
        <values>
          <value>
            <val>0.50991501416429164</val>
          </value>
        </values>
      </ddeItem>
      <ddeItem name="DI1X24.6M" advise="1">
        <values>
          <value>
            <val>6.921145153189352</val>
          </value>
        </values>
      </ddeItem>
      <ddeItem name="DI1X24.ABE" advise="1">
        <values>
          <value>
            <val>10.625999999999999</val>
          </value>
        </values>
      </ddeItem>
      <ddeItem name="DI1X24.AJA" advise="1">
        <values>
          <value>
            <val>10.628</val>
          </value>
        </values>
      </ddeItem>
      <ddeItem name="DI1X24.AJU" advise="1">
        <values>
          <value>
            <val>10.644</val>
          </value>
        </values>
      </ddeItem>
      <ddeItem name="DI1X24.ANO" advise="1">
        <values>
          <value>
            <val>4.1997063142437439</val>
          </value>
        </values>
      </ddeItem>
      <ddeItem name="DI1X24.BLACK" advise="1">
        <values>
          <value>
            <val>0</val>
          </value>
        </values>
      </ddeItem>
      <ddeItem name="DI1X24.CAB" advise="1">
        <values>
          <value>
            <val>466807</val>
          </value>
        </values>
      </ddeItem>
      <ddeItem name="DI1X24.DAT" advise="1">
        <values>
          <value t="str">
            <val>12/09/2024</val>
          </value>
        </values>
      </ddeItem>
      <ddeItem name="DI1X24.DELTA" advise="1">
        <values>
          <value>
            <val>0</val>
          </value>
        </values>
      </ddeItem>
      <ddeItem name="DI1X24.DOBRAR" advise="1">
        <values>
          <value>
            <val>0</val>
          </value>
        </values>
      </ddeItem>
      <ddeItem name="DI1X24.EST" advise="1">
        <values>
          <value t="str">
            <val>Aberto</val>
          </value>
        </values>
      </ddeItem>
      <ddeItem name="DI1X24.FEC" advise="1">
        <values>
          <value>
            <val>10.628</val>
          </value>
        </values>
      </ddeItem>
      <ddeItem name="DI1X24.GAMA" advise="1">
        <values>
          <value>
            <val>0</val>
          </value>
        </values>
      </ddeItem>
      <ddeItem name="DI1X24.HOR" advise="1">
        <values>
          <value t="str">
            <val>16:26:37</val>
          </value>
        </values>
      </ddeItem>
      <ddeItem name="DI1X24.IMPVT" advise="1">
        <values>
          <value>
            <val>0</val>
          </value>
        </values>
      </ddeItem>
      <ddeItem name="DI1X24.MAX" advise="1">
        <values>
          <value>
            <val>10.644</val>
          </value>
        </values>
      </ddeItem>
      <ddeItem name="DI1X24.MED" advise="1">
        <values>
          <value>
            <val>10.635</val>
          </value>
        </values>
      </ddeItem>
      <ddeItem name="DI1X24.MES" advise="1">
        <values>
          <value>
            <val>1.8793459875952746E-2</val>
          </value>
        </values>
      </ddeItem>
      <ddeItem name="DI1X24.MIN" advise="1">
        <values>
          <value>
            <val>10.625999999999999</val>
          </value>
        </values>
      </ddeItem>
      <ddeItem name="DI1X24.NEG" advise="1">
        <values>
          <value>
            <val>355</val>
          </value>
        </values>
      </ddeItem>
      <ddeItem name="DI1X24.OCP" advise="1">
        <values>
          <value>
            <val>10.646000000000001</val>
          </value>
        </values>
      </ddeItem>
      <ddeItem name="DI1X24.OVD" advise="1">
        <values>
          <value>
            <val>10.648</val>
          </value>
        </values>
      </ddeItem>
      <ddeItem name="DI1X24.PEX" advise="1">
        <values>
          <value>
            <val>0</val>
          </value>
        </values>
      </ddeItem>
      <ddeItem name="DI1X24.PRT" advise="1">
        <values>
          <value>
            <val>0</val>
          </value>
        </values>
      </ddeItem>
      <ddeItem name="DI1X24.QTE" advise="1">
        <values>
          <value>
            <val>0</val>
          </value>
        </values>
      </ddeItem>
      <ddeItem name="DI1X24.QTT" advise="1">
        <values>
          <value>
            <val>29415</val>
          </value>
        </values>
      </ddeItem>
      <ddeItem name="DI1X24.QUL" advise="1">
        <values>
          <value>
            <val>94</val>
          </value>
        </values>
      </ddeItem>
      <ddeItem name="DI1X24.RHO" advise="1">
        <values>
          <value>
            <val>0</val>
          </value>
        </values>
      </ddeItem>
      <ddeItem name="DI1X24.SEM" advise="1">
        <values>
          <value>
            <val>0.3393665158371002</val>
          </value>
        </values>
      </ddeItem>
      <ddeItem name="DI1X24.SEMES" advise="1">
        <values>
          <value>
            <val>0.41509433962262932</val>
          </value>
        </values>
      </ddeItem>
      <ddeItem name="DI1X24.THETA" advise="1">
        <values>
          <value>
            <val>0</val>
          </value>
        </values>
      </ddeItem>
      <ddeItem name="DI1X24.TRIM" advise="1">
        <values>
          <value>
            <val>0.41509433962262932</val>
          </value>
        </values>
      </ddeItem>
      <ddeItem name="DI1X24.ULT" advise="1">
        <values>
          <value>
            <val>10.644</val>
          </value>
        </values>
      </ddeItem>
      <ddeItem name="DI1X24.VAL" advise="1">
        <values>
          <value t="str">
            <val>31/10/2024</val>
          </value>
        </values>
      </ddeItem>
      <ddeItem name="DI1X24.VAR" advise="1">
        <values>
          <value>
            <val>0.15054572826495871</val>
          </value>
        </values>
      </ddeItem>
      <ddeItem name="DI1X24.VARPTS" advise="1">
        <values>
          <value>
            <val>1.6000000000000014E-2</val>
          </value>
        </values>
      </ddeItem>
      <ddeItem name="DI1X24.VEGA" advise="1">
        <values>
          <value>
            <val>0</val>
          </value>
        </values>
      </ddeItem>
      <ddeItem name="DI1X24.VEN" advise="1">
        <values>
          <value t="str">
            <val>01/11/2024</val>
          </value>
        </values>
      </ddeItem>
      <ddeItem name="DI1X24.VEXT" advise="1">
        <values>
          <value>
            <val>0</val>
          </value>
        </values>
      </ddeItem>
      <ddeItem name="DI1X24.VIA" advise="1">
        <values>
          <value>
            <val>0</val>
          </value>
        </values>
      </ddeItem>
      <ddeItem name="DI1X24.VIB" advise="1">
        <values>
          <value>
            <val>0</val>
          </value>
        </values>
      </ddeItem>
      <ddeItem name="DI1X24.VINT" advise="1">
        <values>
          <value>
            <val>0</val>
          </value>
        </values>
      </ddeItem>
      <ddeItem name="DI1X24.VIVH" advise="1">
        <values>
          <value>
            <val>0</val>
          </value>
        </values>
      </ddeItem>
      <ddeItem name="DI1X24.VOC" advise="1">
        <values>
          <value>
            <val>1614</val>
          </value>
        </values>
      </ddeItem>
      <ddeItem name="DI1X24.VOL" advise="1">
        <values>
          <value>
            <val>2899316617.6599998</val>
          </value>
        </values>
      </ddeItem>
      <ddeItem name="DI1X24.VOV" advise="1">
        <values>
          <value>
            <val>6500</val>
          </value>
        </values>
      </ddeItem>
      <ddeItem name="DI1X24.VPJ" advise="1">
        <values>
          <value>
            <val>3173919263.2752566</val>
          </value>
        </values>
      </ddeItem>
      <ddeItem name="DI1Z24.103" advise="1">
        <values>
          <value t="str">
            <val>937,000</val>
          </value>
        </values>
      </ddeItem>
      <ddeItem name="DI1Z24.12M" advise="1">
        <values>
          <value>
            <val>3.8035628310062375</val>
          </value>
        </values>
      </ddeItem>
      <ddeItem name="DI1Z24.3" advise="1">
        <values>
          <value t="str">
            <val>10,769</val>
          </value>
        </values>
      </ddeItem>
      <ddeItem name="DI1Z24.3M" advise="1">
        <values>
          <value>
            <val>1.3157894736841991</val>
          </value>
        </values>
      </ddeItem>
      <ddeItem name="DI1Z24.6M" advise="1">
        <values>
          <value>
            <val>8.7790110998990833</val>
          </value>
        </values>
      </ddeItem>
      <ddeItem name="DI1Z24.ABE" advise="1">
        <values>
          <value>
            <val>10.77</val>
          </value>
        </values>
      </ddeItem>
      <ddeItem name="DI1Z24.AJA" advise="1">
        <values>
          <value>
            <val>10.756</val>
          </value>
        </values>
      </ddeItem>
      <ddeItem name="DI1Z24.AJU" advise="1">
        <values>
          <value>
            <val>10.778</val>
          </value>
        </values>
      </ddeItem>
      <ddeItem name="DI1Z24.ANO" advise="1">
        <values>
          <value>
            <val>6.5217391304347654</val>
          </value>
        </values>
      </ddeItem>
      <ddeItem name="DI1Z24.BLACK" advise="1">
        <values>
          <value>
            <val>0</val>
          </value>
        </values>
      </ddeItem>
      <ddeItem name="DI1Z24.CAB" advise="1">
        <values>
          <value>
            <val>926757</val>
          </value>
        </values>
      </ddeItem>
      <ddeItem name="DI1Z24.DAT" advise="1">
        <values>
          <value t="str">
            <val>12/09/2024</val>
          </value>
        </values>
      </ddeItem>
      <ddeItem name="DI1Z24.DELTA" advise="1">
        <values>
          <value>
            <val>0</val>
          </value>
        </values>
      </ddeItem>
      <ddeItem name="DI1Z24.DOBRAR" advise="1">
        <values>
          <value>
            <val>0</val>
          </value>
        </values>
      </ddeItem>
      <ddeItem name="DI1Z24.EST" advise="1">
        <values>
          <value t="str">
            <val>Aberto</val>
          </value>
        </values>
      </ddeItem>
      <ddeItem name="DI1Z24.FEC" advise="1">
        <values>
          <value>
            <val>10.756</val>
          </value>
        </values>
      </ddeItem>
      <ddeItem name="DI1Z24.GAMA" advise="1">
        <values>
          <value>
            <val>0</val>
          </value>
        </values>
      </ddeItem>
      <ddeItem name="DI1Z24.HOR" advise="1">
        <values>
          <value t="str">
            <val>16:25:05</val>
          </value>
        </values>
      </ddeItem>
      <ddeItem name="DI1Z24.IMPVT" advise="1">
        <values>
          <value>
            <val>0</val>
          </value>
        </values>
      </ddeItem>
      <ddeItem name="DI1Z24.MAX" advise="1">
        <values>
          <value>
            <val>10.78</val>
          </value>
        </values>
      </ddeItem>
      <ddeItem name="DI1Z24.MED" advise="1">
        <values>
          <value>
            <val>10.773499999999999</val>
          </value>
        </values>
      </ddeItem>
      <ddeItem name="DI1Z24.MES" advise="1">
        <values>
          <value>
            <val>-0.32362459546927336</val>
          </value>
        </values>
      </ddeItem>
      <ddeItem name="DI1Z24.MIN" advise="1">
        <values>
          <value>
            <val>10.763999999999999</val>
          </value>
        </values>
      </ddeItem>
      <ddeItem name="DI1Z24.NEG" advise="1">
        <values>
          <value>
            <val>155</val>
          </value>
        </values>
      </ddeItem>
      <ddeItem name="DI1Z24.OCP" advise="1">
        <values>
          <value>
            <val>10.778</val>
          </value>
        </values>
      </ddeItem>
      <ddeItem name="DI1Z24.OVD" advise="1">
        <values>
          <value>
            <val>10.782</val>
          </value>
        </values>
      </ddeItem>
      <ddeItem name="DI1Z24.PEX" advise="1">
        <values>
          <value>
            <val>0</val>
          </value>
        </values>
      </ddeItem>
      <ddeItem name="DI1Z24.PRT" advise="1">
        <values>
          <value>
            <val>0</val>
          </value>
        </values>
      </ddeItem>
      <ddeItem name="DI1Z24.QTE" advise="1">
        <values>
          <value>
            <val>0</val>
          </value>
        </values>
      </ddeItem>
      <ddeItem name="DI1Z24.QTT" advise="1">
        <values>
          <value>
            <val>22445</val>
          </value>
        </values>
      </ddeItem>
      <ddeItem name="DI1Z24.QUL" advise="1">
        <values>
          <value>
            <val>188</val>
          </value>
        </values>
      </ddeItem>
      <ddeItem name="DI1Z24.RHO" advise="1">
        <values>
          <value>
            <val>0</val>
          </value>
        </values>
      </ddeItem>
      <ddeItem name="DI1Z24.SEM" advise="1">
        <values>
          <value>
            <val>0.29772981019722972</val>
          </value>
        </values>
      </ddeItem>
      <ddeItem name="DI1Z24.SEMES" advise="1">
        <values>
          <value>
            <val>1.6022620169651096</val>
          </value>
        </values>
      </ddeItem>
      <ddeItem name="DI1Z24.THETA" advise="1">
        <values>
          <value>
            <val>0</val>
          </value>
        </values>
      </ddeItem>
      <ddeItem name="DI1Z24.TRIM" advise="1">
        <values>
          <value>
            <val>1.6022620169651096</val>
          </value>
        </values>
      </ddeItem>
      <ddeItem name="DI1Z24.ULT" advise="1">
        <values>
          <value>
            <val>10.78</val>
          </value>
        </values>
      </ddeItem>
      <ddeItem name="DI1Z24.VAL" advise="1">
        <values>
          <value t="str">
            <val>29/11/2024</val>
          </value>
        </values>
      </ddeItem>
      <ddeItem name="DI1Z24.VAR" advise="1">
        <values>
          <value>
            <val>0.22313127556712686</val>
          </value>
        </values>
      </ddeItem>
      <ddeItem name="DI1Z24.VARPTS" advise="1">
        <values>
          <value>
            <val>2.3999999999999133E-2</val>
          </value>
        </values>
      </ddeItem>
      <ddeItem name="DI1Z24.VEGA" advise="1">
        <values>
          <value>
            <val>0</val>
          </value>
        </values>
      </ddeItem>
      <ddeItem name="DI1Z24.VEN" advise="1">
        <values>
          <value t="str">
            <val>02/12/2024</val>
          </value>
        </values>
      </ddeItem>
      <ddeItem name="DI1Z24.VEXT" advise="1">
        <values>
          <value>
            <val>0</val>
          </value>
        </values>
      </ddeItem>
      <ddeItem name="DI1Z24.VIA" advise="1">
        <values>
          <value>
            <val>0</val>
          </value>
        </values>
      </ddeItem>
      <ddeItem name="DI1Z24.VIB" advise="1">
        <values>
          <value>
            <val>0</val>
          </value>
        </values>
      </ddeItem>
      <ddeItem name="DI1Z24.VINT" advise="1">
        <values>
          <value>
            <val>0</val>
          </value>
        </values>
      </ddeItem>
      <ddeItem name="DI1Z24.VIVH" advise="1">
        <values>
          <value>
            <val>0</val>
          </value>
        </values>
      </ddeItem>
      <ddeItem name="DI1Z24.VOC" advise="1">
        <values>
          <value>
            <val>2000</val>
          </value>
        </values>
      </ddeItem>
      <ddeItem name="DI1Z24.VOL" advise="1">
        <values>
          <value>
            <val>2194936883.1399999</val>
          </value>
        </values>
      </ddeItem>
      <ddeItem name="DI1Z24.VOV" advise="1">
        <values>
          <value>
            <val>1140</val>
          </value>
        </values>
      </ddeItem>
      <ddeItem name="DI1Z24.VPJ" advise="1">
        <values>
          <value>
            <val>2413324296.8926258</val>
          </value>
        </values>
      </ddeItem>
      <ddeItem name="DOLFUT.103" advise="1">
        <values>
          <value t="str">
            <val>650,00</val>
          </value>
        </values>
      </ddeItem>
      <ddeItem name="DOLFUT.12M" advise="1">
        <values>
          <value>
            <val>8.6926756952041337</val>
          </value>
        </values>
      </ddeItem>
      <ddeItem name="DOLFUT.3" advise="1">
        <values>
          <value t="str">
            <val>5.636,70</val>
          </value>
        </values>
      </ddeItem>
      <ddeItem name="DOLFUT.3M" advise="1">
        <values>
          <value>
            <val>2.8799263673565427</val>
          </value>
        </values>
      </ddeItem>
      <ddeItem name="DOLFUT.6M" advise="1">
        <values>
          <value>
            <val>11.027064696813564</val>
          </value>
        </values>
      </ddeItem>
      <ddeItem name="DOLFUT.ABE" advise="1">
        <values>
          <value>
            <val>5659.5</val>
          </value>
        </values>
      </ddeItem>
      <ddeItem name="DOLFUT.AJA" advise="1">
        <values>
          <value>
            <val>5657.808</val>
          </value>
        </values>
      </ddeItem>
      <ddeItem name="DOLFUT.AJU" advise="1">
        <values>
          <value>
            <val>5639.4489999999996</val>
          </value>
        </values>
      </ddeItem>
      <ddeItem name="DOLFUT.ANO" advise="1">
        <values>
          <value>
            <val>12.705093442251522</val>
          </value>
        </values>
      </ddeItem>
      <ddeItem name="DOLFUT.BLACK" advise="1">
        <values>
          <value>
            <val>0</val>
          </value>
        </values>
      </ddeItem>
      <ddeItem name="DOLFUT.CAB" advise="1">
        <values>
          <value>
            <val>786401</val>
          </value>
        </values>
      </ddeItem>
      <ddeItem name="DOLFUT.DAT" advise="1">
        <values>
          <value t="str">
            <val>12/09/2024</val>
          </value>
        </values>
      </ddeItem>
      <ddeItem name="DOLFUT.DELTA" advise="1">
        <values>
          <value>
            <val>0</val>
          </value>
        </values>
      </ddeItem>
      <ddeItem name="DOLFUT.DOBRAR" advise="1">
        <values>
          <value>
            <val>0</val>
          </value>
        </values>
      </ddeItem>
      <ddeItem name="DOLFUT.EST" advise="1">
        <values>
          <value t="str">
            <val>Aberto</val>
          </value>
        </values>
      </ddeItem>
      <ddeItem name="DOLFUT.FEC" advise="1">
        <values>
          <value>
            <val>5678.5000000000009</val>
          </value>
        </values>
      </ddeItem>
      <ddeItem name="DOLFUT.GAMA" advise="1">
        <values>
          <value>
            <val>0</val>
          </value>
        </values>
      </ddeItem>
      <ddeItem name="DOLFUT.HOR" advise="1">
        <values>
          <value t="str">
            <val>17:01:02</val>
          </value>
        </values>
      </ddeItem>
      <ddeItem name="DOLFUT.IMPVT" advise="1">
        <values>
          <value>
            <val>0</val>
          </value>
        </values>
      </ddeItem>
      <ddeItem name="DOLFUT.MAX" advise="1">
        <values>
          <value>
            <val>5688.5</val>
          </value>
        </values>
      </ddeItem>
      <ddeItem name="DOLFUT.MED" advise="1">
        <values>
          <value>
            <val>5657.7301617368494</val>
          </value>
        </values>
      </ddeItem>
      <ddeItem name="DOLFUT.MES" advise="1">
        <values>
          <value>
            <val>0.11558637858982998</val>
          </value>
        </values>
      </ddeItem>
      <ddeItem name="DOLFUT.MIN" advise="1">
        <values>
          <value>
            <val>5626</val>
          </value>
        </values>
      </ddeItem>
      <ddeItem name="DOLFUT.NEG" advise="1">
        <values>
          <value>
            <val>20605</val>
          </value>
        </values>
      </ddeItem>
      <ddeItem name="DOLFUT.OCP" advise="1">
        <values>
          <value>
            <val>5630.5</val>
          </value>
        </values>
      </ddeItem>
      <ddeItem name="DOLFUT.OVD" advise="1">
        <values>
          <value>
            <val>5631</val>
          </value>
        </values>
      </ddeItem>
      <ddeItem name="DOLFUT.PEX" advise="1">
        <values>
          <value>
            <val>0</val>
          </value>
        </values>
      </ddeItem>
      <ddeItem name="DOLFUT.PRT" advise="1">
        <values>
          <value>
            <val>0</val>
          </value>
        </values>
      </ddeItem>
      <ddeItem name="DOLFUT.QTE" advise="1">
        <values>
          <value>
            <val>0</val>
          </value>
        </values>
      </ddeItem>
      <ddeItem name="DOLFUT.QTT" advise="1">
        <values>
          <value>
            <val>171575</val>
          </value>
        </values>
      </ddeItem>
      <ddeItem name="DOLFUT.QUL" advise="1">
        <values>
          <value>
            <val>5</val>
          </value>
        </values>
      </ddeItem>
      <ddeItem name="DOLFUT.RHO" advise="1">
        <values>
          <value>
            <val>0</val>
          </value>
        </values>
      </ddeItem>
      <ddeItem name="DOLFUT.SEM" advise="1">
        <values>
          <value>
            <val>0.24928774928773306</val>
          </value>
        </values>
      </ddeItem>
      <ddeItem name="DOLFUT.SEMES" advise="1">
        <values>
          <value>
            <val>-0.33637182598451099</val>
          </value>
        </values>
      </ddeItem>
      <ddeItem name="DOLFUT.THETA" advise="1">
        <values>
          <value>
            <val>0</val>
          </value>
        </values>
      </ddeItem>
      <ddeItem name="DOLFUT.TRIM" advise="1">
        <values>
          <value>
            <val>-0.33637182598451099</val>
          </value>
        </values>
      </ddeItem>
      <ddeItem name="DOLFUT.ULT" advise="1">
        <values>
          <value>
            <val>5630</val>
          </value>
        </values>
      </ddeItem>
      <ddeItem name="DOLFUT.VAL" advise="1">
        <values>
          <value t="str">
            <val>30/09/2024</val>
          </value>
        </values>
      </ddeItem>
      <ddeItem name="DOLFUT.VAR" advise="1">
        <values>
          <value>
            <val>-0.85409879369552755</val>
          </value>
        </values>
      </ddeItem>
      <ddeItem name="DOLFUT.VARPTS" advise="1">
        <values>
          <value>
            <val>-48.500000000000909</val>
          </value>
        </values>
      </ddeItem>
      <ddeItem name="DOLFUT.VEGA" advise="1">
        <values>
          <value>
            <val>0</val>
          </value>
        </values>
      </ddeItem>
      <ddeItem name="DOLFUT.VEN" advise="1">
        <values>
          <value t="str">
            <val>01/10/2024</val>
          </value>
        </values>
      </ddeItem>
      <ddeItem name="DOLFUT.VEXT" advise="1">
        <values>
          <value>
            <val>0</val>
          </value>
        </values>
      </ddeItem>
      <ddeItem name="DOLFUT.VIA" advise="1">
        <values>
          <value>
            <val>0</val>
          </value>
        </values>
      </ddeItem>
      <ddeItem name="DOLFUT.VIB" advise="1">
        <values>
          <value>
            <val>0</val>
          </value>
        </values>
      </ddeItem>
      <ddeItem name="DOLFUT.VINT" advise="1">
        <values>
          <value>
            <val>0</val>
          </value>
        </values>
      </ddeItem>
      <ddeItem name="DOLFUT.VIVH" advise="1">
        <values>
          <value>
            <val>0</val>
          </value>
        </values>
      </ddeItem>
      <ddeItem name="DOLFUT.VOC" advise="1">
        <values>
          <value>
            <val>15</val>
          </value>
        </values>
      </ddeItem>
      <ddeItem name="DOLFUT.VOL" advise="1">
        <values>
          <value>
            <val>48536252625</val>
          </value>
        </values>
      </ddeItem>
      <ddeItem name="DOLFUT.VOV" advise="1">
        <values>
          <value>
            <val>10</val>
          </value>
        </values>
      </ddeItem>
      <ddeItem name="DOLFUT.VPJ" advise="1">
        <values>
          <value>
            <val>53171323954.498657</val>
          </value>
        </values>
      </ddeItem>
      <ddeItem name="FRCF25.103" advise="1">
        <values>
          <value t="str">
            <val>0,00</val>
          </value>
        </values>
      </ddeItem>
      <ddeItem name="FRCF25.12M" advise="1">
        <values>
          <value>
            <val>-5.1671732522796336</val>
          </value>
        </values>
      </ddeItem>
      <ddeItem name="FRCF25.3" advise="1">
        <values>
          <value t="str">
            <val>6,24</val>
          </value>
        </values>
      </ddeItem>
      <ddeItem name="FRCF25.3M" advise="1">
        <values>
          <value>
            <val>-5.0228310502283113</val>
          </value>
        </values>
      </ddeItem>
      <ddeItem name="FRCF25.6M" advise="1">
        <values>
          <value>
            <val>-1.577287066246065</val>
          </value>
        </values>
      </ddeItem>
      <ddeItem name="FRCF25.ABE" advise="1">
        <values>
          <value>
            <val>6.23</val>
          </value>
        </values>
      </ddeItem>
      <ddeItem name="FRCF25.AJA" advise="1">
        <values>
          <value>
            <val>6.23</val>
          </value>
        </values>
      </ddeItem>
      <ddeItem name="FRCF25.AJU" advise="1">
        <values>
          <value>
            <val>6.24</val>
          </value>
        </values>
      </ddeItem>
      <ddeItem name="FRCF25.ANO" advise="1">
        <values>
          <value>
            <val>6.3032367972742778</val>
          </value>
        </values>
      </ddeItem>
      <ddeItem name="FRCF25.BLACK" advise="1">
        <values>
          <value>
            <val>0</val>
          </value>
        </values>
      </ddeItem>
      <ddeItem name="FRCF25.CAB" advise="1">
        <values>
          <value>
            <val>0</val>
          </value>
        </values>
      </ddeItem>
      <ddeItem name="FRCF25.DAT" advise="1">
        <values>
          <value t="str">
            <val>12/09/2024</val>
          </value>
        </values>
      </ddeItem>
      <ddeItem name="FRCF25.DELTA" advise="1">
        <values>
          <value>
            <val>0</val>
          </value>
        </values>
      </ddeItem>
      <ddeItem name="FRCF25.DOBRAR" advise="1">
        <values>
          <value>
            <val>0</val>
          </value>
        </values>
      </ddeItem>
      <ddeItem name="FRCF25.EST" advise="1">
        <values>
          <value t="str">
            <val>Inibido</val>
          </value>
        </values>
      </ddeItem>
      <ddeItem name="FRCF25.FEC" advise="1">
        <values>
          <value>
            <val>6.23</val>
          </value>
        </values>
      </ddeItem>
      <ddeItem name="FRCF25.GAMA" advise="1">
        <values>
          <value>
            <val>0</val>
          </value>
        </values>
      </ddeItem>
      <ddeItem name="FRCF25.HOR" advise="1">
        <values>
          <value t="str">
            <val>16:14:42</val>
          </value>
        </values>
      </ddeItem>
      <ddeItem name="FRCF25.IMPVT" advise="1">
        <values>
          <value>
            <val>0</val>
          </value>
        </values>
      </ddeItem>
      <ddeItem name="FRCF25.MAX" advise="1">
        <values>
          <value>
            <val>6.26</val>
          </value>
        </values>
      </ddeItem>
      <ddeItem name="FRCF25.MED" advise="1">
        <values>
          <value>
            <val>6.24</val>
          </value>
        </values>
      </ddeItem>
      <ddeItem name="FRCF25.MES" advise="1">
        <values>
          <value>
            <val>-1.2658227848101276</val>
          </value>
        </values>
      </ddeItem>
      <ddeItem name="FRCF25.MIN" advise="1">
        <values>
          <value>
            <val>6.23</val>
          </value>
        </values>
      </ddeItem>
      <ddeItem name="FRCF25.NEG" advise="1">
        <values>
          <value>
            <val>13</val>
          </value>
        </values>
      </ddeItem>
      <ddeItem name="FRCF25.OCP" advise="1">
        <values>
          <value>
            <val>6.23</val>
          </value>
        </values>
      </ddeItem>
      <ddeItem name="FRCF25.OVD" advise="1">
        <values>
          <value>
            <val>6.24</val>
          </value>
        </values>
      </ddeItem>
      <ddeItem name="FRCF25.PEX" advise="1">
        <values>
          <value>
            <val>0</val>
          </value>
        </values>
      </ddeItem>
      <ddeItem name="FRCF25.PRT" advise="1">
        <values>
          <value>
            <val>0</val>
          </value>
        </values>
      </ddeItem>
      <ddeItem name="FRCF25.QTE" advise="1">
        <values>
          <value>
            <val>0</val>
          </value>
        </values>
      </ddeItem>
      <ddeItem name="FRCF25.QTT" advise="1">
        <values>
          <value>
            <val>14563</val>
          </value>
        </values>
      </ddeItem>
      <ddeItem name="FRCF25.QUL" advise="1">
        <values>
          <value>
            <val>260</val>
          </value>
        </values>
      </ddeItem>
      <ddeItem name="FRCF25.RHO" advise="1">
        <values>
          <value>
            <val>0</val>
          </value>
        </values>
      </ddeItem>
      <ddeItem name="FRCF25.SEM" advise="1">
        <values>
          <value>
            <val>0.4830917874396175</val>
          </value>
        </values>
      </ddeItem>
      <ddeItem name="FRCF25.SEMES" advise="1">
        <values>
          <value>
            <val>-5.5975794251134658</val>
          </value>
        </values>
      </ddeItem>
      <ddeItem name="FRCF25.THETA" advise="1">
        <values>
          <value>
            <val>0</val>
          </value>
        </values>
      </ddeItem>
      <ddeItem name="FRCF25.TRIM" advise="1">
        <values>
          <value>
            <val>-5.5975794251134658</val>
          </value>
        </values>
      </ddeItem>
      <ddeItem name="FRCF25.ULT" advise="1">
        <values>
          <value>
            <val>6.24</val>
          </value>
        </values>
      </ddeItem>
      <ddeItem name="FRCF25.VAL" advise="1">
        <values>
          <value t="str">
            <val>27/11/2024</val>
          </value>
        </values>
      </ddeItem>
      <ddeItem name="FRCF25.VAR" advise="1">
        <values>
          <value>
            <val>0.16051364365969789</val>
          </value>
        </values>
      </ddeItem>
      <ddeItem name="FRCF25.VARPTS" advise="1">
        <values>
          <value>
            <val>9.9999999999997868E-3</val>
          </value>
        </values>
      </ddeItem>
      <ddeItem name="FRCF25.VEGA" advise="1">
        <values>
          <value>
            <val>0</val>
          </value>
        </values>
      </ddeItem>
      <ddeItem name="FRCF25.VEN" advise="1">
        <values>
          <value t="str">
            <val>02/01/2025</val>
          </value>
        </values>
      </ddeItem>
      <ddeItem name="FRCF25.VEXT" advise="1">
        <values>
          <value>
            <val>0</val>
          </value>
        </values>
      </ddeItem>
      <ddeItem name="FRCF25.VIA" advise="1">
        <values>
          <value>
            <val>0</val>
          </value>
        </values>
      </ddeItem>
      <ddeItem name="FRCF25.VIB" advise="1">
        <values>
          <value>
            <val>0</val>
          </value>
        </values>
      </ddeItem>
      <ddeItem name="FRCF25.VINT" advise="1">
        <values>
          <value>
            <val>0</val>
          </value>
        </values>
      </ddeItem>
      <ddeItem name="FRCF25.VIVH" advise="1">
        <values>
          <value>
            <val>0</val>
          </value>
        </values>
      </ddeItem>
      <ddeItem name="FRCF25.VOC" advise="1">
        <values>
          <value>
            <val>2200</val>
          </value>
        </values>
      </ddeItem>
      <ddeItem name="FRCF25.VOL" advise="1">
        <values>
          <value>
            <val>1752331417.0899999</val>
          </value>
        </values>
      </ddeItem>
      <ddeItem name="FRCF25.VOV" advise="1">
        <values>
          <value>
            <val>1740</val>
          </value>
        </values>
      </ddeItem>
      <ddeItem name="FRCF25.VPJ" advise="1">
        <values>
          <value>
            <val>1752331417.0899999</val>
          </value>
        </values>
      </ddeItem>
      <ddeItem name="FRCF26.103" advise="1">
        <values>
          <value t="str">
            <val>-10,00</val>
          </value>
        </values>
      </ddeItem>
      <ddeItem name="FRCF26.12M" advise="1">
        <values>
          <value>
            <val>-13.584288052373159</val>
          </value>
        </values>
      </ddeItem>
      <ddeItem name="FRCF26.3" advise="1">
        <values>
          <value t="str">
            <val>5,38</val>
          </value>
        </values>
      </ddeItem>
      <ddeItem name="FRCF26.3M" advise="1">
        <values>
          <value>
            <val>-16.323296354992078</val>
          </value>
        </values>
      </ddeItem>
      <ddeItem name="FRCF26.6M" advise="1">
        <values>
          <value>
            <val>-9.8976109215017072</val>
          </value>
        </values>
      </ddeItem>
      <ddeItem name="FRCF26.ABE" advise="1">
        <values>
          <value>
            <val>5.29</val>
          </value>
        </values>
      </ddeItem>
      <ddeItem name="FRCF26.AJA" advise="1">
        <values>
          <value>
            <val>5.28</val>
          </value>
        </values>
      </ddeItem>
      <ddeItem name="FRCF26.AJU" advise="1">
        <values>
          <value>
            <val>5.28</val>
          </value>
        </values>
      </ddeItem>
      <ddeItem name="FRCF26.ANO" advise="1">
        <values>
          <value>
            <val>-0.18903591682419257</val>
          </value>
        </values>
      </ddeItem>
      <ddeItem name="FRCF26.BLACK" advise="1">
        <values>
          <value>
            <val>0</val>
          </value>
        </values>
      </ddeItem>
      <ddeItem name="FRCF26.CAB" advise="1">
        <values>
          <value>
            <val>0</val>
          </value>
        </values>
      </ddeItem>
      <ddeItem name="FRCF26.DAT" advise="1">
        <values>
          <value t="str">
            <val>12/09/2024</val>
          </value>
        </values>
      </ddeItem>
      <ddeItem name="FRCF26.DELTA" advise="1">
        <values>
          <value>
            <val>0</val>
          </value>
        </values>
      </ddeItem>
      <ddeItem name="FRCF26.DOBRAR" advise="1">
        <values>
          <value>
            <val>0</val>
          </value>
        </values>
      </ddeItem>
      <ddeItem name="FRCF26.EST" advise="1">
        <values>
          <value t="str">
            <val>Inibido</val>
          </value>
        </values>
      </ddeItem>
      <ddeItem name="FRCF26.FEC" advise="1">
        <values>
          <value>
            <val>5.28</val>
          </value>
        </values>
      </ddeItem>
      <ddeItem name="FRCF26.GAMA" advise="1">
        <values>
          <value>
            <val>0</val>
          </value>
        </values>
      </ddeItem>
      <ddeItem name="FRCF26.HOR" advise="1">
        <values>
          <value t="str">
            <val>16:25:20</val>
          </value>
        </values>
      </ddeItem>
      <ddeItem name="FRCF26.IMPVT" advise="1">
        <values>
          <value>
            <val>0</val>
          </value>
        </values>
      </ddeItem>
      <ddeItem name="FRCF26.MAX" advise="1">
        <values>
          <value>
            <val>5.29</val>
          </value>
        </values>
      </ddeItem>
      <ddeItem name="FRCF26.MED" advise="1">
        <values>
          <value>
            <val>5.2850000000000001</val>
          </value>
        </values>
      </ddeItem>
      <ddeItem name="FRCF26.MES" advise="1">
        <values>
          <value>
            <val>-5.206463195691204</val>
          </value>
        </values>
      </ddeItem>
      <ddeItem name="FRCF26.MIN" advise="1">
        <values>
          <value>
            <val>5.28</val>
          </value>
        </values>
      </ddeItem>
      <ddeItem name="FRCF26.NEG" advise="1">
        <values>
          <value>
            <val>18</val>
          </value>
        </values>
      </ddeItem>
      <ddeItem name="FRCF26.OCP" advise="1">
        <values>
          <value>
            <val>5.28</val>
          </value>
        </values>
      </ddeItem>
      <ddeItem name="FRCF26.OVD" advise="1">
        <values>
          <value>
            <val>5.29</val>
          </value>
        </values>
      </ddeItem>
      <ddeItem name="FRCF26.PEX" advise="1">
        <values>
          <value>
            <val>0</val>
          </value>
        </values>
      </ddeItem>
      <ddeItem name="FRCF26.PRT" advise="1">
        <values>
          <value>
            <val>0</val>
          </value>
        </values>
      </ddeItem>
      <ddeItem name="FRCF26.QTE" advise="1">
        <values>
          <value>
            <val>0</val>
          </value>
        </values>
      </ddeItem>
      <ddeItem name="FRCF26.QTT" advise="1">
        <values>
          <value>
            <val>5036</val>
          </value>
        </values>
      </ddeItem>
      <ddeItem name="FRCF26.QUL" advise="1">
        <values>
          <value>
            <val>100</val>
          </value>
        </values>
      </ddeItem>
      <ddeItem name="FRCF26.RHO" advise="1">
        <values>
          <value>
            <val>0</val>
          </value>
        </values>
      </ddeItem>
      <ddeItem name="FRCF26.SEM" advise="1">
        <values>
          <value>
            <val>0</val>
          </value>
        </values>
      </ddeItem>
      <ddeItem name="FRCF26.SEMES" advise="1">
        <values>
          <value>
            <val>-17.241379310344822</val>
          </value>
        </values>
      </ddeItem>
      <ddeItem name="FRCF26.THETA" advise="1">
        <values>
          <value>
            <val>0</val>
          </value>
        </values>
      </ddeItem>
      <ddeItem name="FRCF26.TRIM" advise="1">
        <values>
          <value>
            <val>-17.241379310344822</val>
          </value>
        </values>
      </ddeItem>
      <ddeItem name="FRCF26.ULT" advise="1">
        <values>
          <value>
            <val>5.28</val>
          </value>
        </values>
      </ddeItem>
      <ddeItem name="FRCF26.VAL" advise="1">
        <values>
          <value t="str">
            <val>26/11/2025</val>
          </value>
        </values>
      </ddeItem>
      <ddeItem name="FRCF26.VAR" advise="1">
        <values>
          <value>
            <val>0</val>
          </value>
        </values>
      </ddeItem>
      <ddeItem name="FRCF26.VARPTS" advise="1">
        <values>
          <value>
            <val>0</val>
          </value>
        </values>
      </ddeItem>
      <ddeItem name="FRCF26.VEGA" advise="1">
        <values>
          <value>
            <val>0</val>
          </value>
        </values>
      </ddeItem>
      <ddeItem name="FRCF26.VEN" advise="1">
        <values>
          <value t="str">
            <val>02/01/2026</val>
          </value>
        </values>
      </ddeItem>
      <ddeItem name="FRCF26.VEXT" advise="1">
        <values>
          <value>
            <val>0</val>
          </value>
        </values>
      </ddeItem>
      <ddeItem name="FRCF26.VIA" advise="1">
        <values>
          <value>
            <val>0</val>
          </value>
        </values>
      </ddeItem>
      <ddeItem name="FRCF26.VIB" advise="1">
        <values>
          <value>
            <val>0</val>
          </value>
        </values>
      </ddeItem>
      <ddeItem name="FRCF26.VINT" advise="1">
        <values>
          <value>
            <val>0</val>
          </value>
        </values>
      </ddeItem>
      <ddeItem name="FRCF26.VIVH" advise="1">
        <values>
          <value>
            <val>0</val>
          </value>
        </values>
      </ddeItem>
      <ddeItem name="FRCF26.VOC" advise="1">
        <values>
          <value>
            <val>620</val>
          </value>
        </values>
      </ddeItem>
      <ddeItem name="FRCF26.VOL" advise="1">
        <values>
          <value>
            <val>591320339.58000004</val>
          </value>
        </values>
      </ddeItem>
      <ddeItem name="FRCF26.VOV" advise="1">
        <values>
          <value>
            <val>700</val>
          </value>
        </values>
      </ddeItem>
      <ddeItem name="FRCF26.VPJ" advise="1">
        <values>
          <value>
            <val>591320339.58000004</val>
          </value>
        </values>
      </ddeItem>
      <ddeItem name="FRCG25.103" advise="1">
        <values>
          <value t="str">
            <val>0,00</val>
          </value>
        </values>
      </ddeItem>
      <ddeItem name="FRCG25.12M" advise="1">
        <values>
          <value>
            <val>7.9086115992970001</val>
          </value>
        </values>
      </ddeItem>
      <ddeItem name="FRCG25.3" advise="1">
        <values>
          <value t="str">
            <val>6,17</val>
          </value>
        </values>
      </ddeItem>
      <ddeItem name="FRCG25.3M" advise="1">
        <values>
          <value>
            <val>-6.5449010654490198</val>
          </value>
        </values>
      </ddeItem>
      <ddeItem name="FRCG25.6M" advise="1">
        <values>
          <value>
            <val>-2.3847376788553318</val>
          </value>
        </values>
      </ddeItem>
      <ddeItem name="FRCG25.ABE" advise="1">
        <values>
          <value>
            <val>6.14</val>
          </value>
        </values>
      </ddeItem>
      <ddeItem name="FRCG25.AJA" advise="1">
        <values>
          <value>
            <val>0</val>
          </value>
        </values>
      </ddeItem>
      <ddeItem name="FRCG25.AJU" advise="1">
        <values>
          <value>
            <val>6.14</val>
          </value>
        </values>
      </ddeItem>
      <ddeItem name="FRCG25.ANO" advise="1">
        <values>
          <value>
            <val>7.9086115992970001</val>
          </value>
        </values>
      </ddeItem>
      <ddeItem name="FRCG25.BLACK" advise="1">
        <values>
          <value>
            <val>0</val>
          </value>
        </values>
      </ddeItem>
      <ddeItem name="FRCG25.CAB" advise="1">
        <values>
          <value>
            <val>0</val>
          </value>
        </values>
      </ddeItem>
      <ddeItem name="FRCG25.DAT" advise="1">
        <values>
          <value t="str">
            <val>12/09/2024</val>
          </value>
        </values>
      </ddeItem>
      <ddeItem name="FRCG25.DELTA" advise="1">
        <values>
          <value>
            <val>0</val>
          </value>
        </values>
      </ddeItem>
      <ddeItem name="FRCG25.DOBRAR" advise="1">
        <values>
          <value>
            <val>0</val>
          </value>
        </values>
      </ddeItem>
      <ddeItem name="FRCG25.EST" advise="1">
        <values>
          <value t="str">
            <val>Inibido</val>
          </value>
        </values>
      </ddeItem>
      <ddeItem name="FRCG25.FEC" advise="1">
        <values>
          <value>
            <val>6.1400000000000006</val>
          </value>
        </values>
      </ddeItem>
      <ddeItem name="FRCG25.GAMA" advise="1">
        <values>
          <value>
            <val>0</val>
          </value>
        </values>
      </ddeItem>
      <ddeItem name="FRCG25.HOR" advise="1">
        <values>
          <value t="str">
            <val>16:14:51</val>
          </value>
        </values>
      </ddeItem>
      <ddeItem name="FRCG25.IMPVT" advise="1">
        <values>
          <value>
            <val>0</val>
          </value>
        </values>
      </ddeItem>
      <ddeItem name="FRCG25.MAX" advise="1">
        <values>
          <value>
            <val>6.14</val>
          </value>
        </values>
      </ddeItem>
      <ddeItem name="FRCG25.MED" advise="1">
        <values>
          <value>
            <val>6.14</val>
          </value>
        </values>
      </ddeItem>
      <ddeItem name="FRCG25.MES" advise="1">
        <values>
          <value>
            <val>-2.0733652312599804</val>
          </value>
        </values>
      </ddeItem>
      <ddeItem name="FRCG25.MIN" advise="1">
        <values>
          <value>
            <val>6.14</val>
          </value>
        </values>
      </ddeItem>
      <ddeItem name="FRCG25.NEG" advise="1">
        <values>
          <value>
            <val>14</val>
          </value>
        </values>
      </ddeItem>
      <ddeItem name="FRCG25.OCP" advise="1">
        <values>
          <value>
            <val>6.1400000000000006</val>
          </value>
        </values>
      </ddeItem>
      <ddeItem name="FRCG25.OVD" advise="1">
        <values>
          <value>
            <val>0</val>
          </value>
        </values>
      </ddeItem>
      <ddeItem name="FRCG25.PEX" advise="1">
        <values>
          <value>
            <val>0</val>
          </value>
        </values>
      </ddeItem>
      <ddeItem name="FRCG25.PRT" advise="1">
        <values>
          <value>
            <val>0</val>
          </value>
        </values>
      </ddeItem>
      <ddeItem name="FRCG25.QTE" advise="1">
        <values>
          <value>
            <val>0</val>
          </value>
        </values>
      </ddeItem>
      <ddeItem name="FRCG25.QTT" advise="1">
        <values>
          <value>
            <val>16367</val>
          </value>
        </values>
      </ddeItem>
      <ddeItem name="FRCG25.QUL" advise="1">
        <values>
          <value>
            <val>130</val>
          </value>
        </values>
      </ddeItem>
      <ddeItem name="FRCG25.RHO" advise="1">
        <values>
          <value>
            <val>0</val>
          </value>
        </values>
      </ddeItem>
      <ddeItem name="FRCG25.SEM" advise="1">
        <values>
          <value>
            <val>0.32679738562090804</val>
          </value>
        </values>
      </ddeItem>
      <ddeItem name="FRCG25.SEMES" advise="1">
        <values>
          <value>
            <val>-7.1104387291981945</val>
          </value>
        </values>
      </ddeItem>
      <ddeItem name="FRCG25.THETA" advise="1">
        <values>
          <value>
            <val>0</val>
          </value>
        </values>
      </ddeItem>
      <ddeItem name="FRCG25.TRIM" advise="1">
        <values>
          <value>
            <val>-7.1104387291981945</val>
          </value>
        </values>
      </ddeItem>
      <ddeItem name="FRCG25.ULT" advise="1">
        <values>
          <value>
            <val>6.14</val>
          </value>
        </values>
      </ddeItem>
      <ddeItem name="FRCG25.VAL" advise="1">
        <values>
          <value t="str">
            <val>26/12/2024</val>
          </value>
        </values>
      </ddeItem>
      <ddeItem name="FRCG25.VAR" advise="1">
        <values>
          <value>
            <val>0</val>
          </value>
        </values>
      </ddeItem>
      <ddeItem name="FRCG25.VARPTS" advise="1">
        <values>
          <value>
            <val>-8.8817841970012523E-16</val>
          </value>
        </values>
      </ddeItem>
      <ddeItem name="FRCG25.VEGA" advise="1">
        <values>
          <value>
            <val>0</val>
          </value>
        </values>
      </ddeItem>
      <ddeItem name="FRCG25.VEN" advise="1">
        <values>
          <value t="str">
            <val>03/02/2025</val>
          </value>
        </values>
      </ddeItem>
      <ddeItem name="FRCG25.VEXT" advise="1">
        <values>
          <value>
            <val>0</val>
          </value>
        </values>
      </ddeItem>
      <ddeItem name="FRCG25.VIA" advise="1">
        <values>
          <value>
            <val>0</val>
          </value>
        </values>
      </ddeItem>
      <ddeItem name="FRCG25.VIB" advise="1">
        <values>
          <value>
            <val>0</val>
          </value>
        </values>
      </ddeItem>
      <ddeItem name="FRCG25.VINT" advise="1">
        <values>
          <value>
            <val>0</val>
          </value>
        </values>
      </ddeItem>
      <ddeItem name="FRCG25.VIVH" advise="1">
        <values>
          <value>
            <val>0</val>
          </value>
        </values>
      </ddeItem>
      <ddeItem name="FRCG25.VOC" advise="1">
        <values>
          <value>
            <val>6070</val>
          </value>
        </values>
      </ddeItem>
      <ddeItem name="FRCG25.VOL" advise="1">
        <values>
          <value>
            <val>808506893.50999999</val>
          </value>
        </values>
      </ddeItem>
      <ddeItem name="FRCG25.VOV" advise="1">
        <values>
          <value>
            <val>0</val>
          </value>
        </values>
      </ddeItem>
      <ddeItem name="FRCG25.VPJ" advise="1">
        <values>
          <value>
            <val>808506893.50999999</val>
          </value>
        </values>
      </ddeItem>
      <ddeItem name="FRCH25.103" advise="1">
        <values>
          <value t="str">
            <val>-340,00</val>
          </value>
        </values>
      </ddeItem>
      <ddeItem name="FRCH25.12M" advise="1">
        <values>
          <value>
            <val>-1.6313213703099454</val>
          </value>
        </values>
      </ddeItem>
      <ddeItem name="FRCH25.3" advise="1">
        <values>
          <value t="str">
            <val>6,06</val>
          </value>
        </values>
      </ddeItem>
      <ddeItem name="FRCH25.3M" advise="1">
        <values>
          <value>
            <val>-7.6569678407350681</val>
          </value>
        </values>
      </ddeItem>
      <ddeItem name="FRCH25.6M" advise="1">
        <values>
          <value>
            <val>-3.519999999999996</val>
          </value>
        </values>
      </ddeItem>
      <ddeItem name="FRCH25.ABE" advise="1">
        <values>
          <value>
            <val>6.06</val>
          </value>
        </values>
      </ddeItem>
      <ddeItem name="FRCH25.AJA" advise="1">
        <values>
          <value>
            <val>0</val>
          </value>
        </values>
      </ddeItem>
      <ddeItem name="FRCH25.AJU" advise="1">
        <values>
          <value>
            <val>6.03</val>
          </value>
        </values>
      </ddeItem>
      <ddeItem name="FRCH25.ANO" advise="1">
        <values>
          <value>
            <val>-1.6313213703099454</val>
          </value>
        </values>
      </ddeItem>
      <ddeItem name="FRCH25.BLACK" advise="1">
        <values>
          <value>
            <val>0</val>
          </value>
        </values>
      </ddeItem>
      <ddeItem name="FRCH25.CAB" advise="1">
        <values>
          <value>
            <val>0</val>
          </value>
        </values>
      </ddeItem>
      <ddeItem name="FRCH25.DAT" advise="1">
        <values>
          <value t="str">
            <val>12/09/2024</val>
          </value>
        </values>
      </ddeItem>
      <ddeItem name="FRCH25.DELTA" advise="1">
        <values>
          <value>
            <val>0</val>
          </value>
        </values>
      </ddeItem>
      <ddeItem name="FRCH25.DOBRAR" advise="1">
        <values>
          <value>
            <val>0</val>
          </value>
        </values>
      </ddeItem>
      <ddeItem name="FRCH25.EST" advise="1">
        <values>
          <value t="str">
            <val>Inibido</val>
          </value>
        </values>
      </ddeItem>
      <ddeItem name="FRCH25.FEC" advise="1">
        <values>
          <value>
            <val>6.03</val>
          </value>
        </values>
      </ddeItem>
      <ddeItem name="FRCH25.GAMA" advise="1">
        <values>
          <value>
            <val>0</val>
          </value>
        </values>
      </ddeItem>
      <ddeItem name="FRCH25.HOR" advise="1">
        <values>
          <value t="str">
            <val>16:17:14</val>
          </value>
        </values>
      </ddeItem>
      <ddeItem name="FRCH25.IMPVT" advise="1">
        <values>
          <value>
            <val>0</val>
          </value>
        </values>
      </ddeItem>
      <ddeItem name="FRCH25.MAX" advise="1">
        <values>
          <value>
            <val>6.06</val>
          </value>
        </values>
      </ddeItem>
      <ddeItem name="FRCH25.MED" advise="1">
        <values>
          <value>
            <val>6.0449999999999999</val>
          </value>
        </values>
      </ddeItem>
      <ddeItem name="FRCH25.MES" advise="1">
        <values>
          <value>
            <val>-2.2690437601296543</val>
          </value>
        </values>
      </ddeItem>
      <ddeItem name="FRCH25.MIN" advise="1">
        <values>
          <value>
            <val>6.03</val>
          </value>
        </values>
      </ddeItem>
      <ddeItem name="FRCH25.NEG" advise="1">
        <values>
          <value>
            <val>20</val>
          </value>
        </values>
      </ddeItem>
      <ddeItem name="FRCH25.OCP" advise="1">
        <values>
          <value>
            <val>6.03</val>
          </value>
        </values>
      </ddeItem>
      <ddeItem name="FRCH25.OVD" advise="1">
        <values>
          <value>
            <val>6.04</val>
          </value>
        </values>
      </ddeItem>
      <ddeItem name="FRCH25.PEX" advise="1">
        <values>
          <value>
            <val>0</val>
          </value>
        </values>
      </ddeItem>
      <ddeItem name="FRCH25.PRT" advise="1">
        <values>
          <value>
            <val>0</val>
          </value>
        </values>
      </ddeItem>
      <ddeItem name="FRCH25.QTE" advise="1">
        <values>
          <value>
            <val>0</val>
          </value>
        </values>
      </ddeItem>
      <ddeItem name="FRCH25.QTT" advise="1">
        <values>
          <value>
            <val>28235</val>
          </value>
        </values>
      </ddeItem>
      <ddeItem name="FRCH25.QUL" advise="1">
        <values>
          <value>
            <val>500</val>
          </value>
        </values>
      </ddeItem>
      <ddeItem name="FRCH25.RHO" advise="1">
        <values>
          <value>
            <val>0</val>
          </value>
        </values>
      </ddeItem>
      <ddeItem name="FRCH25.SEM" advise="1">
        <values>
          <value>
            <val>0.66777963272120255</val>
          </value>
        </values>
      </ddeItem>
      <ddeItem name="FRCH25.SEMES" advise="1">
        <values>
          <value>
            <val>-7.6569678407350681</val>
          </value>
        </values>
      </ddeItem>
      <ddeItem name="FRCH25.THETA" advise="1">
        <values>
          <value>
            <val>0</val>
          </value>
        </values>
      </ddeItem>
      <ddeItem name="FRCH25.TRIM" advise="1">
        <values>
          <value>
            <val>-7.6569678407350681</val>
          </value>
        </values>
      </ddeItem>
      <ddeItem name="FRCH25.ULT" advise="1">
        <values>
          <value>
            <val>6.03</val>
          </value>
        </values>
      </ddeItem>
      <ddeItem name="FRCH25.VAL" advise="1">
        <values>
          <value t="str">
            <val>29/01/2025</val>
          </value>
        </values>
      </ddeItem>
      <ddeItem name="FRCH25.VAR" advise="1">
        <values>
          <value>
            <val>0</val>
          </value>
        </values>
      </ddeItem>
      <ddeItem name="FRCH25.VARPTS" advise="1">
        <values>
          <value>
            <val>0</val>
          </value>
        </values>
      </ddeItem>
      <ddeItem name="FRCH25.VEGA" advise="1">
        <values>
          <value>
            <val>0</val>
          </value>
        </values>
      </ddeItem>
      <ddeItem name="FRCH25.VEN" advise="1">
        <values>
          <value t="str">
            <val>05/03/2025</val>
          </value>
        </values>
      </ddeItem>
      <ddeItem name="FRCH25.VEXT" advise="1">
        <values>
          <value>
            <val>0</val>
          </value>
        </values>
      </ddeItem>
      <ddeItem name="FRCH25.VIA" advise="1">
        <values>
          <value>
            <val>0</val>
          </value>
        </values>
      </ddeItem>
      <ddeItem name="FRCH25.VIB" advise="1">
        <values>
          <value>
            <val>0</val>
          </value>
        </values>
      </ddeItem>
      <ddeItem name="FRCH25.VINT" advise="1">
        <values>
          <value>
            <val>0</val>
          </value>
        </values>
      </ddeItem>
      <ddeItem name="FRCH25.VIVH" advise="1">
        <values>
          <value>
            <val>0</val>
          </value>
        </values>
      </ddeItem>
      <ddeItem name="FRCH25.VOC" advise="1">
        <values>
          <value>
            <val>3370</val>
          </value>
        </values>
      </ddeItem>
      <ddeItem name="FRCH25.VOL" advise="1">
        <values>
          <value>
            <val>1391572163.1500001</val>
          </value>
        </values>
      </ddeItem>
      <ddeItem name="FRCH25.VOV" advise="1">
        <values>
          <value>
            <val>1000</val>
          </value>
        </values>
      </ddeItem>
      <ddeItem name="FRCH25.VPJ" advise="1">
        <values>
          <value>
            <val>1391572163.1500001</val>
          </value>
        </values>
      </ddeItem>
      <ddeItem name="FRCJ25.103" advise="1">
        <values>
          <value t="str">
            <val>0,00</val>
          </value>
        </values>
      </ddeItem>
      <ddeItem name="FRCJ25.12M" advise="1">
        <values>
          <value>
            <val>-8.0745341614906909</val>
          </value>
        </values>
      </ddeItem>
      <ddeItem name="FRCJ25.3" advise="1">
        <values>
          <value t="str">
            <val>5,96</val>
          </value>
        </values>
      </ddeItem>
      <ddeItem name="FRCJ25.3M" advise="1">
        <values>
          <value>
            <val>-9.0629800307219774</val>
          </value>
        </values>
      </ddeItem>
      <ddeItem name="FRCJ25.6M" advise="1">
        <values>
          <value>
            <val>-4.6698872785829311</val>
          </value>
        </values>
      </ddeItem>
      <ddeItem name="FRCJ25.ABE" advise="1">
        <values>
          <value>
            <val>5.93</val>
          </value>
        </values>
      </ddeItem>
      <ddeItem name="FRCJ25.AJA" advise="1">
        <values>
          <value>
            <val>0</val>
          </value>
        </values>
      </ddeItem>
      <ddeItem name="FRCJ25.AJU" advise="1">
        <values>
          <value>
            <val>5.92</val>
          </value>
        </values>
      </ddeItem>
      <ddeItem name="FRCJ25.ANO" advise="1">
        <values>
          <value>
            <val>4.409171075837742</val>
          </value>
        </values>
      </ddeItem>
      <ddeItem name="FRCJ25.BLACK" advise="1">
        <values>
          <value>
            <val>0</val>
          </value>
        </values>
      </ddeItem>
      <ddeItem name="FRCJ25.CAB" advise="1">
        <values>
          <value>
            <val>0</val>
          </value>
        </values>
      </ddeItem>
      <ddeItem name="FRCJ25.DAT" advise="1">
        <values>
          <value t="str">
            <val>12/09/2024</val>
          </value>
        </values>
      </ddeItem>
      <ddeItem name="FRCJ25.DELTA" advise="1">
        <values>
          <value>
            <val>0</val>
          </value>
        </values>
      </ddeItem>
      <ddeItem name="FRCJ25.DOBRAR" advise="1">
        <values>
          <value>
            <val>0</val>
          </value>
        </values>
      </ddeItem>
      <ddeItem name="FRCJ25.EST" advise="1">
        <values>
          <value t="str">
            <val>Inibido</val>
          </value>
        </values>
      </ddeItem>
      <ddeItem name="FRCJ25.FEC" advise="1">
        <values>
          <value>
            <val>5.9300000000000006</val>
          </value>
        </values>
      </ddeItem>
      <ddeItem name="FRCJ25.GAMA" advise="1">
        <values>
          <value>
            <val>0</val>
          </value>
        </values>
      </ddeItem>
      <ddeItem name="FRCJ25.HOR" advise="1">
        <values>
          <value t="str">
            <val>16:17:12</val>
          </value>
        </values>
      </ddeItem>
      <ddeItem name="FRCJ25.IMPVT" advise="1">
        <values>
          <value>
            <val>0</val>
          </value>
        </values>
      </ddeItem>
      <ddeItem name="FRCJ25.MAX" advise="1">
        <values>
          <value>
            <val>5.95</val>
          </value>
        </values>
      </ddeItem>
      <ddeItem name="FRCJ25.MED" advise="1">
        <values>
          <value>
            <val>5.93</val>
          </value>
        </values>
      </ddeItem>
      <ddeItem name="FRCJ25.MES" advise="1">
        <values>
          <value>
            <val>-2.7914614121510661</val>
          </value>
        </values>
      </ddeItem>
      <ddeItem name="FRCJ25.MIN" advise="1">
        <values>
          <value>
            <val>5.92</val>
          </value>
        </values>
      </ddeItem>
      <ddeItem name="FRCJ25.NEG" advise="1">
        <values>
          <value>
            <val>12</val>
          </value>
        </values>
      </ddeItem>
      <ddeItem name="FRCJ25.OCP" advise="1">
        <values>
          <value>
            <val>5.92</val>
          </value>
        </values>
      </ddeItem>
      <ddeItem name="FRCJ25.OVD" advise="1">
        <values>
          <value>
            <val>5.93</val>
          </value>
        </values>
      </ddeItem>
      <ddeItem name="FRCJ25.PEX" advise="1">
        <values>
          <value>
            <val>0</val>
          </value>
        </values>
      </ddeItem>
      <ddeItem name="FRCJ25.PRT" advise="1">
        <values>
          <value>
            <val>0</val>
          </value>
        </values>
      </ddeItem>
      <ddeItem name="FRCJ25.QTE" advise="1">
        <values>
          <value>
            <val>0</val>
          </value>
        </values>
      </ddeItem>
      <ddeItem name="FRCJ25.QTT" advise="1">
        <values>
          <value>
            <val>11823</val>
          </value>
        </values>
      </ddeItem>
      <ddeItem name="FRCJ25.QUL" advise="1">
        <values>
          <value>
            <val>90</val>
          </value>
        </values>
      </ddeItem>
      <ddeItem name="FRCJ25.RHO" advise="1">
        <values>
          <value>
            <val>0</val>
          </value>
        </values>
      </ddeItem>
      <ddeItem name="FRCJ25.SEM" advise="1">
        <values>
          <value>
            <val>0.50933786078097387</val>
          </value>
        </values>
      </ddeItem>
      <ddeItem name="FRCJ25.SEMES" advise="1">
        <values>
          <value>
            <val>-10.16691957511382</val>
          </value>
        </values>
      </ddeItem>
      <ddeItem name="FRCJ25.THETA" advise="1">
        <values>
          <value>
            <val>0</val>
          </value>
        </values>
      </ddeItem>
      <ddeItem name="FRCJ25.TRIM" advise="1">
        <values>
          <value>
            <val>-10.16691957511382</val>
          </value>
        </values>
      </ddeItem>
      <ddeItem name="FRCJ25.ULT" advise="1">
        <values>
          <value>
            <val>5.92</val>
          </value>
        </values>
      </ddeItem>
      <ddeItem name="FRCJ25.VAL" advise="1">
        <values>
          <value t="str">
            <val>26/02/2025</val>
          </value>
        </values>
      </ddeItem>
      <ddeItem name="FRCJ25.VAR" advise="1">
        <values>
          <value>
            <val>-0.16863406408094761</val>
          </value>
        </values>
      </ddeItem>
      <ddeItem name="FRCJ25.VARPTS" advise="1">
        <values>
          <value>
            <val>-1.0000000000000675E-2</val>
          </value>
        </values>
      </ddeItem>
      <ddeItem name="FRCJ25.VEGA" advise="1">
        <values>
          <value>
            <val>0</val>
          </value>
        </values>
      </ddeItem>
      <ddeItem name="FRCJ25.VEN" advise="1">
        <values>
          <value t="str">
            <val>01/04/2025</val>
          </value>
        </values>
      </ddeItem>
      <ddeItem name="FRCJ25.VEXT" advise="1">
        <values>
          <value>
            <val>0</val>
          </value>
        </values>
      </ddeItem>
      <ddeItem name="FRCJ25.VIA" advise="1">
        <values>
          <value>
            <val>0</val>
          </value>
        </values>
      </ddeItem>
      <ddeItem name="FRCJ25.VIB" advise="1">
        <values>
          <value>
            <val>0</val>
          </value>
        </values>
      </ddeItem>
      <ddeItem name="FRCJ25.VINT" advise="1">
        <values>
          <value>
            <val>0</val>
          </value>
        </values>
      </ddeItem>
      <ddeItem name="FRCJ25.VIVH" advise="1">
        <values>
          <value>
            <val>0</val>
          </value>
        </values>
      </ddeItem>
      <ddeItem name="FRCJ25.VOC" advise="1">
        <values>
          <value>
            <val>410</val>
          </value>
        </values>
      </ddeItem>
      <ddeItem name="FRCJ25.VOL" advise="1">
        <values>
          <value>
            <val>581582996.19000006</val>
          </value>
        </values>
      </ddeItem>
      <ddeItem name="FRCJ25.VOV" advise="1">
        <values>
          <value>
            <val>2000</val>
          </value>
        </values>
      </ddeItem>
      <ddeItem name="FRCJ25.VPJ" advise="1">
        <values>
          <value>
            <val>581582996.19000006</val>
          </value>
        </values>
      </ddeItem>
      <ddeItem name="FRCK25.103" advise="1">
        <values>
          <value t="str">
            <val>-30,00</val>
          </value>
        </values>
      </ddeItem>
      <ddeItem name="FRCK25.12M" advise="1">
        <values>
          <value>
            <val>-9.273570324574969</val>
          </value>
        </values>
      </ddeItem>
      <ddeItem name="FRCK25.3" advise="1">
        <values>
          <value t="str">
            <val>5,93</val>
          </value>
        </values>
      </ddeItem>
      <ddeItem name="FRCK25.3M" advise="1">
        <values>
          <value>
            <val>-10.244648318042811</val>
          </value>
        </values>
      </ddeItem>
      <ddeItem name="FRCK25.6M" advise="1">
        <values>
          <value>
            <val>-9.273570324574969</val>
          </value>
        </values>
      </ddeItem>
      <ddeItem name="FRCK25.ABE" advise="1">
        <values>
          <value>
            <val>5.89</val>
          </value>
        </values>
      </ddeItem>
      <ddeItem name="FRCK25.AJA" advise="1">
        <values>
          <value>
            <val>5.87</val>
          </value>
        </values>
      </ddeItem>
      <ddeItem name="FRCK25.AJU" advise="1">
        <values>
          <value>
            <val>5.87</val>
          </value>
        </values>
      </ddeItem>
      <ddeItem name="FRCK25.ANO" advise="1">
        <values>
          <value>
            <val>-9.273570324574969</val>
          </value>
        </values>
      </ddeItem>
      <ddeItem name="FRCK25.BLACK" advise="1">
        <values>
          <value>
            <val>0</val>
          </value>
        </values>
      </ddeItem>
      <ddeItem name="FRCK25.CAB" advise="1">
        <values>
          <value>
            <val>0</val>
          </value>
        </values>
      </ddeItem>
      <ddeItem name="FRCK25.DAT" advise="1">
        <values>
          <value t="str">
            <val>12/09/2024</val>
          </value>
        </values>
      </ddeItem>
      <ddeItem name="FRCK25.DELTA" advise="1">
        <values>
          <value>
            <val>0</val>
          </value>
        </values>
      </ddeItem>
      <ddeItem name="FRCK25.DOBRAR" advise="1">
        <values>
          <value>
            <val>0</val>
          </value>
        </values>
      </ddeItem>
      <ddeItem name="FRCK25.EST" advise="1">
        <values>
          <value t="str">
            <val>Inibido</val>
          </value>
        </values>
      </ddeItem>
      <ddeItem name="FRCK25.FEC" advise="1">
        <values>
          <value>
            <val>5.87</val>
          </value>
        </values>
      </ddeItem>
      <ddeItem name="FRCK25.GAMA" advise="1">
        <values>
          <value>
            <val>0</val>
          </value>
        </values>
      </ddeItem>
      <ddeItem name="FRCK25.HOR" advise="1">
        <values>
          <value t="str">
            <val>16:19:31</val>
          </value>
        </values>
      </ddeItem>
      <ddeItem name="FRCK25.IMPVT" advise="1">
        <values>
          <value>
            <val>0</val>
          </value>
        </values>
      </ddeItem>
      <ddeItem name="FRCK25.MAX" advise="1">
        <values>
          <value>
            <val>5.89</val>
          </value>
        </values>
      </ddeItem>
      <ddeItem name="FRCK25.MED" advise="1">
        <values>
          <value>
            <val>5.88</val>
          </value>
        </values>
      </ddeItem>
      <ddeItem name="FRCK25.MES" advise="1">
        <values>
          <value>
            <val>-3.2948929159802334</val>
          </value>
        </values>
      </ddeItem>
      <ddeItem name="FRCK25.MIN" advise="1">
        <values>
          <value>
            <val>5.87</val>
          </value>
        </values>
      </ddeItem>
      <ddeItem name="FRCK25.NEG" advise="1">
        <values>
          <value>
            <val>14</val>
          </value>
        </values>
      </ddeItem>
      <ddeItem name="FRCK25.OCP" advise="1">
        <values>
          <value>
            <val>5.87</val>
          </value>
        </values>
      </ddeItem>
      <ddeItem name="FRCK25.OVD" advise="1">
        <values>
          <value>
            <val>5.88</val>
          </value>
        </values>
      </ddeItem>
      <ddeItem name="FRCK25.PEX" advise="1">
        <values>
          <value>
            <val>0</val>
          </value>
        </values>
      </ddeItem>
      <ddeItem name="FRCK25.PRT" advise="1">
        <values>
          <value>
            <val>0</val>
          </value>
        </values>
      </ddeItem>
      <ddeItem name="FRCK25.QTE" advise="1">
        <values>
          <value>
            <val>0</val>
          </value>
        </values>
      </ddeItem>
      <ddeItem name="FRCK25.QTT" advise="1">
        <values>
          <value>
            <val>3403</val>
          </value>
        </values>
      </ddeItem>
      <ddeItem name="FRCK25.QUL" advise="1">
        <values>
          <value>
            <val>90</val>
          </value>
        </values>
      </ddeItem>
      <ddeItem name="FRCK25.RHO" advise="1">
        <values>
          <value>
            <val>0</val>
          </value>
        </values>
      </ddeItem>
      <ddeItem name="FRCK25.SEM" advise="1">
        <values>
          <value>
            <val>0.17064846416381887</val>
          </value>
        </values>
      </ddeItem>
      <ddeItem name="FRCK25.SEMES" advise="1">
        <values>
          <value>
            <val>-11.596385542168679</val>
          </value>
        </values>
      </ddeItem>
      <ddeItem name="FRCK25.THETA" advise="1">
        <values>
          <value>
            <val>0</val>
          </value>
        </values>
      </ddeItem>
      <ddeItem name="FRCK25.TRIM" advise="1">
        <values>
          <value>
            <val>-11.596385542168679</val>
          </value>
        </values>
      </ddeItem>
      <ddeItem name="FRCK25.ULT" advise="1">
        <values>
          <value>
            <val>5.87</val>
          </value>
        </values>
      </ddeItem>
      <ddeItem name="FRCK25.VAL" advise="1">
        <values>
          <value t="str">
            <val>27/03/2025</val>
          </value>
        </values>
      </ddeItem>
      <ddeItem name="FRCK25.VAR" advise="1">
        <values>
          <value>
            <val>0</val>
          </value>
        </values>
      </ddeItem>
      <ddeItem name="FRCK25.VARPTS" advise="1">
        <values>
          <value>
            <val>0</val>
          </value>
        </values>
      </ddeItem>
      <ddeItem name="FRCK25.VEGA" advise="1">
        <values>
          <value>
            <val>0</val>
          </value>
        </values>
      </ddeItem>
      <ddeItem name="FRCK25.VEN" advise="1">
        <values>
          <value t="str">
            <val>02/05/2025</val>
          </value>
        </values>
      </ddeItem>
      <ddeItem name="FRCK25.VEXT" advise="1">
        <values>
          <value>
            <val>0</val>
          </value>
        </values>
      </ddeItem>
      <ddeItem name="FRCK25.VIA" advise="1">
        <values>
          <value>
            <val>0</val>
          </value>
        </values>
      </ddeItem>
      <ddeItem name="FRCK25.VIB" advise="1">
        <values>
          <value>
            <val>0</val>
          </value>
        </values>
      </ddeItem>
      <ddeItem name="FRCK25.VINT" advise="1">
        <values>
          <value>
            <val>0</val>
          </value>
        </values>
      </ddeItem>
      <ddeItem name="FRCK25.VIVH" advise="1">
        <values>
          <value>
            <val>0</val>
          </value>
        </values>
      </ddeItem>
      <ddeItem name="FRCK25.VOC" advise="1">
        <values>
          <value>
            <val>210</val>
          </value>
        </values>
      </ddeItem>
      <ddeItem name="FRCK25.VOL" advise="1">
        <values>
          <value>
            <val>167011165.99000001</val>
          </value>
        </values>
      </ddeItem>
      <ddeItem name="FRCK25.VOV" advise="1">
        <values>
          <value>
            <val>800</val>
          </value>
        </values>
      </ddeItem>
      <ddeItem name="FRCK25.VPJ" advise="1">
        <values>
          <value>
            <val>167011165.99000001</val>
          </value>
        </values>
      </ddeItem>
      <ddeItem name="FRCM25.103" advise="1">
        <values>
          <value t="str">
            <val>-30,00</val>
          </value>
        </values>
      </ddeItem>
      <ddeItem name="FRCM25.12M" advise="1">
        <values>
          <value>
            <val>-12.594840667678314</val>
          </value>
        </values>
      </ddeItem>
      <ddeItem name="FRCM25.3" advise="1">
        <values>
          <value t="str">
            <val>5,82</val>
          </value>
        </values>
      </ddeItem>
      <ddeItem name="FRCM25.3M" advise="1">
        <values>
          <value>
            <val>-10.973724884080383</val>
          </value>
        </values>
      </ddeItem>
      <ddeItem name="FRCM25.6M" advise="1">
        <values>
          <value>
            <val>-12.594840667678314</val>
          </value>
        </values>
      </ddeItem>
      <ddeItem name="FRCM25.ABE" advise="1">
        <values>
          <value>
            <val>5.74</val>
          </value>
        </values>
      </ddeItem>
      <ddeItem name="FRCM25.AJA" advise="1">
        <values>
          <value>
            <val>0</val>
          </value>
        </values>
      </ddeItem>
      <ddeItem name="FRCM25.AJU" advise="1">
        <values>
          <value>
            <val>5.74</val>
          </value>
        </values>
      </ddeItem>
      <ddeItem name="FRCM25.ANO" advise="1">
        <values>
          <value>
            <val>-12.594840667678314</val>
          </value>
        </values>
      </ddeItem>
      <ddeItem name="FRCM25.BLACK" advise="1">
        <values>
          <value>
            <val>0</val>
          </value>
        </values>
      </ddeItem>
      <ddeItem name="FRCM25.CAB" advise="1">
        <values>
          <value>
            <val>0</val>
          </value>
        </values>
      </ddeItem>
      <ddeItem name="FRCM25.DAT" advise="1">
        <values>
          <value t="str">
            <val>12/09/2024</val>
          </value>
        </values>
      </ddeItem>
      <ddeItem name="FRCM25.DELTA" advise="1">
        <values>
          <value>
            <val>0</val>
          </value>
        </values>
      </ddeItem>
      <ddeItem name="FRCM25.DOBRAR" advise="1">
        <values>
          <value>
            <val>0</val>
          </value>
        </values>
      </ddeItem>
      <ddeItem name="FRCM25.EST" advise="1">
        <values>
          <value t="str">
            <val>Inibido</val>
          </value>
        </values>
      </ddeItem>
      <ddeItem name="FRCM25.FEC" advise="1">
        <values>
          <value>
            <val>5.74</val>
          </value>
        </values>
      </ddeItem>
      <ddeItem name="FRCM25.GAMA" advise="1">
        <values>
          <value>
            <val>0</val>
          </value>
        </values>
      </ddeItem>
      <ddeItem name="FRCM25.HOR" advise="1">
        <values>
          <value t="str">
            <val>14:55:51</val>
          </value>
        </values>
      </ddeItem>
      <ddeItem name="FRCM25.IMPVT" advise="1">
        <values>
          <value>
            <val>0</val>
          </value>
        </values>
      </ddeItem>
      <ddeItem name="FRCM25.MAX" advise="1">
        <values>
          <value>
            <val>5.76</val>
          </value>
        </values>
      </ddeItem>
      <ddeItem name="FRCM25.MED" advise="1">
        <values>
          <value>
            <val>5.75</val>
          </value>
        </values>
      </ddeItem>
      <ddeItem name="FRCM25.MES" advise="1">
        <values>
          <value>
            <val>-4.3189368770764229</val>
          </value>
        </values>
      </ddeItem>
      <ddeItem name="FRCM25.MIN" advise="1">
        <values>
          <value>
            <val>5.74</val>
          </value>
        </values>
      </ddeItem>
      <ddeItem name="FRCM25.NEG" advise="1">
        <values>
          <value>
            <val>2</val>
          </value>
        </values>
      </ddeItem>
      <ddeItem name="FRCM25.OCP" advise="1">
        <values>
          <value>
            <val>5.74</val>
          </value>
        </values>
      </ddeItem>
      <ddeItem name="FRCM25.OVD" advise="1">
        <values>
          <value>
            <val>5.75</val>
          </value>
        </values>
      </ddeItem>
      <ddeItem name="FRCM25.PEX" advise="1">
        <values>
          <value>
            <val>0</val>
          </value>
        </values>
      </ddeItem>
      <ddeItem name="FRCM25.PRT" advise="1">
        <values>
          <value>
            <val>0</val>
          </value>
        </values>
      </ddeItem>
      <ddeItem name="FRCM25.QTE" advise="1">
        <values>
          <value>
            <val>0</val>
          </value>
        </values>
      </ddeItem>
      <ddeItem name="FRCM25.QTT" advise="1">
        <values>
          <value>
            <val>10951</val>
          </value>
        </values>
      </ddeItem>
      <ddeItem name="FRCM25.QUL" advise="1">
        <values>
          <value>
            <val>30</val>
          </value>
        </values>
      </ddeItem>
      <ddeItem name="FRCM25.RHO" advise="1">
        <values>
          <value>
            <val>0</val>
          </value>
        </values>
      </ddeItem>
      <ddeItem name="FRCM25.SEM" advise="1">
        <values>
          <value>
            <val>0.52356020942407266</val>
          </value>
        </values>
      </ddeItem>
      <ddeItem name="FRCM25.SEMES" advise="1">
        <values>
          <value>
            <val>-12.06106870229009</val>
          </value>
        </values>
      </ddeItem>
      <ddeItem name="FRCM25.THETA" advise="1">
        <values>
          <value>
            <val>0</val>
          </value>
        </values>
      </ddeItem>
      <ddeItem name="FRCM25.TRIM" advise="1">
        <values>
          <value>
            <val>-12.06106870229009</val>
          </value>
        </values>
      </ddeItem>
      <ddeItem name="FRCM25.ULT" advise="1">
        <values>
          <value>
            <val>5.76</val>
          </value>
        </values>
      </ddeItem>
      <ddeItem name="FRCM25.VAL" advise="1">
        <values>
          <value t="str">
            <val>28/04/2025</val>
          </value>
        </values>
      </ddeItem>
      <ddeItem name="FRCM25.VAR" advise="1">
        <values>
          <value>
            <val>0.34843205574912872</val>
          </value>
        </values>
      </ddeItem>
      <ddeItem name="FRCM25.VARPTS" advise="1">
        <values>
          <value>
            <val>1.9999999999999574E-2</val>
          </value>
        </values>
      </ddeItem>
      <ddeItem name="FRCM25.VEGA" advise="1">
        <values>
          <value>
            <val>0</val>
          </value>
        </values>
      </ddeItem>
      <ddeItem name="FRCM25.VEN" advise="1">
        <values>
          <value t="str">
            <val>02/06/2025</val>
          </value>
        </values>
      </ddeItem>
      <ddeItem name="FRCM25.VEXT" advise="1">
        <values>
          <value>
            <val>0</val>
          </value>
        </values>
      </ddeItem>
      <ddeItem name="FRCM25.VIA" advise="1">
        <values>
          <value>
            <val>0</val>
          </value>
        </values>
      </ddeItem>
      <ddeItem name="FRCM25.VIB" advise="1">
        <values>
          <value>
            <val>0</val>
          </value>
        </values>
      </ddeItem>
      <ddeItem name="FRCM25.VINT" advise="1">
        <values>
          <value>
            <val>0</val>
          </value>
        </values>
      </ddeItem>
      <ddeItem name="FRCM25.VIVH" advise="1">
        <values>
          <value>
            <val>0</val>
          </value>
        </values>
      </ddeItem>
      <ddeItem name="FRCM25.VOC" advise="1">
        <values>
          <value>
            <val>100</val>
          </value>
        </values>
      </ddeItem>
      <ddeItem name="FRCM25.VOL" advise="1">
        <values>
          <value>
            <val>536366922.93000001</val>
          </value>
        </values>
      </ddeItem>
      <ddeItem name="FRCM25.VOV" advise="1">
        <values>
          <value>
            <val>1000</val>
          </value>
        </values>
      </ddeItem>
      <ddeItem name="FRCM25.VPJ" advise="1">
        <values>
          <value>
            <val>633059175.58128428</val>
          </value>
        </values>
      </ddeItem>
      <ddeItem name="FRCN25.103" advise="1">
        <values>
          <value t="str">
            <val>-40,00</val>
          </value>
        </values>
      </ddeItem>
      <ddeItem name="FRCN25.12M" advise="1">
        <values>
          <value>
            <val>-10.601265822784809</val>
          </value>
        </values>
      </ddeItem>
      <ddeItem name="FRCN25.3" advise="1">
        <values>
          <value t="str">
            <val>5,73</val>
          </value>
        </values>
      </ddeItem>
      <ddeItem name="FRCN25.3M" advise="1">
        <values>
          <value>
            <val>-12.403100775193796</val>
          </value>
        </values>
      </ddeItem>
      <ddeItem name="FRCN25.6M" advise="1">
        <values>
          <value>
            <val>-7.2249589490968731</val>
          </value>
        </values>
      </ddeItem>
      <ddeItem name="FRCN25.ABE" advise="1">
        <values>
          <value>
            <val>5.65</val>
          </value>
        </values>
      </ddeItem>
      <ddeItem name="FRCN25.AJA" advise="1">
        <values>
          <value>
            <val>0</val>
          </value>
        </values>
      </ddeItem>
      <ddeItem name="FRCN25.AJU" advise="1">
        <values>
          <value>
            <val>5.65</val>
          </value>
        </values>
      </ddeItem>
      <ddeItem name="FRCN25.ANO" advise="1">
        <values>
          <value>
            <val>3.2906764168190072</val>
          </value>
        </values>
      </ddeItem>
      <ddeItem name="FRCN25.BLACK" advise="1">
        <values>
          <value>
            <val>0</val>
          </value>
        </values>
      </ddeItem>
      <ddeItem name="FRCN25.CAB" advise="1">
        <values>
          <value>
            <val>0</val>
          </value>
        </values>
      </ddeItem>
      <ddeItem name="FRCN25.DAT" advise="1">
        <values>
          <value t="str">
            <val>12/09/2024</val>
          </value>
        </values>
      </ddeItem>
      <ddeItem name="FRCN25.DELTA" advise="1">
        <values>
          <value>
            <val>0</val>
          </value>
        </values>
      </ddeItem>
      <ddeItem name="FRCN25.DOBRAR" advise="1">
        <values>
          <value>
            <val>0</val>
          </value>
        </values>
      </ddeItem>
      <ddeItem name="FRCN25.EST" advise="1">
        <values>
          <value t="str">
            <val>Inibido</val>
          </value>
        </values>
      </ddeItem>
      <ddeItem name="FRCN25.FEC" advise="1">
        <values>
          <value>
            <val>5.65</val>
          </value>
        </values>
      </ddeItem>
      <ddeItem name="FRCN25.GAMA" advise="1">
        <values>
          <value>
            <val>0</val>
          </value>
        </values>
      </ddeItem>
      <ddeItem name="FRCN25.HOR" advise="1">
        <values>
          <value t="str">
            <val>16:21:31</val>
          </value>
        </values>
      </ddeItem>
      <ddeItem name="FRCN25.IMPVT" advise="1">
        <values>
          <value>
            <val>0</val>
          </value>
        </values>
      </ddeItem>
      <ddeItem name="FRCN25.MAX" advise="1">
        <values>
          <value>
            <val>5.67</val>
          </value>
        </values>
      </ddeItem>
      <ddeItem name="FRCN25.MED" advise="1">
        <values>
          <value>
            <val>5.6549999999999994</val>
          </value>
        </values>
      </ddeItem>
      <ddeItem name="FRCN25.MES" advise="1">
        <values>
          <value>
            <val>-4.2372881355932197</val>
          </value>
        </values>
      </ddeItem>
      <ddeItem name="FRCN25.MIN" advise="1">
        <values>
          <value>
            <val>5.65</val>
          </value>
        </values>
      </ddeItem>
      <ddeItem name="FRCN25.NEG" advise="1">
        <values>
          <value>
            <val>8</val>
          </value>
        </values>
      </ddeItem>
      <ddeItem name="FRCN25.OCP" advise="1">
        <values>
          <value>
            <val>5.64</val>
          </value>
        </values>
      </ddeItem>
      <ddeItem name="FRCN25.OVD" advise="1">
        <values>
          <value>
            <val>5.65</val>
          </value>
        </values>
      </ddeItem>
      <ddeItem name="FRCN25.PEX" advise="1">
        <values>
          <value>
            <val>0</val>
          </value>
        </values>
      </ddeItem>
      <ddeItem name="FRCN25.PRT" advise="1">
        <values>
          <value>
            <val>0</val>
          </value>
        </values>
      </ddeItem>
      <ddeItem name="FRCN25.QTE" advise="1">
        <values>
          <value>
            <val>0</val>
          </value>
        </values>
      </ddeItem>
      <ddeItem name="FRCN25.QTT" advise="1">
        <values>
          <value>
            <val>21685</val>
          </value>
        </values>
      </ddeItem>
      <ddeItem name="FRCN25.QUL" advise="1">
        <values>
          <value>
            <val>390</val>
          </value>
        </values>
      </ddeItem>
      <ddeItem name="FRCN25.RHO" advise="1">
        <values>
          <value>
            <val>0</val>
          </value>
        </values>
      </ddeItem>
      <ddeItem name="FRCN25.SEM" advise="1">
        <values>
          <value>
            <val>0.35523978685613611</val>
          </value>
        </values>
      </ddeItem>
      <ddeItem name="FRCN25.SEMES" advise="1">
        <values>
          <value>
            <val>-13.871951219512196</val>
          </value>
        </values>
      </ddeItem>
      <ddeItem name="FRCN25.THETA" advise="1">
        <values>
          <value>
            <val>0</val>
          </value>
        </values>
      </ddeItem>
      <ddeItem name="FRCN25.TRIM" advise="1">
        <values>
          <value>
            <val>-13.871951219512196</val>
          </value>
        </values>
      </ddeItem>
      <ddeItem name="FRCN25.ULT" advise="1">
        <values>
          <value>
            <val>5.65</val>
          </value>
        </values>
      </ddeItem>
      <ddeItem name="FRCN25.VAL" advise="1">
        <values>
          <value t="str">
            <val>28/05/2025</val>
          </value>
        </values>
      </ddeItem>
      <ddeItem name="FRCN25.VAR" advise="1">
        <values>
          <value>
            <val>0</val>
          </value>
        </values>
      </ddeItem>
      <ddeItem name="FRCN25.VARPTS" advise="1">
        <values>
          <value>
            <val>0</val>
          </value>
        </values>
      </ddeItem>
      <ddeItem name="FRCN25.VEGA" advise="1">
        <values>
          <value>
            <val>0</val>
          </value>
        </values>
      </ddeItem>
      <ddeItem name="FRCN25.VEN" advise="1">
        <values>
          <value t="str">
            <val>01/07/2025</val>
          </value>
        </values>
      </ddeItem>
      <ddeItem name="FRCN25.VEXT" advise="1">
        <values>
          <value>
            <val>0</val>
          </value>
        </values>
      </ddeItem>
      <ddeItem name="FRCN25.VIA" advise="1">
        <values>
          <value>
            <val>0</val>
          </value>
        </values>
      </ddeItem>
      <ddeItem name="FRCN25.VIB" advise="1">
        <values>
          <value>
            <val>0</val>
          </value>
        </values>
      </ddeItem>
      <ddeItem name="FRCN25.VINT" advise="1">
        <values>
          <value>
            <val>0</val>
          </value>
        </values>
      </ddeItem>
      <ddeItem name="FRCN25.VIVH" advise="1">
        <values>
          <value>
            <val>0</val>
          </value>
        </values>
      </ddeItem>
      <ddeItem name="FRCN25.VOC" advise="1">
        <values>
          <value>
            <val>500</val>
          </value>
        </values>
      </ddeItem>
      <ddeItem name="FRCN25.VOL" advise="1">
        <values>
          <value>
            <val>2575951162.6500001</val>
          </value>
        </values>
      </ddeItem>
      <ddeItem name="FRCN25.VOV" advise="1">
        <values>
          <value>
            <val>110</val>
          </value>
        </values>
      </ddeItem>
      <ddeItem name="FRCN25.VPJ" advise="1">
        <values>
          <value>
            <val>2575951162.6500001</val>
          </value>
        </values>
      </ddeItem>
      <ddeItem name="FRCQ25.103" advise="1">
        <values>
          <value t="str">
            <val>0,00</val>
          </value>
        </values>
      </ddeItem>
      <ddeItem name="FRCQ25.12M" advise="1">
        <values>
          <value>
            <val>-6.9651741293532323</val>
          </value>
        </values>
      </ddeItem>
      <ddeItem name="FRCQ25.3" advise="1">
        <values>
          <value t="str">
            <val>5,70</val>
          </value>
        </values>
      </ddeItem>
      <ddeItem name="FRCQ25.3M" advise="1">
        <values>
          <value>
            <val>-6.9651741293532323</val>
          </value>
        </values>
      </ddeItem>
      <ddeItem name="FRCQ25.6M" advise="1">
        <values>
          <value>
            <val>-6.9651741293532323</val>
          </value>
        </values>
      </ddeItem>
      <ddeItem name="FRCQ25.ABE" advise="1">
        <values>
          <value>
            <val>5.61</val>
          </value>
        </values>
      </ddeItem>
      <ddeItem name="FRCQ25.AJA" advise="1">
        <values>
          <value>
            <val>0</val>
          </value>
        </values>
      </ddeItem>
      <ddeItem name="FRCQ25.AJU" advise="1">
        <values>
          <value>
            <val>5.61</val>
          </value>
        </values>
      </ddeItem>
      <ddeItem name="FRCQ25.ANO" advise="1">
        <values>
          <value>
            <val>-6.9651741293532323</val>
          </value>
        </values>
      </ddeItem>
      <ddeItem name="FRCQ25.BLACK" advise="1">
        <values>
          <value>
            <val>0</val>
          </value>
        </values>
      </ddeItem>
      <ddeItem name="FRCQ25.CAB" advise="1">
        <values>
          <value>
            <val>0</val>
          </value>
        </values>
      </ddeItem>
      <ddeItem name="FRCQ25.DAT" advise="1">
        <values>
          <value t="str">
            <val>12/09/2024</val>
          </value>
        </values>
      </ddeItem>
      <ddeItem name="FRCQ25.DELTA" advise="1">
        <values>
          <value>
            <val>0</val>
          </value>
        </values>
      </ddeItem>
      <ddeItem name="FRCQ25.DOBRAR" advise="1">
        <values>
          <value>
            <val>0</val>
          </value>
        </values>
      </ddeItem>
      <ddeItem name="FRCQ25.EST" advise="1">
        <values>
          <value t="str">
            <val>Inibido</val>
          </value>
        </values>
      </ddeItem>
      <ddeItem name="FRCQ25.FEC" advise="1">
        <values>
          <value>
            <val>5.61</val>
          </value>
        </values>
      </ddeItem>
      <ddeItem name="FRCQ25.GAMA" advise="1">
        <values>
          <value>
            <val>0</val>
          </value>
        </values>
      </ddeItem>
      <ddeItem name="FRCQ25.HOR" advise="1">
        <values>
          <value t="str">
            <val>16:21:55</val>
          </value>
        </values>
      </ddeItem>
      <ddeItem name="FRCQ25.IMPVT" advise="1">
        <values>
          <value>
            <val>0</val>
          </value>
        </values>
      </ddeItem>
      <ddeItem name="FRCQ25.MAX" advise="1">
        <values>
          <value>
            <val>5.61</val>
          </value>
        </values>
      </ddeItem>
      <ddeItem name="FRCQ25.MED" advise="1">
        <values>
          <value>
            <val>5.61</val>
          </value>
        </values>
      </ddeItem>
      <ddeItem name="FRCQ25.MES" advise="1">
        <values>
          <value>
            <val>-2.0942408376963368</val>
          </value>
        </values>
      </ddeItem>
      <ddeItem name="FRCQ25.MIN" advise="1">
        <values>
          <value>
            <val>5.61</val>
          </value>
        </values>
      </ddeItem>
      <ddeItem name="FRCQ25.NEG" advise="1">
        <values>
          <value>
            <val>7</val>
          </value>
        </values>
      </ddeItem>
      <ddeItem name="FRCQ25.OCP" advise="1">
        <values>
          <value>
            <val>5.6000000000000005</val>
          </value>
        </values>
      </ddeItem>
      <ddeItem name="FRCQ25.OVD" advise="1">
        <values>
          <value>
            <val>5.61</val>
          </value>
        </values>
      </ddeItem>
      <ddeItem name="FRCQ25.PEX" advise="1">
        <values>
          <value>
            <val>0</val>
          </value>
        </values>
      </ddeItem>
      <ddeItem name="FRCQ25.PRT" advise="1">
        <values>
          <value>
            <val>0</val>
          </value>
        </values>
      </ddeItem>
      <ddeItem name="FRCQ25.QTE" advise="1">
        <values>
          <value>
            <val>0</val>
          </value>
        </values>
      </ddeItem>
      <ddeItem name="FRCQ25.QTT" advise="1">
        <values>
          <value>
            <val>10595</val>
          </value>
        </values>
      </ddeItem>
      <ddeItem name="FRCQ25.QUL" advise="1">
        <values>
          <value>
            <val>70</val>
          </value>
        </values>
      </ddeItem>
      <ddeItem name="FRCQ25.RHO" advise="1">
        <values>
          <value>
            <val>0</val>
          </value>
        </values>
      </ddeItem>
      <ddeItem name="FRCQ25.SEM" advise="1">
        <values>
          <value>
            <val>0</val>
          </value>
        </values>
      </ddeItem>
      <ddeItem name="FRCQ25.SEMES" advise="1">
        <values>
          <value>
            <val>-6.9651741293532323</val>
          </value>
        </values>
      </ddeItem>
      <ddeItem name="FRCQ25.THETA" advise="1">
        <values>
          <value>
            <val>0</val>
          </value>
        </values>
      </ddeItem>
      <ddeItem name="FRCQ25.TRIM" advise="1">
        <values>
          <value>
            <val>-6.9651741293532323</val>
          </value>
        </values>
      </ddeItem>
      <ddeItem name="FRCQ25.ULT" advise="1">
        <values>
          <value>
            <val>5.61</val>
          </value>
        </values>
      </ddeItem>
      <ddeItem name="FRCQ25.VAL" advise="1">
        <values>
          <value t="str">
            <val>26/06/2025</val>
          </value>
        </values>
      </ddeItem>
      <ddeItem name="FRCQ25.VAR" advise="1">
        <values>
          <value>
            <val>0</val>
          </value>
        </values>
      </ddeItem>
      <ddeItem name="FRCQ25.VARPTS" advise="1">
        <values>
          <value>
            <val>0</val>
          </value>
        </values>
      </ddeItem>
      <ddeItem name="FRCQ25.VEGA" advise="1">
        <values>
          <value>
            <val>0</val>
          </value>
        </values>
      </ddeItem>
      <ddeItem name="FRCQ25.VEN" advise="1">
        <values>
          <value t="str">
            <val>01/08/2025</val>
          </value>
        </values>
      </ddeItem>
      <ddeItem name="FRCQ25.VEXT" advise="1">
        <values>
          <value>
            <val>0</val>
          </value>
        </values>
      </ddeItem>
      <ddeItem name="FRCQ25.VIA" advise="1">
        <values>
          <value>
            <val>0</val>
          </value>
        </values>
      </ddeItem>
      <ddeItem name="FRCQ25.VIB" advise="1">
        <values>
          <value>
            <val>0</val>
          </value>
        </values>
      </ddeItem>
      <ddeItem name="FRCQ25.VINT" advise="1">
        <values>
          <value>
            <val>0</val>
          </value>
        </values>
      </ddeItem>
      <ddeItem name="FRCQ25.VIVH" advise="1">
        <values>
          <value>
            <val>0</val>
          </value>
        </values>
      </ddeItem>
      <ddeItem name="FRCQ25.VOC" advise="1">
        <values>
          <value>
            <val>1270</val>
          </value>
        </values>
      </ddeItem>
      <ddeItem name="FRCQ25.VOL" advise="1">
        <values>
          <value>
            <val>516807226.55000001</val>
          </value>
        </values>
      </ddeItem>
      <ddeItem name="FRCQ25.VOV" advise="1">
        <values>
          <value>
            <val>160</val>
          </value>
        </values>
      </ddeItem>
      <ddeItem name="FRCQ25.VPJ" advise="1">
        <values>
          <value>
            <val>516807226.55000001</val>
          </value>
        </values>
      </ddeItem>
      <ddeItem name="FRCU25.103" advise="1">
        <values>
          <value t="str">
            <val>-10,00</val>
          </value>
        </values>
      </ddeItem>
      <ddeItem name="FRCU25.12M" advise="1">
        <values>
          <value>
            <val>-5.5267702936096761</val>
          </value>
        </values>
      </ddeItem>
      <ddeItem name="FRCU25.3" advise="1"/>
      <ddeItem name="FRCU25.3M" advise="1">
        <values>
          <value>
            <val>-5.5267702936096761</val>
          </value>
        </values>
      </ddeItem>
      <ddeItem name="FRCU25.6M" advise="1">
        <values>
          <value>
            <val>-5.5267702936096761</val>
          </value>
        </values>
      </ddeItem>
      <ddeItem name="FRCU25.ABE" advise="1">
        <values>
          <value>
            <val>5.47</val>
          </value>
        </values>
      </ddeItem>
      <ddeItem name="FRCU25.AJA" advise="1">
        <values>
          <value>
            <val>5.45</val>
          </value>
        </values>
      </ddeItem>
      <ddeItem name="FRCU25.AJU" advise="1">
        <values>
          <value>
            <val>5.45</val>
          </value>
        </values>
      </ddeItem>
      <ddeItem name="FRCU25.ANO" advise="1">
        <values>
          <value>
            <val>-5.5267702936096761</val>
          </value>
        </values>
      </ddeItem>
      <ddeItem name="FRCU25.BLACK" advise="1">
        <values>
          <value>
            <val>0</val>
          </value>
        </values>
      </ddeItem>
      <ddeItem name="FRCU25.CAB" advise="1">
        <values>
          <value>
            <val>0</val>
          </value>
        </values>
      </ddeItem>
      <ddeItem name="FRCU25.DAT" advise="1">
        <values>
          <value t="str">
            <val>12/09/2024</val>
          </value>
        </values>
      </ddeItem>
      <ddeItem name="FRCU25.DELTA" advise="1">
        <values>
          <value>
            <val>0</val>
          </value>
        </values>
      </ddeItem>
      <ddeItem name="FRCU25.DOBRAR" advise="1">
        <values>
          <value>
            <val>0</val>
          </value>
        </values>
      </ddeItem>
      <ddeItem name="FRCU25.EST" advise="1">
        <values>
          <value t="str">
            <val>Inibido</val>
          </value>
        </values>
      </ddeItem>
      <ddeItem name="FRCU25.FEC" advise="1">
        <values>
          <value>
            <val>5.45</val>
          </value>
        </values>
      </ddeItem>
      <ddeItem name="FRCU25.GAMA" advise="1">
        <values>
          <value>
            <val>0</val>
          </value>
        </values>
      </ddeItem>
      <ddeItem name="FRCU25.HOR" advise="1">
        <values>
          <value t="str">
            <val>15:42:37</val>
          </value>
        </values>
      </ddeItem>
      <ddeItem name="FRCU25.IMPVT" advise="1">
        <values>
          <value>
            <val>0</val>
          </value>
        </values>
      </ddeItem>
      <ddeItem name="FRCU25.MAX" advise="1">
        <values>
          <value>
            <val>5.47</val>
          </value>
        </values>
      </ddeItem>
      <ddeItem name="FRCU25.MED" advise="1">
        <values>
          <value>
            <val>5.47</val>
          </value>
        </values>
      </ddeItem>
      <ddeItem name="FRCU25.MES" advise="1">
        <values>
          <value>
            <val>-5.5267702936096761</val>
          </value>
        </values>
      </ddeItem>
      <ddeItem name="FRCU25.MIN" advise="1">
        <values>
          <value>
            <val>5.47</val>
          </value>
        </values>
      </ddeItem>
      <ddeItem name="FRCU25.NEG" advise="1">
        <values>
          <value>
            <val>1</val>
          </value>
        </values>
      </ddeItem>
      <ddeItem name="FRCU25.OCP" advise="1">
        <values>
          <value>
            <val>5.46</val>
          </value>
        </values>
      </ddeItem>
      <ddeItem name="FRCU25.OVD" advise="1">
        <values>
          <value>
            <val>0</val>
          </value>
        </values>
      </ddeItem>
      <ddeItem name="FRCU25.PEX" advise="1">
        <values>
          <value>
            <val>0</val>
          </value>
        </values>
      </ddeItem>
      <ddeItem name="FRCU25.PRT" advise="1">
        <values>
          <value>
            <val>0</val>
          </value>
        </values>
      </ddeItem>
      <ddeItem name="FRCU25.QTE" advise="1">
        <values>
          <value>
            <val>0</val>
          </value>
        </values>
      </ddeItem>
      <ddeItem name="FRCU25.QTT" advise="1">
        <values>
          <value>
            <val>20</val>
          </value>
        </values>
      </ddeItem>
      <ddeItem name="FRCU25.QUL" advise="1">
        <values>
          <value>
            <val>10</val>
          </value>
        </values>
      </ddeItem>
      <ddeItem name="FRCU25.RHO" advise="1">
        <values>
          <value>
            <val>0</val>
          </value>
        </values>
      </ddeItem>
      <ddeItem name="FRCU25.SEM" advise="1">
        <values>
          <value>
            <val>0.36697247706421238</val>
          </value>
        </values>
      </ddeItem>
      <ddeItem name="FRCU25.SEMES" advise="1">
        <values>
          <value>
            <val>-5.5267702936096761</val>
          </value>
        </values>
      </ddeItem>
      <ddeItem name="FRCU25.THETA" advise="1">
        <values>
          <value>
            <val>0</val>
          </value>
        </values>
      </ddeItem>
      <ddeItem name="FRCU25.TRIM" advise="1">
        <values>
          <value>
            <val>-5.5267702936096761</val>
          </value>
        </values>
      </ddeItem>
      <ddeItem name="FRCU25.ULT" advise="1">
        <values>
          <value>
            <val>5.47</val>
          </value>
        </values>
      </ddeItem>
      <ddeItem name="FRCU25.VAL" advise="1">
        <values>
          <value t="str">
            <val>29/07/2025</val>
          </value>
        </values>
      </ddeItem>
      <ddeItem name="FRCU25.VAR" advise="1">
        <values>
          <value>
            <val>0.36697247706423752</val>
          </value>
        </values>
      </ddeItem>
      <ddeItem name="FRCU25.VARPTS" advise="1">
        <values>
          <value>
            <val>1.9999999999999574E-2</val>
          </value>
        </values>
      </ddeItem>
      <ddeItem name="FRCU25.VEGA" advise="1">
        <values>
          <value>
            <val>0</val>
          </value>
        </values>
      </ddeItem>
      <ddeItem name="FRCU25.VEN" advise="1">
        <values>
          <value t="str">
            <val>01/09/2025</val>
          </value>
        </values>
      </ddeItem>
      <ddeItem name="FRCU25.VEXT" advise="1">
        <values>
          <value>
            <val>0</val>
          </value>
        </values>
      </ddeItem>
      <ddeItem name="FRCU25.VIA" advise="1">
        <values>
          <value>
            <val>0</val>
          </value>
        </values>
      </ddeItem>
      <ddeItem name="FRCU25.VIB" advise="1">
        <values>
          <value>
            <val>0</val>
          </value>
        </values>
      </ddeItem>
      <ddeItem name="FRCU25.VINT" advise="1">
        <values>
          <value>
            <val>0</val>
          </value>
        </values>
      </ddeItem>
      <ddeItem name="FRCU25.VIVH" advise="1">
        <values>
          <value>
            <val>0</val>
          </value>
        </values>
      </ddeItem>
      <ddeItem name="FRCU25.VOC" advise="1">
        <values>
          <value>
            <val>60</val>
          </value>
        </values>
      </ddeItem>
      <ddeItem name="FRCU25.VOL" advise="1">
        <values>
          <value>
            <val>974563.9</val>
          </value>
        </values>
      </ddeItem>
      <ddeItem name="FRCU25.VOV" advise="1">
        <values>
          <value>
            <val>0</val>
          </value>
        </values>
      </ddeItem>
      <ddeItem name="FRCU25.VPJ" advise="1">
        <values>
          <value>
            <val>1016641.5647638367</val>
          </value>
        </values>
      </ddeItem>
      <ddeItem name="FRCV25.103" advise="1">
        <values>
          <value t="str">
            <val>-20,00</val>
          </value>
        </values>
      </ddeItem>
      <ddeItem name="FRCV25.12M" advise="1">
        <values>
          <value>
            <val>-12.258064516129028</val>
          </value>
        </values>
      </ddeItem>
      <ddeItem name="FRCV25.3" advise="1">
        <values>
          <value t="str">
            <val>5,52</val>
          </value>
        </values>
      </ddeItem>
      <ddeItem name="FRCV25.3M" advise="1">
        <values>
          <value>
            <val>-14.465408805031444</val>
          </value>
        </values>
      </ddeItem>
      <ddeItem name="FRCV25.6M" advise="1">
        <values>
          <value>
            <val>-8.877721943048579</val>
          </value>
        </values>
      </ddeItem>
      <ddeItem name="FRCV25.ABE" advise="1">
        <values>
          <value>
            <val>5.44</val>
          </value>
        </values>
      </ddeItem>
      <ddeItem name="FRCV25.AJA" advise="1">
        <values>
          <value>
            <val>5.42</val>
          </value>
        </values>
      </ddeItem>
      <ddeItem name="FRCV25.AJU" advise="1">
        <values>
          <value>
            <val>5.42</val>
          </value>
        </values>
      </ddeItem>
      <ddeItem name="FRCV25.ANO" advise="1">
        <values>
          <value>
            <val>1.1152416356877417</val>
          </value>
        </values>
      </ddeItem>
      <ddeItem name="FRCV25.BLACK" advise="1">
        <values>
          <value>
            <val>0</val>
          </value>
        </values>
      </ddeItem>
      <ddeItem name="FRCV25.CAB" advise="1">
        <values>
          <value>
            <val>0</val>
          </value>
        </values>
      </ddeItem>
      <ddeItem name="FRCV25.DAT" advise="1">
        <values>
          <value t="str">
            <val>12/09/2024</val>
          </value>
        </values>
      </ddeItem>
      <ddeItem name="FRCV25.DELTA" advise="1">
        <values>
          <value>
            <val>0</val>
          </value>
        </values>
      </ddeItem>
      <ddeItem name="FRCV25.DOBRAR" advise="1">
        <values>
          <value>
            <val>0</val>
          </value>
        </values>
      </ddeItem>
      <ddeItem name="FRCV25.EST" advise="1">
        <values>
          <value t="str">
            <val>Inibido</val>
          </value>
        </values>
      </ddeItem>
      <ddeItem name="FRCV25.FEC" advise="1">
        <values>
          <value>
            <val>5.42</val>
          </value>
        </values>
      </ddeItem>
      <ddeItem name="FRCV25.GAMA" advise="1">
        <values>
          <value>
            <val>0</val>
          </value>
        </values>
      </ddeItem>
      <ddeItem name="FRCV25.HOR" advise="1">
        <values>
          <value t="str">
            <val>15:50:32</val>
          </value>
        </values>
      </ddeItem>
      <ddeItem name="FRCV25.IMPVT" advise="1">
        <values>
          <value>
            <val>0</val>
          </value>
        </values>
      </ddeItem>
      <ddeItem name="FRCV25.MAX" advise="1">
        <values>
          <value>
            <val>5.44</val>
          </value>
        </values>
      </ddeItem>
      <ddeItem name="FRCV25.MED" advise="1">
        <values>
          <value>
            <val>5.44</val>
          </value>
        </values>
      </ddeItem>
      <ddeItem name="FRCV25.MES" advise="1">
        <values>
          <value>
            <val>-4.5614035087719262</val>
          </value>
        </values>
      </ddeItem>
      <ddeItem name="FRCV25.MIN" advise="1">
        <values>
          <value>
            <val>5.44</val>
          </value>
        </values>
      </ddeItem>
      <ddeItem name="FRCV25.NEG" advise="1">
        <values>
          <value>
            <val>4</val>
          </value>
        </values>
      </ddeItem>
      <ddeItem name="FRCV25.OCP" advise="1">
        <values>
          <value>
            <val>5.42</val>
          </value>
        </values>
      </ddeItem>
      <ddeItem name="FRCV25.OVD" advise="1">
        <values>
          <value>
            <val>5.45</val>
          </value>
        </values>
      </ddeItem>
      <ddeItem name="FRCV25.PEX" advise="1">
        <values>
          <value>
            <val>0</val>
          </value>
        </values>
      </ddeItem>
      <ddeItem name="FRCV25.PRT" advise="1">
        <values>
          <value>
            <val>0</val>
          </value>
        </values>
      </ddeItem>
      <ddeItem name="FRCV25.QTE" advise="1">
        <values>
          <value>
            <val>0</val>
          </value>
        </values>
      </ddeItem>
      <ddeItem name="FRCV25.QTT" advise="1">
        <values>
          <value>
            <val>7889</val>
          </value>
        </values>
      </ddeItem>
      <ddeItem name="FRCV25.QUL" advise="1">
        <values>
          <value>
            <val>2030</val>
          </value>
        </values>
      </ddeItem>
      <ddeItem name="FRCV25.RHO" advise="1">
        <values>
          <value>
            <val>0</val>
          </value>
        </values>
      </ddeItem>
      <ddeItem name="FRCV25.SEM" advise="1">
        <values>
          <value>
            <val>0.36900369003690892</val>
          </value>
        </values>
      </ddeItem>
      <ddeItem name="FRCV25.SEMES" advise="1">
        <values>
          <value>
            <val>-15.658914728682166</val>
          </value>
        </values>
      </ddeItem>
      <ddeItem name="FRCV25.THETA" advise="1">
        <values>
          <value>
            <val>0</val>
          </value>
        </values>
      </ddeItem>
      <ddeItem name="FRCV25.TRIM" advise="1">
        <values>
          <value>
            <val>-15.658914728682166</val>
          </value>
        </values>
      </ddeItem>
      <ddeItem name="FRCV25.ULT" advise="1">
        <values>
          <value>
            <val>5.44</val>
          </value>
        </values>
      </ddeItem>
      <ddeItem name="FRCV25.VAL" advise="1">
        <values>
          <value t="str">
            <val>27/08/2025</val>
          </value>
        </values>
      </ddeItem>
      <ddeItem name="FRCV25.VAR" advise="1">
        <values>
          <value>
            <val>0.36900369003691935</val>
          </value>
        </values>
      </ddeItem>
      <ddeItem name="FRCV25.VARPTS" advise="1">
        <values>
          <value>
            <val>2.0000000000000462E-2</val>
          </value>
        </values>
      </ddeItem>
      <ddeItem name="FRCV25.VEGA" advise="1">
        <values>
          <value>
            <val>0</val>
          </value>
        </values>
      </ddeItem>
      <ddeItem name="FRCV25.VEN" advise="1">
        <values>
          <value t="str">
            <val>01/10/2025</val>
          </value>
        </values>
      </ddeItem>
      <ddeItem name="FRCV25.VEXT" advise="1">
        <values>
          <value>
            <val>0</val>
          </value>
        </values>
      </ddeItem>
      <ddeItem name="FRCV25.VIA" advise="1">
        <values>
          <value>
            <val>0</val>
          </value>
        </values>
      </ddeItem>
      <ddeItem name="FRCV25.VIB" advise="1">
        <values>
          <value>
            <val>0</val>
          </value>
        </values>
      </ddeItem>
      <ddeItem name="FRCV25.VINT" advise="1">
        <values>
          <value>
            <val>0</val>
          </value>
        </values>
      </ddeItem>
      <ddeItem name="FRCV25.VIVH" advise="1">
        <values>
          <value>
            <val>0</val>
          </value>
        </values>
      </ddeItem>
      <ddeItem name="FRCV25.VOC" advise="1">
        <values>
          <value>
            <val>100</val>
          </value>
        </values>
      </ddeItem>
      <ddeItem name="FRCV25.VOL" advise="1">
        <values>
          <value>
            <val>383376796.17000002</val>
          </value>
        </values>
      </ddeItem>
      <ddeItem name="FRCV25.VOV" advise="1">
        <values>
          <value>
            <val>500</val>
          </value>
        </values>
      </ddeItem>
      <ddeItem name="FRCV25.VPJ" advise="1">
        <values>
          <value>
            <val>392217248.43634295</val>
          </value>
        </values>
      </ddeItem>
      <ddeItem name="FRCX24.103" advise="1">
        <values>
          <value t="str">
            <val>300,00</val>
          </value>
        </values>
      </ddeItem>
      <ddeItem name="FRCX24.12M" advise="1">
        <values>
          <value>
            <val>1.2102874432677773</val>
          </value>
        </values>
      </ddeItem>
      <ddeItem name="FRCX24.3" advise="1">
        <values>
          <value t="str">
            <val>6,67</val>
          </value>
        </values>
      </ddeItem>
      <ddeItem name="FRCX24.3M" advise="1">
        <values>
          <value>
            <val>0.75301204819276835</val>
          </value>
        </values>
      </ddeItem>
      <ddeItem name="FRCX24.6M" advise="1">
        <values>
          <value>
            <val>3.8819875776397512</val>
          </value>
        </values>
      </ddeItem>
      <ddeItem name="FRCX24.ABE" advise="1">
        <values>
          <value>
            <val>6.64</val>
          </value>
        </values>
      </ddeItem>
      <ddeItem name="FRCX24.AJA" advise="1">
        <values>
          <value>
            <val>0</val>
          </value>
        </values>
      </ddeItem>
      <ddeItem name="FRCX24.AJU" advise="1">
        <values>
          <value>
            <val>6.69</val>
          </value>
        </values>
      </ddeItem>
      <ddeItem name="FRCX24.ANO" advise="1">
        <values>
          <value>
            <val>12.060301507537682</val>
          </value>
        </values>
      </ddeItem>
      <ddeItem name="FRCX24.BLACK" advise="1">
        <values>
          <value>
            <val>0</val>
          </value>
        </values>
      </ddeItem>
      <ddeItem name="FRCX24.CAB" advise="1">
        <values>
          <value>
            <val>0</val>
          </value>
        </values>
      </ddeItem>
      <ddeItem name="FRCX24.DAT" advise="1">
        <values>
          <value t="str">
            <val>12/09/2024</val>
          </value>
        </values>
      </ddeItem>
      <ddeItem name="FRCX24.DELTA" advise="1">
        <values>
          <value>
            <val>0</val>
          </value>
        </values>
      </ddeItem>
      <ddeItem name="FRCX24.DOBRAR" advise="1">
        <values>
          <value>
            <val>0</val>
          </value>
        </values>
      </ddeItem>
      <ddeItem name="FRCX24.EST" advise="1">
        <values>
          <value t="str">
            <val>Inibido</val>
          </value>
        </values>
      </ddeItem>
      <ddeItem name="FRCX24.FEC" advise="1">
        <values>
          <value>
            <val>6.6400000000000006</val>
          </value>
        </values>
      </ddeItem>
      <ddeItem name="FRCX24.GAMA" advise="1">
        <values>
          <value>
            <val>0</val>
          </value>
        </values>
      </ddeItem>
      <ddeItem name="FRCX24.HOR" advise="1">
        <values>
          <value t="str">
            <val>16:12:25</val>
          </value>
        </values>
      </ddeItem>
      <ddeItem name="FRCX24.IMPVT" advise="1">
        <values>
          <value>
            <val>0</val>
          </value>
        </values>
      </ddeItem>
      <ddeItem name="FRCX24.MAX" advise="1">
        <values>
          <value>
            <val>6.71</val>
          </value>
        </values>
      </ddeItem>
      <ddeItem name="FRCX24.MED" advise="1">
        <values>
          <value>
            <val>6.67</val>
          </value>
        </values>
      </ddeItem>
      <ddeItem name="FRCX24.MES" advise="1">
        <values>
          <value>
            <val>-0.88888888888888318</val>
          </value>
        </values>
      </ddeItem>
      <ddeItem name="FRCX24.MIN" advise="1">
        <values>
          <value>
            <val>6.64</val>
          </value>
        </values>
      </ddeItem>
      <ddeItem name="FRCX24.NEG" advise="1">
        <values>
          <value>
            <val>135</val>
          </value>
        </values>
      </ddeItem>
      <ddeItem name="FRCX24.OCP" advise="1">
        <values>
          <value>
            <val>6.69</val>
          </value>
        </values>
      </ddeItem>
      <ddeItem name="FRCX24.OVD" advise="1">
        <values>
          <value>
            <val>6.7</val>
          </value>
        </values>
      </ddeItem>
      <ddeItem name="FRCX24.PEX" advise="1">
        <values>
          <value>
            <val>0</val>
          </value>
        </values>
      </ddeItem>
      <ddeItem name="FRCX24.PRT" advise="1">
        <values>
          <value>
            <val>0</val>
          </value>
        </values>
      </ddeItem>
      <ddeItem name="FRCX24.QTE" advise="1">
        <values>
          <value>
            <val>0</val>
          </value>
        </values>
      </ddeItem>
      <ddeItem name="FRCX24.QTT" advise="1">
        <values>
          <value>
            <val>152852</val>
          </value>
        </values>
      </ddeItem>
      <ddeItem name="FRCX24.QUL" advise="1">
        <values>
          <value>
            <val>1000</val>
          </value>
        </values>
      </ddeItem>
      <ddeItem name="FRCX24.RHO" advise="1">
        <values>
          <value>
            <val>0</val>
          </value>
        </values>
      </ddeItem>
      <ddeItem name="FRCX24.SEM" advise="1">
        <values>
          <value>
            <val>0.60150375939849676</val>
          </value>
        </values>
      </ddeItem>
      <ddeItem name="FRCX24.SEMES" advise="1">
        <values>
          <value>
            <val>0.45045045045045418</val>
          </value>
        </values>
      </ddeItem>
      <ddeItem name="FRCX24.THETA" advise="1">
        <values>
          <value>
            <val>0</val>
          </value>
        </values>
      </ddeItem>
      <ddeItem name="FRCX24.TRIM" advise="1">
        <values>
          <value>
            <val>0.45045045045045418</val>
          </value>
        </values>
      </ddeItem>
      <ddeItem name="FRCX24.ULT" advise="1">
        <values>
          <value>
            <val>6.69</val>
          </value>
        </values>
      </ddeItem>
      <ddeItem name="FRCX24.VAL" advise="1">
        <values>
          <value t="str">
            <val>26/09/2024</val>
          </value>
        </values>
      </ddeItem>
      <ddeItem name="FRCX24.VAR" advise="1">
        <values>
          <value>
            <val>0.75301204819275824</val>
          </value>
        </values>
      </ddeItem>
      <ddeItem name="FRCX24.VARPTS" advise="1">
        <values>
          <value>
            <val>4.9999999999999822E-2</val>
          </value>
        </values>
      </ddeItem>
      <ddeItem name="FRCX24.VEGA" advise="1">
        <values>
          <value>
            <val>0</val>
          </value>
        </values>
      </ddeItem>
      <ddeItem name="FRCX24.VEN" advise="1">
        <values>
          <value t="str">
            <val>01/11/2024</val>
          </value>
        </values>
      </ddeItem>
      <ddeItem name="FRCX24.VEXT" advise="1">
        <values>
          <value>
            <val>0</val>
          </value>
        </values>
      </ddeItem>
      <ddeItem name="FRCX24.VIA" advise="1">
        <values>
          <value>
            <val>0</val>
          </value>
        </values>
      </ddeItem>
      <ddeItem name="FRCX24.VIB" advise="1">
        <values>
          <value>
            <val>0</val>
          </value>
        </values>
      </ddeItem>
      <ddeItem name="FRCX24.VINT" advise="1">
        <values>
          <value>
            <val>0</val>
          </value>
        </values>
      </ddeItem>
      <ddeItem name="FRCX24.VIVH" advise="1">
        <values>
          <value>
            <val>0</val>
          </value>
        </values>
      </ddeItem>
      <ddeItem name="FRCX24.VOC" advise="1">
        <values>
          <value>
            <val>4870</val>
          </value>
        </values>
      </ddeItem>
      <ddeItem name="FRCX24.VOL" advise="1">
        <values>
          <value>
            <val>7607959266.2600002</val>
          </value>
        </values>
      </ddeItem>
      <ddeItem name="FRCX24.VOV" advise="1">
        <values>
          <value>
            <val>4000</val>
          </value>
        </values>
      </ddeItem>
      <ddeItem name="FRCX24.VPJ" advise="1">
        <values>
          <value>
            <val>7607959266.2600002</val>
          </value>
        </values>
      </ddeItem>
      <ddeItem name="FRCZ24.103" advise="1">
        <values>
          <value t="str">
            <val>500,00</val>
          </value>
        </values>
      </ddeItem>
      <ddeItem name="FRCZ24.12M" advise="1">
        <values>
          <value>
            <val>-1.5974440894568773</val>
          </value>
        </values>
      </ddeItem>
      <ddeItem name="FRCZ24.3" advise="1">
        <values>
          <value t="str">
            <val>6,16</val>
          </value>
        </values>
      </ddeItem>
      <ddeItem name="FRCZ24.3M" advise="1">
        <values>
          <value>
            <val>-5.6661562021439522</val>
          </value>
        </values>
      </ddeItem>
      <ddeItem name="FRCZ24.6M" advise="1">
        <values>
          <value>
            <val>-2.9921259842519743</val>
          </value>
        </values>
      </ddeItem>
      <ddeItem name="FRCZ24.ABE" advise="1">
        <values>
          <value>
            <val>6.15</val>
          </value>
        </values>
      </ddeItem>
      <ddeItem name="FRCZ24.AJA" advise="1">
        <values>
          <value>
            <val>6.15</val>
          </value>
        </values>
      </ddeItem>
      <ddeItem name="FRCZ24.AJU" advise="1">
        <values>
          <value>
            <val>6.16</val>
          </value>
        </values>
      </ddeItem>
      <ddeItem name="FRCZ24.ANO" advise="1">
        <values>
          <value>
            <val>4.5840407470288547</val>
          </value>
        </values>
      </ddeItem>
      <ddeItem name="FRCZ24.BLACK" advise="1">
        <values>
          <value>
            <val>0</val>
          </value>
        </values>
      </ddeItem>
      <ddeItem name="FRCZ24.CAB" advise="1">
        <values>
          <value>
            <val>0</val>
          </value>
        </values>
      </ddeItem>
      <ddeItem name="FRCZ24.DAT" advise="1">
        <values>
          <value t="str">
            <val>12/09/2024</val>
          </value>
        </values>
      </ddeItem>
      <ddeItem name="FRCZ24.DELTA" advise="1">
        <values>
          <value>
            <val>0</val>
          </value>
        </values>
      </ddeItem>
      <ddeItem name="FRCZ24.DOBRAR" advise="1">
        <values>
          <value>
            <val>0</val>
          </value>
        </values>
      </ddeItem>
      <ddeItem name="FRCZ24.EST" advise="1">
        <values>
          <value t="str">
            <val>Inibido</val>
          </value>
        </values>
      </ddeItem>
      <ddeItem name="FRCZ24.FEC" advise="1">
        <values>
          <value>
            <val>6.15</val>
          </value>
        </values>
      </ddeItem>
      <ddeItem name="FRCZ24.GAMA" advise="1">
        <values>
          <value>
            <val>0</val>
          </value>
        </values>
      </ddeItem>
      <ddeItem name="FRCZ24.HOR" advise="1">
        <values>
          <value t="str">
            <val>16:12:16</val>
          </value>
        </values>
      </ddeItem>
      <ddeItem name="FRCZ24.IMPVT" advise="1">
        <values>
          <value>
            <val>0</val>
          </value>
        </values>
      </ddeItem>
      <ddeItem name="FRCZ24.MAX" advise="1">
        <values>
          <value>
            <val>6.19</val>
          </value>
        </values>
      </ddeItem>
      <ddeItem name="FRCZ24.MED" advise="1">
        <values>
          <value>
            <val>6.1625000000000005</val>
          </value>
        </values>
      </ddeItem>
      <ddeItem name="FRCZ24.MES" advise="1">
        <values>
          <value>
            <val>-0.80515297906601968</val>
          </value>
        </values>
      </ddeItem>
      <ddeItem name="FRCZ24.MIN" advise="1">
        <values>
          <value>
            <val>6.15</val>
          </value>
        </values>
      </ddeItem>
      <ddeItem name="FRCZ24.NEG" advise="1">
        <values>
          <value>
            <val>20</val>
          </value>
        </values>
      </ddeItem>
      <ddeItem name="FRCZ24.OCP" advise="1">
        <values>
          <value>
            <val>6.16</val>
          </value>
        </values>
      </ddeItem>
      <ddeItem name="FRCZ24.OVD" advise="1">
        <values>
          <value>
            <val>6.17</val>
          </value>
        </values>
      </ddeItem>
      <ddeItem name="FRCZ24.PEX" advise="1">
        <values>
          <value>
            <val>0</val>
          </value>
        </values>
      </ddeItem>
      <ddeItem name="FRCZ24.PRT" advise="1">
        <values>
          <value>
            <val>0</val>
          </value>
        </values>
      </ddeItem>
      <ddeItem name="FRCZ24.QTE" advise="1">
        <values>
          <value>
            <val>0</val>
          </value>
        </values>
      </ddeItem>
      <ddeItem name="FRCZ24.QTT" advise="1">
        <values>
          <value>
            <val>14422</val>
          </value>
        </values>
      </ddeItem>
      <ddeItem name="FRCZ24.QUL" advise="1">
        <values>
          <value>
            <val>270</val>
          </value>
        </values>
      </ddeItem>
      <ddeItem name="FRCZ24.RHO" advise="1">
        <values>
          <value>
            <val>0</val>
          </value>
        </values>
      </ddeItem>
      <ddeItem name="FRCZ24.SEM" advise="1">
        <values>
          <value>
            <val>0.16260162601625669</val>
          </value>
        </values>
      </ddeItem>
      <ddeItem name="FRCZ24.SEMES" advise="1">
        <values>
          <value>
            <val>-5.2307692307692282</val>
          </value>
        </values>
      </ddeItem>
      <ddeItem name="FRCZ24.THETA" advise="1">
        <values>
          <value>
            <val>0</val>
          </value>
        </values>
      </ddeItem>
      <ddeItem name="FRCZ24.TRIM" advise="1">
        <values>
          <value>
            <val>-5.2307692307692282</val>
          </value>
        </values>
      </ddeItem>
      <ddeItem name="FRCZ24.ULT" advise="1">
        <values>
          <value>
            <val>6.16</val>
          </value>
        </values>
      </ddeItem>
      <ddeItem name="FRCZ24.VAL" advise="1">
        <values>
          <value t="str">
            <val>29/10/2024</val>
          </value>
        </values>
      </ddeItem>
      <ddeItem name="FRCZ24.VAR" advise="1">
        <values>
          <value>
            <val>0.1626016260162686</val>
          </value>
        </values>
      </ddeItem>
      <ddeItem name="FRCZ24.VARPTS" advise="1">
        <values>
          <value>
            <val>9.9999999999997868E-3</val>
          </value>
        </values>
      </ddeItem>
      <ddeItem name="FRCZ24.VEGA" advise="1">
        <values>
          <value>
            <val>0</val>
          </value>
        </values>
      </ddeItem>
      <ddeItem name="FRCZ24.VEN" advise="1">
        <values>
          <value t="str">
            <val>02/12/2024</val>
          </value>
        </values>
      </ddeItem>
      <ddeItem name="FRCZ24.VEXT" advise="1">
        <values>
          <value>
            <val>0</val>
          </value>
        </values>
      </ddeItem>
      <ddeItem name="FRCZ24.VIA" advise="1">
        <values>
          <value>
            <val>0</val>
          </value>
        </values>
      </ddeItem>
      <ddeItem name="FRCZ24.VIB" advise="1">
        <values>
          <value>
            <val>0</val>
          </value>
        </values>
      </ddeItem>
      <ddeItem name="FRCZ24.VINT" advise="1">
        <values>
          <value>
            <val>0</val>
          </value>
        </values>
      </ddeItem>
      <ddeItem name="FRCZ24.VIVH" advise="1">
        <values>
          <value>
            <val>0</val>
          </value>
        </values>
      </ddeItem>
      <ddeItem name="FRCZ24.VOC" advise="1">
        <values>
          <value>
            <val>1730</val>
          </value>
        </values>
      </ddeItem>
      <ddeItem name="FRCZ24.VOL" advise="1">
        <values>
          <value>
            <val>716199357.65999997</val>
          </value>
        </values>
      </ddeItem>
      <ddeItem name="FRCZ24.VOV" advise="1">
        <values>
          <value>
            <val>1000</val>
          </value>
        </values>
      </ddeItem>
      <ddeItem name="FRCZ24.VPJ" advise="1">
        <values>
          <value>
            <val>716199357.65999997</val>
          </value>
        </values>
      </ddeItem>
      <ddeItem name="INDFUT.103" advise="1">
        <values>
          <value t="str">
            <val>-3.860,00</val>
          </value>
        </values>
      </ddeItem>
      <ddeItem name="INDFUT.12M" advise="1">
        <values>
          <value>
            <val>3.3225650296416593</val>
          </value>
        </values>
      </ddeItem>
      <ddeItem name="INDFUT.3" advise="1">
        <values>
          <value t="str">
            <val>136.510,00</val>
          </value>
        </values>
      </ddeItem>
      <ddeItem name="INDFUT.3M" advise="1">
        <values>
          <value>
            <val>9.4267107932101979</val>
          </value>
        </values>
      </ddeItem>
      <ddeItem name="INDFUT.6M" advise="1">
        <values>
          <value>
            <val>-0.28317955594398148</val>
          </value>
        </values>
      </ddeItem>
      <ddeItem name="INDFUT.ABE" advise="1">
        <values>
          <value>
            <val>136200</val>
          </value>
        </values>
      </ddeItem>
      <ddeItem name="INDFUT.AJA" advise="1">
        <values>
          <value>
            <val>136022</val>
          </value>
        </values>
      </ddeItem>
      <ddeItem name="INDFUT.AJU" advise="1">
        <values>
          <value>
            <val>0</val>
          </value>
        </values>
      </ddeItem>
      <ddeItem name="INDFUT.ANO" advise="1">
        <values>
          <value>
            <val>-6.5992754782231016</val>
          </value>
        </values>
      </ddeItem>
      <ddeItem name="INDFUT.BLACK" advise="1">
        <values>
          <value>
            <val>0</val>
          </value>
        </values>
      </ddeItem>
      <ddeItem name="INDFUT.CAB" advise="1">
        <values>
          <value>
            <val>322147</val>
          </value>
        </values>
      </ddeItem>
      <ddeItem name="INDFUT.DAT" advise="1">
        <values>
          <value t="str">
            <val>12/09/2024</val>
          </value>
        </values>
      </ddeItem>
      <ddeItem name="INDFUT.DELTA" advise="1">
        <values>
          <value>
            <val>0</val>
          </value>
        </values>
      </ddeItem>
      <ddeItem name="INDFUT.DOBRAR" advise="1">
        <values>
          <value>
            <val>0</val>
          </value>
        </values>
      </ddeItem>
      <ddeItem name="INDFUT.EST" advise="1">
        <values>
          <value t="str">
            <val>Aberto</val>
          </value>
        </values>
      </ddeItem>
      <ddeItem name="INDFUT.FEC" advise="1">
        <values>
          <value>
            <val>135750</val>
          </value>
        </values>
      </ddeItem>
      <ddeItem name="INDFUT.GAMA" advise="1">
        <values>
          <value>
            <val>0</val>
          </value>
        </values>
      </ddeItem>
      <ddeItem name="INDFUT.HOR" advise="1">
        <values>
          <value t="str">
            <val>17:00:50</val>
          </value>
        </values>
      </ddeItem>
      <ddeItem name="INDFUT.IMPVT" advise="1">
        <values>
          <value>
            <val>0</val>
          </value>
        </values>
      </ddeItem>
      <ddeItem name="INDFUT.MAX" advise="1">
        <values>
          <value>
            <val>136345</val>
          </value>
        </values>
      </ddeItem>
      <ddeItem name="INDFUT.MED" advise="1">
        <values>
          <value>
            <val>135281.29517341743</val>
          </value>
        </values>
      </ddeItem>
      <ddeItem name="INDFUT.MES" advise="1">
        <values>
          <value>
            <val>-1.9920318725099602</val>
          </value>
        </values>
      </ddeItem>
      <ddeItem name="INDFUT.MIN" advise="1">
        <values>
          <value>
            <val>134705</val>
          </value>
        </values>
      </ddeItem>
      <ddeItem name="INDFUT.NEG" advise="1">
        <values>
          <value>
            <val>9946</val>
          </value>
        </values>
      </ddeItem>
      <ddeItem name="INDFUT.OCP" advise="1">
        <values>
          <value>
            <val>135285</val>
          </value>
        </values>
      </ddeItem>
      <ddeItem name="INDFUT.OVD" advise="1">
        <values>
          <value>
            <val>135300</val>
          </value>
        </values>
      </ddeItem>
      <ddeItem name="INDFUT.PEX" advise="1">
        <values>
          <value>
            <val>0</val>
          </value>
        </values>
      </ddeItem>
      <ddeItem name="INDFUT.PRT" advise="1">
        <values>
          <value>
            <val>0</val>
          </value>
        </values>
      </ddeItem>
      <ddeItem name="INDFUT.QTE" advise="1">
        <values>
          <value>
            <val>0</val>
          </value>
        </values>
      </ddeItem>
      <ddeItem name="INDFUT.QTT" advise="1">
        <values>
          <value>
            <val>61845</val>
          </value>
        </values>
      </ddeItem>
      <ddeItem name="INDFUT.QUL" advise="1">
        <values>
          <value>
            <val>5</val>
          </value>
        </values>
      </ddeItem>
      <ddeItem name="INDFUT.RHO" advise="1">
        <values>
          <value>
            <val>0</val>
          </value>
        </values>
      </ddeItem>
      <ddeItem name="INDFUT.SEM" advise="1">
        <values>
          <value>
            <val>-0.43417470012510112</val>
          </value>
        </values>
      </ddeItem>
      <ddeItem name="INDFUT.SEMES" advise="1">
        <values>
          <value>
            <val>6.2558046061773478</val>
          </value>
        </values>
      </ddeItem>
      <ddeItem name="INDFUT.THETA" advise="1">
        <values>
          <value>
            <val>0</val>
          </value>
        </values>
      </ddeItem>
      <ddeItem name="INDFUT.TRIM" advise="1">
        <values>
          <value>
            <val>6.2558046061773478</val>
          </value>
        </values>
      </ddeItem>
      <ddeItem name="INDFUT.ULT" advise="1">
        <values>
          <value>
            <val>135300</val>
          </value>
        </values>
      </ddeItem>
      <ddeItem name="INDFUT.VAL" advise="1">
        <values>
          <value t="str">
            <val>16/10/2024</val>
          </value>
        </values>
      </ddeItem>
      <ddeItem name="INDFUT.VAR" advise="1">
        <values>
          <value>
            <val>-0.33149171270717659</val>
          </value>
        </values>
      </ddeItem>
      <ddeItem name="INDFUT.VARPTS" advise="1">
        <values>
          <value>
            <val>-450</val>
          </value>
        </values>
      </ddeItem>
      <ddeItem name="INDFUT.VEGA" advise="1">
        <values>
          <value>
            <val>0</val>
          </value>
        </values>
      </ddeItem>
      <ddeItem name="INDFUT.VEN" advise="1">
        <values>
          <value t="str">
            <val>16/10/2024</val>
          </value>
        </values>
      </ddeItem>
      <ddeItem name="INDFUT.VEXT" advise="1">
        <values>
          <value>
            <val>0</val>
          </value>
        </values>
      </ddeItem>
      <ddeItem name="INDFUT.VIA" advise="1">
        <values>
          <value>
            <val>0</val>
          </value>
        </values>
      </ddeItem>
      <ddeItem name="INDFUT.VIB" advise="1">
        <values>
          <value>
            <val>0</val>
          </value>
        </values>
      </ddeItem>
      <ddeItem name="INDFUT.VINT" advise="1">
        <values>
          <value>
            <val>0</val>
          </value>
        </values>
      </ddeItem>
      <ddeItem name="INDFUT.VIVH" advise="1">
        <values>
          <value>
            <val>0</val>
          </value>
        </values>
      </ddeItem>
      <ddeItem name="INDFUT.VOC" advise="1">
        <values>
          <value>
            <val>25</val>
          </value>
        </values>
      </ddeItem>
      <ddeItem name="INDFUT.VOL" advise="1">
        <values>
          <value>
            <val>8366471700</val>
          </value>
        </values>
      </ddeItem>
      <ddeItem name="INDFUT.VOV" advise="1">
        <values>
          <value>
            <val>20</val>
          </value>
        </values>
      </ddeItem>
      <ddeItem name="INDFUT.VPJ" advise="1">
        <values>
          <value>
            <val>8348441385.6185617</val>
          </value>
        </values>
      </ddeItem>
      <ddeItem name="StdDocumentName" ole="1" advise="1"/>
      <ddeItem name="USD/BRL.103" advise="1">
        <values>
          <value t="str">
            <val>0,000000</val>
          </value>
        </values>
      </ddeItem>
      <ddeItem name="USD/BRL.12M" advise="1">
        <values>
          <value>
            <val>13.548634829530522</val>
          </value>
        </values>
      </ddeItem>
      <ddeItem name="USD/BRL.3" advise="1">
        <values>
          <value t="str">
            <val>5,619390</val>
          </value>
        </values>
      </ddeItem>
      <ddeItem name="USD/BRL.3M" advise="1">
        <values>
          <value>
            <val>4.0000547904533521</val>
          </value>
        </values>
      </ddeItem>
      <ddeItem name="USD/BRL.6M" advise="1">
        <values>
          <value>
            <val>13.032369686362086</val>
          </value>
        </values>
      </ddeItem>
      <ddeItem name="USD/BRL.ABE" advise="1">
        <values>
          <value>
            <val>5.6688999999999998</val>
          </value>
        </values>
      </ddeItem>
      <ddeItem name="USD/BRL.AJA" advise="1">
        <values>
          <value>
            <val>0</val>
          </value>
        </values>
      </ddeItem>
      <ddeItem name="USD/BRL.AJU" advise="1">
        <values>
          <value>
            <val>0</val>
          </value>
        </values>
      </ddeItem>
      <ddeItem name="USD/BRL.ANO" advise="1">
        <values>
          <value>
            <val>15.786488766742526</val>
          </value>
        </values>
      </ddeItem>
      <ddeItem name="USD/BRL.BLACK" advise="1">
        <values>
          <value>
            <val>0</val>
          </value>
        </values>
      </ddeItem>
      <ddeItem name="USD/BRL.CAB" advise="1">
        <values>
          <value>
            <val>0</val>
          </value>
        </values>
      </ddeItem>
      <ddeItem name="USD/BRL.DAT" advise="1">
        <values>
          <value t="str">
            <val>12/09/2024</val>
          </value>
        </values>
      </ddeItem>
      <ddeItem name="USD/BRL.DELTA" advise="1">
        <values>
          <value>
            <val>0</val>
          </value>
        </values>
      </ddeItem>
      <ddeItem name="USD/BRL.DOBRAR" advise="1">
        <values>
          <value>
            <val>0</val>
          </value>
        </values>
      </ddeItem>
      <ddeItem name="USD/BRL.EST" advise="1">
        <values>
          <value t="str">
            <val>Aberto</val>
          </value>
        </values>
      </ddeItem>
      <ddeItem name="USD/BRL.FEC" advise="1">
        <values>
          <value>
            <val>5.6688999999999998</val>
          </value>
        </values>
      </ddeItem>
      <ddeItem name="USD/BRL.GAMA" advise="1">
        <values>
          <value>
            <val>0</val>
          </value>
        </values>
      </ddeItem>
      <ddeItem name="USD/BRL.HOR" advise="1">
        <values>
          <value t="str">
            <val>20:01:02</val>
          </value>
        </values>
      </ddeItem>
      <ddeItem name="USD/BRL.IMPVT" advise="1">
        <values>
          <value>
            <val>0</val>
          </value>
        </values>
      </ddeItem>
      <ddeItem name="USD/BRL.MAX" advise="1">
        <values>
          <value>
            <val>5.676202</val>
          </value>
        </values>
      </ddeItem>
      <ddeItem name="USD/BRL.MED" advise="1">
        <values>
          <value>
            <val>5.6446255000000001</val>
          </value>
        </values>
      </ddeItem>
      <ddeItem name="USD/BRL.MES" advise="1">
        <values>
          <value>
            <val>-0.32986848722613971</val>
          </value>
        </values>
      </ddeItem>
      <ddeItem name="USD/BRL.MIN" advise="1">
        <values>
          <value>
            <val>5.6148999999999996</val>
          </value>
        </values>
      </ddeItem>
      <ddeItem name="USD/BRL.NEG" advise="1">
        <values>
          <value>
            <val>4831</val>
          </value>
        </values>
      </ddeItem>
      <ddeItem name="USD/BRL.OCP" advise="1">
        <values>
          <value>
            <val>0</val>
          </value>
        </values>
      </ddeItem>
      <ddeItem name="USD/BRL.OVD" advise="1">
        <values>
          <value>
            <val>0</val>
          </value>
        </values>
      </ddeItem>
      <ddeItem name="USD/BRL.PEX" advise="1">
        <values>
          <value>
            <val>0</val>
          </value>
        </values>
      </ddeItem>
      <ddeItem name="USD/BRL.PRT" advise="1">
        <values>
          <value>
            <val>0</val>
          </value>
        </values>
      </ddeItem>
      <ddeItem name="USD/BRL.QTE" advise="1">
        <values>
          <value>
            <val>0</val>
          </value>
        </values>
      </ddeItem>
      <ddeItem name="USD/BRL.QTT" advise="1">
        <values>
          <value>
            <val>4831</val>
          </value>
        </values>
      </ddeItem>
      <ddeItem name="USD/BRL.QUL" advise="1">
        <values>
          <value>
            <val>1</val>
          </value>
        </values>
      </ddeItem>
      <ddeItem name="USD/BRL.RHO" advise="1">
        <values>
          <value>
            <val>0</val>
          </value>
        </values>
      </ddeItem>
      <ddeItem name="USD/BRL.SEM" advise="1">
        <values>
          <value>
            <val>0.36440935317338968</val>
          </value>
        </values>
      </ddeItem>
      <ddeItem name="USD/BRL.SEMES" advise="1">
        <values>
          <value>
            <val>0.4487431615832968</val>
          </value>
        </values>
      </ddeItem>
      <ddeItem name="USD/BRL.THETA" advise="1">
        <values>
          <value>
            <val>0</val>
          </value>
        </values>
      </ddeItem>
      <ddeItem name="USD/BRL.TRIM" advise="1">
        <values>
          <value>
            <val>0.4487431615832968</val>
          </value>
        </values>
      </ddeItem>
      <ddeItem name="USD/BRL.ULT" advise="1">
        <values>
          <value>
            <val>5.6185</val>
          </value>
        </values>
      </ddeItem>
      <ddeItem name="USD/BRL.VAL" advise="1">
        <values>
          <value t="str">
            <val>01/01/3000</val>
          </value>
        </values>
      </ddeItem>
      <ddeItem name="USD/BRL.VAR" advise="1">
        <values>
          <value>
            <val>-0.88906136993067264</val>
          </value>
        </values>
      </ddeItem>
      <ddeItem name="USD/BRL.VARPTS" advise="1">
        <values>
          <value>
            <val>-5.0399999999999778E-2</val>
          </value>
        </values>
      </ddeItem>
      <ddeItem name="USD/BRL.VEGA" advise="1">
        <values>
          <value>
            <val>0</val>
          </value>
        </values>
      </ddeItem>
      <ddeItem name="USD/BRL.VEN" advise="1">
        <values>
          <value t="str">
            <val>01/01/3000</val>
          </value>
        </values>
      </ddeItem>
      <ddeItem name="USD/BRL.VEXT" advise="1">
        <values>
          <value>
            <val>0</val>
          </value>
        </values>
      </ddeItem>
      <ddeItem name="USD/BRL.VIA" advise="1">
        <values>
          <value>
            <val>0</val>
          </value>
        </values>
      </ddeItem>
      <ddeItem name="USD/BRL.VIB" advise="1">
        <values>
          <value>
            <val>0</val>
          </value>
        </values>
      </ddeItem>
      <ddeItem name="USD/BRL.VINT" advise="1">
        <values>
          <value>
            <val>0</val>
          </value>
        </values>
      </ddeItem>
      <ddeItem name="USD/BRL.VIVH" advise="1">
        <values>
          <value>
            <val>0</val>
          </value>
        </values>
      </ddeItem>
      <ddeItem name="USD/BRL.VOC" advise="1">
        <values>
          <value>
            <val>0</val>
          </value>
        </values>
      </ddeItem>
      <ddeItem name="USD/BRL.VOL" advise="1">
        <values>
          <value>
            <val>27273.568071000002</val>
          </value>
        </values>
      </ddeItem>
      <ddeItem name="USD/BRL.VOV" advise="1">
        <values>
          <value>
            <val>0</val>
          </value>
        </values>
      </ddeItem>
      <ddeItem name="USD/BRL.VPJ" advise="1">
        <values>
          <value>
            <val>31337.618110499297</val>
          </value>
        </values>
      </ddeItem>
    </ddeItems>
  </ddeLin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28A263-422A-45E8-95CE-30005E64883D}" name="Tabela1" displayName="Tabela1" ref="A1:I15" totalsRowShown="0" headerRowDxfId="13" dataDxfId="11" headerRowBorderDxfId="12" tableBorderDxfId="10" totalsRowBorderDxfId="9">
  <autoFilter ref="A1:I15" xr:uid="{EE28A263-422A-45E8-95CE-30005E64883D}"/>
  <tableColumns count="9">
    <tableColumn id="1" xr3:uid="{B908970D-68E4-4B1C-9651-4AFB253A29F3}" name="Ativo" dataDxfId="8"/>
    <tableColumn id="2" xr3:uid="{FD1FB10C-3DD4-4CD2-9FF5-B6CA67580D7A}" name="Vencimento" dataDxfId="7"/>
    <tableColumn id="3" xr3:uid="{10A50ACF-A860-4C3C-92EE-829EED953628}" name="Liquidação" dataDxfId="6"/>
    <tableColumn id="4" xr3:uid="{3899685F-9848-4AB9-ACDF-251AC81F83C3}" name="Prazo du" dataDxfId="5">
      <calculatedColumnFormula>NETWORKDAYS($N$2,C2,'feriados '!A266:A1265)</calculatedColumnFormula>
    </tableColumn>
    <tableColumn id="5" xr3:uid="{93176A4C-BACC-4CCA-A1A3-DE50CD9AE275}" name="Prazo dc" dataDxfId="4">
      <calculatedColumnFormula>C2-$N$2</calculatedColumnFormula>
    </tableColumn>
    <tableColumn id="6" xr3:uid="{021E88EE-BBDD-49E7-9906-4B447D1EB65E}" name="DI" dataDxfId="3">
      <calculatedColumnFormula>base!D5</calculatedColumnFormula>
    </tableColumn>
    <tableColumn id="7" xr3:uid="{52D6F4D4-04A2-4EDE-95DB-347ADEB6E7BC}" name="FRC" dataDxfId="2">
      <calculatedColumnFormula>base!D18</calculatedColumnFormula>
    </tableColumn>
    <tableColumn id="8" xr3:uid="{F636C8F9-636C-4669-B968-232A426A79D5}" name="DOL" dataDxfId="1">
      <calculatedColumnFormula>(((1+F2/100)^(D2/Planilha2!$B$1))*$H$2)/(((1+$F$2/100)^($D$2/Planilha2!$B$1))*(1+(G2/100)*((E2-15)/Planilha2!$B$2)))</calculatedColumnFormula>
    </tableColumn>
    <tableColumn id="9" xr3:uid="{D09A061C-2225-4C47-BCDE-8A0A152C3B24}" name="Diferencial" dataDxfId="0">
      <calculatedColumnFormula>H2-H1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F89BC-7805-4CDC-91C1-05E4542DE974}">
  <dimension ref="A1:N18"/>
  <sheetViews>
    <sheetView tabSelected="1" workbookViewId="0">
      <selection activeCell="N17" sqref="N17"/>
    </sheetView>
  </sheetViews>
  <sheetFormatPr defaultRowHeight="15" x14ac:dyDescent="0.25"/>
  <cols>
    <col min="1" max="1" width="9.140625" style="10"/>
    <col min="2" max="2" width="14" style="10" customWidth="1"/>
    <col min="3" max="3" width="15.42578125" style="10" customWidth="1"/>
    <col min="4" max="4" width="10.7109375" style="10" customWidth="1"/>
    <col min="5" max="5" width="10.5703125" style="10" customWidth="1"/>
    <col min="6" max="8" width="9.140625" style="10"/>
    <col min="9" max="9" width="13.42578125" style="10" bestFit="1" customWidth="1"/>
    <col min="13" max="13" width="14.85546875" bestFit="1" customWidth="1"/>
    <col min="14" max="14" width="10.42578125" bestFit="1" customWidth="1"/>
    <col min="15" max="15" width="14.85546875" bestFit="1" customWidth="1"/>
    <col min="16" max="16" width="14.7109375" bestFit="1" customWidth="1"/>
  </cols>
  <sheetData>
    <row r="1" spans="1:14" ht="15.75" thickBot="1" x14ac:dyDescent="0.3">
      <c r="A1" s="19" t="s">
        <v>72</v>
      </c>
      <c r="B1" s="20" t="s">
        <v>0</v>
      </c>
      <c r="C1" s="20" t="s">
        <v>119</v>
      </c>
      <c r="D1" s="20" t="s">
        <v>1</v>
      </c>
      <c r="E1" s="20" t="s">
        <v>2</v>
      </c>
      <c r="F1" s="20" t="s">
        <v>3</v>
      </c>
      <c r="G1" s="20" t="s">
        <v>4</v>
      </c>
      <c r="H1" s="20" t="s">
        <v>5</v>
      </c>
      <c r="I1" s="21" t="s">
        <v>6</v>
      </c>
    </row>
    <row r="2" spans="1:14" ht="15.75" thickBot="1" x14ac:dyDescent="0.3">
      <c r="A2" s="16" t="s">
        <v>120</v>
      </c>
      <c r="B2" s="13">
        <v>45566</v>
      </c>
      <c r="C2" s="13">
        <v>45566</v>
      </c>
      <c r="D2" s="12">
        <f>NETWORKDAYS($N$2,C2,'feriados '!A266:A1265)</f>
        <v>15</v>
      </c>
      <c r="E2" s="12">
        <f t="shared" ref="E2:E15" si="0">C2-$N$2</f>
        <v>20</v>
      </c>
      <c r="F2" s="12">
        <f>base!D5</f>
        <v>10.57</v>
      </c>
      <c r="G2" s="12"/>
      <c r="H2" s="14">
        <f>base!D3</f>
        <v>5630</v>
      </c>
      <c r="I2" s="17"/>
      <c r="N2" s="9">
        <v>45546</v>
      </c>
    </row>
    <row r="3" spans="1:14" x14ac:dyDescent="0.25">
      <c r="A3" s="16" t="s">
        <v>121</v>
      </c>
      <c r="B3" s="13">
        <v>45597</v>
      </c>
      <c r="C3" s="13">
        <v>45597</v>
      </c>
      <c r="D3" s="12">
        <f>NETWORKDAYS($N$2,C3,'feriados '!A267:A1266)</f>
        <v>38</v>
      </c>
      <c r="E3" s="12">
        <f t="shared" si="0"/>
        <v>51</v>
      </c>
      <c r="F3" s="12">
        <f>base!D6</f>
        <v>10.644</v>
      </c>
      <c r="G3" s="12">
        <f>base!D19</f>
        <v>6.69</v>
      </c>
      <c r="H3" s="15">
        <f>(((1+F3/100)^(D3/Planilha2!$B$1))*$H$2)/(((1+$F$2/100)^($D$2/Planilha2!$B$1))*(1+(G3/100)*((E3-15)/Planilha2!$B$2)))</f>
        <v>5644.6786796900078</v>
      </c>
      <c r="I3" s="18">
        <f t="shared" ref="I3:I15" si="1">H3-H2</f>
        <v>14.678679690007812</v>
      </c>
    </row>
    <row r="4" spans="1:14" x14ac:dyDescent="0.25">
      <c r="A4" s="16" t="s">
        <v>122</v>
      </c>
      <c r="B4" s="13">
        <v>45627</v>
      </c>
      <c r="C4" s="13">
        <v>45628</v>
      </c>
      <c r="D4" s="12">
        <f>NETWORKDAYS($N$2,C4,'feriados '!A268:A1267)</f>
        <v>57</v>
      </c>
      <c r="E4" s="12">
        <f t="shared" si="0"/>
        <v>82</v>
      </c>
      <c r="F4" s="12">
        <f>base!D7</f>
        <v>10.78</v>
      </c>
      <c r="G4" s="12">
        <f>base!D20</f>
        <v>6.16</v>
      </c>
      <c r="H4" s="15">
        <f>(((1+F4/100)^(D4/Planilha2!$B$1))*$H$2)/(((1+$F$2/100)^($D$2/Planilha2!$B$1))*(1+(G4/100)*((E4-15)/Planilha2!$B$2)))</f>
        <v>5662.615214677171</v>
      </c>
      <c r="I4" s="18">
        <f t="shared" si="1"/>
        <v>17.936534987163213</v>
      </c>
    </row>
    <row r="5" spans="1:14" x14ac:dyDescent="0.25">
      <c r="A5" s="16" t="s">
        <v>123</v>
      </c>
      <c r="B5" s="13">
        <v>45658</v>
      </c>
      <c r="C5" s="13">
        <v>45659</v>
      </c>
      <c r="D5" s="12">
        <f>NETWORKDAYS($N$2,C5,'feriados '!A269:A1268)</f>
        <v>78</v>
      </c>
      <c r="E5" s="12">
        <f t="shared" si="0"/>
        <v>113</v>
      </c>
      <c r="F5" s="12">
        <f>base!D8</f>
        <v>10.955</v>
      </c>
      <c r="G5" s="12">
        <f>base!D21</f>
        <v>6.24</v>
      </c>
      <c r="H5" s="15">
        <f>(((1+F5/100)^(D5/Planilha2!$B$1))*$H$2)/(((1+$F$2/100)^($D$2/Planilha2!$B$1))*(1+(G5/100)*((E5-15)/Planilha2!$B$2)))</f>
        <v>5682.8960281705586</v>
      </c>
      <c r="I5" s="18">
        <f t="shared" si="1"/>
        <v>20.280813493387541</v>
      </c>
    </row>
    <row r="6" spans="1:14" x14ac:dyDescent="0.25">
      <c r="A6" s="16" t="s">
        <v>124</v>
      </c>
      <c r="B6" s="13">
        <v>45689</v>
      </c>
      <c r="C6" s="13">
        <v>45691</v>
      </c>
      <c r="D6" s="12">
        <f>NETWORKDAYS($N$2,C6,'feriados '!A270:A1269)</f>
        <v>100</v>
      </c>
      <c r="E6" s="12">
        <f t="shared" si="0"/>
        <v>145</v>
      </c>
      <c r="F6" s="12">
        <f>base!D9</f>
        <v>11.115</v>
      </c>
      <c r="G6" s="12">
        <f>base!D22</f>
        <v>6.14</v>
      </c>
      <c r="H6" s="15">
        <f>(((1+F6/100)^(D6/Planilha2!$B$1))*$H$2)/(((1+$F$2/100)^($D$2/Planilha2!$B$1))*(1+(G6/100)*((E6-15)/Planilha2!$B$2)))</f>
        <v>5708.8762280477004</v>
      </c>
      <c r="I6" s="18">
        <f t="shared" si="1"/>
        <v>25.980199877141786</v>
      </c>
    </row>
    <row r="7" spans="1:14" x14ac:dyDescent="0.25">
      <c r="A7" s="16" t="s">
        <v>125</v>
      </c>
      <c r="B7" s="13">
        <v>45717</v>
      </c>
      <c r="C7" s="13">
        <v>45721</v>
      </c>
      <c r="D7" s="12">
        <f>NETWORKDAYS($N$2,C7,'feriados '!A271:A1270)</f>
        <v>120</v>
      </c>
      <c r="E7" s="12">
        <f t="shared" si="0"/>
        <v>175</v>
      </c>
      <c r="F7" s="12">
        <f>base!D10</f>
        <v>11.28</v>
      </c>
      <c r="G7" s="12">
        <f>base!D23</f>
        <v>6.03</v>
      </c>
      <c r="H7" s="15">
        <f>(((1+F7/100)^(D7/Planilha2!$B$1))*$H$2)/(((1+$F$2/100)^($D$2/Planilha2!$B$1))*(1+(G7/100)*((E7-15)/Planilha2!$B$2)))</f>
        <v>5734.934538278083</v>
      </c>
      <c r="I7" s="18">
        <f t="shared" si="1"/>
        <v>26.058310230382631</v>
      </c>
    </row>
    <row r="8" spans="1:14" x14ac:dyDescent="0.25">
      <c r="A8" s="16" t="s">
        <v>126</v>
      </c>
      <c r="B8" s="13">
        <v>45748</v>
      </c>
      <c r="C8" s="13">
        <v>45748</v>
      </c>
      <c r="D8" s="12">
        <f>NETWORKDAYS($N$2,C8,'feriados '!A272:A1271)</f>
        <v>139</v>
      </c>
      <c r="E8" s="12">
        <f t="shared" si="0"/>
        <v>202</v>
      </c>
      <c r="F8" s="12">
        <f>base!D11</f>
        <v>11.38</v>
      </c>
      <c r="G8" s="12">
        <f>base!D24</f>
        <v>5.92</v>
      </c>
      <c r="H8" s="15">
        <f>(((1+F8/100)^(D8/Planilha2!$B$1))*$H$2)/(((1+$F$2/100)^($D$2/Planilha2!$B$1))*(1+(G8/100)*((E8-15)/Planilha2!$B$2)))</f>
        <v>5762.0283261020313</v>
      </c>
      <c r="I8" s="18">
        <f t="shared" si="1"/>
        <v>27.093787823948333</v>
      </c>
    </row>
    <row r="9" spans="1:14" x14ac:dyDescent="0.25">
      <c r="A9" s="16" t="s">
        <v>127</v>
      </c>
      <c r="B9" s="13">
        <v>45778</v>
      </c>
      <c r="C9" s="13">
        <v>45779</v>
      </c>
      <c r="D9" s="12">
        <f>NETWORKDAYS($N$2,C9,'feriados '!A273:A1272)</f>
        <v>159</v>
      </c>
      <c r="E9" s="12">
        <f t="shared" si="0"/>
        <v>233</v>
      </c>
      <c r="F9" s="12">
        <f>base!D12</f>
        <v>11.465</v>
      </c>
      <c r="G9" s="12">
        <f>base!D25</f>
        <v>5.87</v>
      </c>
      <c r="H9" s="15">
        <f>(((1+F9/100)^(D9/Planilha2!$B$1))*$H$2)/(((1+$F$2/100)^($D$2/Planilha2!$B$1))*(1+(G9/100)*((E9-15)/Planilha2!$B$2)))</f>
        <v>5787.4020734466567</v>
      </c>
      <c r="I9" s="18">
        <f t="shared" si="1"/>
        <v>25.373747344625372</v>
      </c>
    </row>
    <row r="10" spans="1:14" x14ac:dyDescent="0.25">
      <c r="A10" s="16" t="s">
        <v>128</v>
      </c>
      <c r="B10" s="13">
        <v>45809</v>
      </c>
      <c r="C10" s="13">
        <v>45810</v>
      </c>
      <c r="D10" s="12">
        <f>NETWORKDAYS($N$2,C10,'feriados '!A274:A1273)</f>
        <v>180</v>
      </c>
      <c r="E10" s="12">
        <f t="shared" si="0"/>
        <v>264</v>
      </c>
      <c r="F10" s="12">
        <f>base!D13</f>
        <v>11.535</v>
      </c>
      <c r="G10" s="12">
        <f>base!D26</f>
        <v>5.76</v>
      </c>
      <c r="H10" s="15">
        <f>(((1+F10/100)^(D10/Planilha2!$B$1))*$H$2)/(((1+$F$2/100)^($D$2/Planilha2!$B$1))*(1+(G10/100)*((E10-15)/Planilha2!$B$2)))</f>
        <v>5818.4799069969476</v>
      </c>
      <c r="I10" s="18">
        <f t="shared" si="1"/>
        <v>31.077833550290961</v>
      </c>
    </row>
    <row r="11" spans="1:14" x14ac:dyDescent="0.25">
      <c r="A11" s="16" t="s">
        <v>129</v>
      </c>
      <c r="B11" s="13">
        <v>45839</v>
      </c>
      <c r="C11" s="13">
        <v>45839</v>
      </c>
      <c r="D11" s="12">
        <f>NETWORKDAYS($N$2,C11,'feriados '!A275:A1274)</f>
        <v>200</v>
      </c>
      <c r="E11" s="12">
        <f t="shared" si="0"/>
        <v>293</v>
      </c>
      <c r="F11" s="12">
        <f>base!D14</f>
        <v>11.62</v>
      </c>
      <c r="G11" s="12">
        <f>base!D27</f>
        <v>5.65</v>
      </c>
      <c r="H11" s="15">
        <f>(((1+F11/100)^(D11/Planilha2!$B$1))*$H$2)/(((1+$F$2/100)^($D$2/Planilha2!$B$1))*(1+(G11/100)*((E11-15)/Planilha2!$B$2)))</f>
        <v>5851.3306564689792</v>
      </c>
      <c r="I11" s="18">
        <f t="shared" si="1"/>
        <v>32.850749472031566</v>
      </c>
    </row>
    <row r="12" spans="1:14" x14ac:dyDescent="0.25">
      <c r="A12" s="16" t="s">
        <v>130</v>
      </c>
      <c r="B12" s="13">
        <v>45870</v>
      </c>
      <c r="C12" s="13">
        <v>45870</v>
      </c>
      <c r="D12" s="12">
        <f>NETWORKDAYS($N$2,C12,'feriados '!A276:A1275)</f>
        <v>223</v>
      </c>
      <c r="E12" s="12">
        <f t="shared" si="0"/>
        <v>324</v>
      </c>
      <c r="F12" s="12">
        <f>base!D15</f>
        <v>11.69</v>
      </c>
      <c r="G12" s="12">
        <f>base!D28</f>
        <v>5.61</v>
      </c>
      <c r="H12" s="15">
        <f>(((1+F12/100)^(D12/Planilha2!$B$1))*$H$2)/(((1+$F$2/100)^($D$2/Planilha2!$B$1))*(1+(G12/100)*((E12-15)/Planilha2!$B$2)))</f>
        <v>5888.1016411698192</v>
      </c>
      <c r="I12" s="18">
        <f t="shared" si="1"/>
        <v>36.770984700840017</v>
      </c>
    </row>
    <row r="13" spans="1:14" x14ac:dyDescent="0.25">
      <c r="A13" s="16" t="s">
        <v>131</v>
      </c>
      <c r="B13" s="13">
        <v>45901</v>
      </c>
      <c r="C13" s="13">
        <v>45901</v>
      </c>
      <c r="D13" s="12">
        <f>NETWORKDAYS($N$2,C13,'feriados '!A277:A1276)</f>
        <v>244</v>
      </c>
      <c r="E13" s="12">
        <f t="shared" si="0"/>
        <v>355</v>
      </c>
      <c r="F13" s="12">
        <f>base!D16</f>
        <v>11.715</v>
      </c>
      <c r="G13" s="12">
        <f>base!D29</f>
        <v>5.47</v>
      </c>
      <c r="H13" s="15">
        <f>(((1+F13/100)^(D13/Planilha2!$B$1))*$H$2)/(((1+$F$2/100)^($D$2/Planilha2!$B$1))*(1+(G13/100)*((E13-15)/Planilha2!$B$2)))</f>
        <v>5924.0574599562124</v>
      </c>
      <c r="I13" s="18">
        <f t="shared" si="1"/>
        <v>35.955818786393138</v>
      </c>
    </row>
    <row r="14" spans="1:14" x14ac:dyDescent="0.25">
      <c r="A14" s="16" t="s">
        <v>132</v>
      </c>
      <c r="B14" s="13">
        <v>45931</v>
      </c>
      <c r="C14" s="13">
        <v>45931</v>
      </c>
      <c r="D14" s="12">
        <f>NETWORKDAYS($N$2,C14,'feriados '!A278:A1277)</f>
        <v>266</v>
      </c>
      <c r="E14" s="12">
        <f t="shared" si="0"/>
        <v>385</v>
      </c>
      <c r="F14" s="12">
        <f>base!D17</f>
        <v>11.775</v>
      </c>
      <c r="G14" s="12">
        <f>base!D30</f>
        <v>5.44</v>
      </c>
      <c r="H14" s="15">
        <f>(((1+F14/100)^(D14/Planilha2!$B$1))*$H$2)/(((1+$F$2/100)^($D$2/Planilha2!$B$1))*(1+(G14/100)*((E14-15)/Planilha2!$B$2)))</f>
        <v>5960.9306615149972</v>
      </c>
      <c r="I14" s="18">
        <f t="shared" si="1"/>
        <v>36.873201558784785</v>
      </c>
    </row>
    <row r="15" spans="1:14" x14ac:dyDescent="0.25">
      <c r="A15" s="22" t="s">
        <v>133</v>
      </c>
      <c r="B15" s="23">
        <v>46023</v>
      </c>
      <c r="C15" s="23">
        <v>46024</v>
      </c>
      <c r="D15" s="24">
        <f>NETWORKDAYS($N$2,C15,'feriados '!A279:A1278)</f>
        <v>330</v>
      </c>
      <c r="E15" s="24">
        <f t="shared" si="0"/>
        <v>478</v>
      </c>
      <c r="F15" s="24">
        <f>base!D18</f>
        <v>11.845000000000001</v>
      </c>
      <c r="G15" s="24">
        <f>base!D31</f>
        <v>5.28</v>
      </c>
      <c r="H15" s="25">
        <f>(((1+F15/100)^(D15/Planilha2!$B$1))*$H$2)/(((1+$F$2/100)^($D$2/Planilha2!$B$1))*(1+(G15/100)*((E15-15)/Planilha2!$B$2)))</f>
        <v>6067.9528740022633</v>
      </c>
      <c r="I15" s="26">
        <f t="shared" si="1"/>
        <v>107.02221248726619</v>
      </c>
    </row>
    <row r="16" spans="1:14" x14ac:dyDescent="0.25">
      <c r="C16" s="11"/>
    </row>
    <row r="17" spans="3:3" x14ac:dyDescent="0.25">
      <c r="C17" s="11"/>
    </row>
    <row r="18" spans="3:3" x14ac:dyDescent="0.25">
      <c r="C18" s="11"/>
    </row>
  </sheetData>
  <phoneticPr fontId="1" type="noConversion"/>
  <pageMargins left="0.511811024" right="0.511811024" top="0.78740157499999996" bottom="0.78740157499999996" header="0.31496062000000002" footer="0.31496062000000002"/>
  <ignoredErrors>
    <ignoredError sqref="D16" formulaRange="1"/>
  </ignoredErrors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B4E17-4A2C-4E23-BBF8-3311D13144E4}">
  <dimension ref="A1:K1265"/>
  <sheetViews>
    <sheetView topLeftCell="A190" workbookViewId="0">
      <selection activeCell="D1195" sqref="D1195"/>
    </sheetView>
  </sheetViews>
  <sheetFormatPr defaultRowHeight="15" x14ac:dyDescent="0.25"/>
  <cols>
    <col min="1" max="1" width="10.42578125" style="1" bestFit="1" customWidth="1"/>
    <col min="2" max="4" width="43" customWidth="1"/>
  </cols>
  <sheetData>
    <row r="1" spans="1:3" ht="15.75" thickBot="1" x14ac:dyDescent="0.3">
      <c r="A1" s="8" t="s">
        <v>15</v>
      </c>
      <c r="B1" s="2" t="s">
        <v>97</v>
      </c>
      <c r="C1" s="3" t="s">
        <v>98</v>
      </c>
    </row>
    <row r="2" spans="1:3" x14ac:dyDescent="0.25">
      <c r="A2" s="4">
        <v>36892</v>
      </c>
      <c r="B2" s="5" t="s">
        <v>99</v>
      </c>
      <c r="C2" s="5" t="s">
        <v>100</v>
      </c>
    </row>
    <row r="3" spans="1:3" x14ac:dyDescent="0.25">
      <c r="A3" s="4">
        <v>36948</v>
      </c>
      <c r="B3" s="5" t="s">
        <v>99</v>
      </c>
      <c r="C3" s="5" t="s">
        <v>101</v>
      </c>
    </row>
    <row r="4" spans="1:3" x14ac:dyDescent="0.25">
      <c r="A4" s="4">
        <v>36949</v>
      </c>
      <c r="B4" s="5" t="s">
        <v>102</v>
      </c>
      <c r="C4" s="5" t="s">
        <v>101</v>
      </c>
    </row>
    <row r="5" spans="1:3" x14ac:dyDescent="0.25">
      <c r="A5" s="4">
        <v>36994</v>
      </c>
      <c r="B5" s="5" t="s">
        <v>103</v>
      </c>
      <c r="C5" s="5" t="s">
        <v>104</v>
      </c>
    </row>
    <row r="6" spans="1:3" x14ac:dyDescent="0.25">
      <c r="A6" s="4">
        <v>37002</v>
      </c>
      <c r="B6" s="5" t="s">
        <v>105</v>
      </c>
      <c r="C6" s="5" t="s">
        <v>106</v>
      </c>
    </row>
    <row r="7" spans="1:3" x14ac:dyDescent="0.25">
      <c r="A7" s="4">
        <v>37012</v>
      </c>
      <c r="B7" s="5" t="s">
        <v>102</v>
      </c>
      <c r="C7" s="5" t="s">
        <v>107</v>
      </c>
    </row>
    <row r="8" spans="1:3" x14ac:dyDescent="0.25">
      <c r="A8" s="4">
        <v>37056</v>
      </c>
      <c r="B8" s="5" t="s">
        <v>108</v>
      </c>
      <c r="C8" s="5" t="s">
        <v>109</v>
      </c>
    </row>
    <row r="9" spans="1:3" x14ac:dyDescent="0.25">
      <c r="A9" s="4">
        <v>37141</v>
      </c>
      <c r="B9" s="5" t="s">
        <v>103</v>
      </c>
      <c r="C9" s="5" t="s">
        <v>110</v>
      </c>
    </row>
    <row r="10" spans="1:3" x14ac:dyDescent="0.25">
      <c r="A10" s="4">
        <v>37176</v>
      </c>
      <c r="B10" s="5" t="s">
        <v>103</v>
      </c>
      <c r="C10" s="5" t="s">
        <v>111</v>
      </c>
    </row>
    <row r="11" spans="1:3" x14ac:dyDescent="0.25">
      <c r="A11" s="4">
        <v>37197</v>
      </c>
      <c r="B11" s="5" t="s">
        <v>103</v>
      </c>
      <c r="C11" s="5" t="s">
        <v>112</v>
      </c>
    </row>
    <row r="12" spans="1:3" x14ac:dyDescent="0.25">
      <c r="A12" s="4">
        <v>37210</v>
      </c>
      <c r="B12" s="5" t="s">
        <v>108</v>
      </c>
      <c r="C12" s="5" t="s">
        <v>113</v>
      </c>
    </row>
    <row r="13" spans="1:3" x14ac:dyDescent="0.25">
      <c r="A13" s="4">
        <v>37250</v>
      </c>
      <c r="B13" s="5" t="s">
        <v>102</v>
      </c>
      <c r="C13" s="5" t="s">
        <v>114</v>
      </c>
    </row>
    <row r="14" spans="1:3" x14ac:dyDescent="0.25">
      <c r="A14" s="6">
        <v>37257</v>
      </c>
      <c r="B14" s="7" t="s">
        <v>102</v>
      </c>
      <c r="C14" s="7" t="s">
        <v>100</v>
      </c>
    </row>
    <row r="15" spans="1:3" x14ac:dyDescent="0.25">
      <c r="A15" s="6">
        <v>37298</v>
      </c>
      <c r="B15" s="7" t="s">
        <v>99</v>
      </c>
      <c r="C15" s="7" t="s">
        <v>101</v>
      </c>
    </row>
    <row r="16" spans="1:3" x14ac:dyDescent="0.25">
      <c r="A16" s="6">
        <v>37299</v>
      </c>
      <c r="B16" s="7" t="s">
        <v>102</v>
      </c>
      <c r="C16" s="7" t="s">
        <v>101</v>
      </c>
    </row>
    <row r="17" spans="1:3" x14ac:dyDescent="0.25">
      <c r="A17" s="6">
        <v>37344</v>
      </c>
      <c r="B17" s="7" t="s">
        <v>103</v>
      </c>
      <c r="C17" s="7" t="s">
        <v>104</v>
      </c>
    </row>
    <row r="18" spans="1:3" x14ac:dyDescent="0.25">
      <c r="A18" s="6">
        <v>37367</v>
      </c>
      <c r="B18" s="7" t="s">
        <v>115</v>
      </c>
      <c r="C18" s="7" t="s">
        <v>106</v>
      </c>
    </row>
    <row r="19" spans="1:3" x14ac:dyDescent="0.25">
      <c r="A19" s="6">
        <v>37377</v>
      </c>
      <c r="B19" s="7" t="s">
        <v>116</v>
      </c>
      <c r="C19" s="7" t="s">
        <v>107</v>
      </c>
    </row>
    <row r="20" spans="1:3" x14ac:dyDescent="0.25">
      <c r="A20" s="6">
        <v>37406</v>
      </c>
      <c r="B20" s="7" t="s">
        <v>108</v>
      </c>
      <c r="C20" s="7" t="s">
        <v>109</v>
      </c>
    </row>
    <row r="21" spans="1:3" x14ac:dyDescent="0.25">
      <c r="A21" s="6">
        <v>37506</v>
      </c>
      <c r="B21" s="7" t="s">
        <v>105</v>
      </c>
      <c r="C21" s="7" t="s">
        <v>110</v>
      </c>
    </row>
    <row r="22" spans="1:3" x14ac:dyDescent="0.25">
      <c r="A22" s="6">
        <v>37541</v>
      </c>
      <c r="B22" s="7" t="s">
        <v>105</v>
      </c>
      <c r="C22" s="7" t="s">
        <v>111</v>
      </c>
    </row>
    <row r="23" spans="1:3" x14ac:dyDescent="0.25">
      <c r="A23" s="6">
        <v>37562</v>
      </c>
      <c r="B23" s="7" t="s">
        <v>105</v>
      </c>
      <c r="C23" s="7" t="s">
        <v>112</v>
      </c>
    </row>
    <row r="24" spans="1:3" x14ac:dyDescent="0.25">
      <c r="A24" s="6">
        <v>37575</v>
      </c>
      <c r="B24" s="7" t="s">
        <v>103</v>
      </c>
      <c r="C24" s="7" t="s">
        <v>113</v>
      </c>
    </row>
    <row r="25" spans="1:3" x14ac:dyDescent="0.25">
      <c r="A25" s="6">
        <v>37615</v>
      </c>
      <c r="B25" s="7" t="s">
        <v>116</v>
      </c>
      <c r="C25" s="7" t="s">
        <v>114</v>
      </c>
    </row>
    <row r="26" spans="1:3" x14ac:dyDescent="0.25">
      <c r="A26" s="4">
        <v>37622</v>
      </c>
      <c r="B26" s="5" t="s">
        <v>116</v>
      </c>
      <c r="C26" s="5" t="s">
        <v>100</v>
      </c>
    </row>
    <row r="27" spans="1:3" x14ac:dyDescent="0.25">
      <c r="A27" s="4">
        <v>37683</v>
      </c>
      <c r="B27" s="5" t="s">
        <v>99</v>
      </c>
      <c r="C27" s="5" t="s">
        <v>101</v>
      </c>
    </row>
    <row r="28" spans="1:3" x14ac:dyDescent="0.25">
      <c r="A28" s="4">
        <v>37684</v>
      </c>
      <c r="B28" s="5" t="s">
        <v>102</v>
      </c>
      <c r="C28" s="5" t="s">
        <v>101</v>
      </c>
    </row>
    <row r="29" spans="1:3" x14ac:dyDescent="0.25">
      <c r="A29" s="4">
        <v>37729</v>
      </c>
      <c r="B29" s="5" t="s">
        <v>103</v>
      </c>
      <c r="C29" s="5" t="s">
        <v>104</v>
      </c>
    </row>
    <row r="30" spans="1:3" x14ac:dyDescent="0.25">
      <c r="A30" s="4">
        <v>37732</v>
      </c>
      <c r="B30" s="5" t="s">
        <v>99</v>
      </c>
      <c r="C30" s="5" t="s">
        <v>106</v>
      </c>
    </row>
    <row r="31" spans="1:3" x14ac:dyDescent="0.25">
      <c r="A31" s="4">
        <v>37742</v>
      </c>
      <c r="B31" s="5" t="s">
        <v>108</v>
      </c>
      <c r="C31" s="5" t="s">
        <v>107</v>
      </c>
    </row>
    <row r="32" spans="1:3" x14ac:dyDescent="0.25">
      <c r="A32" s="4">
        <v>37791</v>
      </c>
      <c r="B32" s="5" t="s">
        <v>108</v>
      </c>
      <c r="C32" s="5" t="s">
        <v>109</v>
      </c>
    </row>
    <row r="33" spans="1:3" x14ac:dyDescent="0.25">
      <c r="A33" s="4">
        <v>37871</v>
      </c>
      <c r="B33" s="5" t="s">
        <v>115</v>
      </c>
      <c r="C33" s="5" t="s">
        <v>110</v>
      </c>
    </row>
    <row r="34" spans="1:3" x14ac:dyDescent="0.25">
      <c r="A34" s="4">
        <v>37906</v>
      </c>
      <c r="B34" s="5" t="s">
        <v>115</v>
      </c>
      <c r="C34" s="5" t="s">
        <v>111</v>
      </c>
    </row>
    <row r="35" spans="1:3" x14ac:dyDescent="0.25">
      <c r="A35" s="4">
        <v>37927</v>
      </c>
      <c r="B35" s="5" t="s">
        <v>115</v>
      </c>
      <c r="C35" s="5" t="s">
        <v>112</v>
      </c>
    </row>
    <row r="36" spans="1:3" x14ac:dyDescent="0.25">
      <c r="A36" s="4">
        <v>37940</v>
      </c>
      <c r="B36" s="5" t="s">
        <v>105</v>
      </c>
      <c r="C36" s="5" t="s">
        <v>113</v>
      </c>
    </row>
    <row r="37" spans="1:3" x14ac:dyDescent="0.25">
      <c r="A37" s="4">
        <v>37980</v>
      </c>
      <c r="B37" s="5" t="s">
        <v>108</v>
      </c>
      <c r="C37" s="5" t="s">
        <v>114</v>
      </c>
    </row>
    <row r="38" spans="1:3" x14ac:dyDescent="0.25">
      <c r="A38" s="6">
        <v>37987</v>
      </c>
      <c r="B38" s="7" t="s">
        <v>108</v>
      </c>
      <c r="C38" s="7" t="s">
        <v>100</v>
      </c>
    </row>
    <row r="39" spans="1:3" x14ac:dyDescent="0.25">
      <c r="A39" s="6">
        <v>38040</v>
      </c>
      <c r="B39" s="7" t="s">
        <v>99</v>
      </c>
      <c r="C39" s="7" t="s">
        <v>101</v>
      </c>
    </row>
    <row r="40" spans="1:3" x14ac:dyDescent="0.25">
      <c r="A40" s="6">
        <v>38041</v>
      </c>
      <c r="B40" s="7" t="s">
        <v>102</v>
      </c>
      <c r="C40" s="7" t="s">
        <v>101</v>
      </c>
    </row>
    <row r="41" spans="1:3" x14ac:dyDescent="0.25">
      <c r="A41" s="6">
        <v>38086</v>
      </c>
      <c r="B41" s="7" t="s">
        <v>103</v>
      </c>
      <c r="C41" s="7" t="s">
        <v>104</v>
      </c>
    </row>
    <row r="42" spans="1:3" x14ac:dyDescent="0.25">
      <c r="A42" s="6">
        <v>38098</v>
      </c>
      <c r="B42" s="7" t="s">
        <v>116</v>
      </c>
      <c r="C42" s="7" t="s">
        <v>106</v>
      </c>
    </row>
    <row r="43" spans="1:3" x14ac:dyDescent="0.25">
      <c r="A43" s="6">
        <v>38108</v>
      </c>
      <c r="B43" s="7" t="s">
        <v>105</v>
      </c>
      <c r="C43" s="7" t="s">
        <v>107</v>
      </c>
    </row>
    <row r="44" spans="1:3" x14ac:dyDescent="0.25">
      <c r="A44" s="6">
        <v>38148</v>
      </c>
      <c r="B44" s="7" t="s">
        <v>108</v>
      </c>
      <c r="C44" s="7" t="s">
        <v>109</v>
      </c>
    </row>
    <row r="45" spans="1:3" x14ac:dyDescent="0.25">
      <c r="A45" s="6">
        <v>38237</v>
      </c>
      <c r="B45" s="7" t="s">
        <v>102</v>
      </c>
      <c r="C45" s="7" t="s">
        <v>110</v>
      </c>
    </row>
    <row r="46" spans="1:3" x14ac:dyDescent="0.25">
      <c r="A46" s="6">
        <v>38272</v>
      </c>
      <c r="B46" s="7" t="s">
        <v>102</v>
      </c>
      <c r="C46" s="7" t="s">
        <v>111</v>
      </c>
    </row>
    <row r="47" spans="1:3" x14ac:dyDescent="0.25">
      <c r="A47" s="6">
        <v>38293</v>
      </c>
      <c r="B47" s="7" t="s">
        <v>102</v>
      </c>
      <c r="C47" s="7" t="s">
        <v>112</v>
      </c>
    </row>
    <row r="48" spans="1:3" x14ac:dyDescent="0.25">
      <c r="A48" s="6">
        <v>38306</v>
      </c>
      <c r="B48" s="7" t="s">
        <v>99</v>
      </c>
      <c r="C48" s="7" t="s">
        <v>113</v>
      </c>
    </row>
    <row r="49" spans="1:3" x14ac:dyDescent="0.25">
      <c r="A49" s="6">
        <v>38346</v>
      </c>
      <c r="B49" s="7" t="s">
        <v>105</v>
      </c>
      <c r="C49" s="7" t="s">
        <v>114</v>
      </c>
    </row>
    <row r="50" spans="1:3" x14ac:dyDescent="0.25">
      <c r="A50" s="4">
        <v>38353</v>
      </c>
      <c r="B50" s="5" t="s">
        <v>105</v>
      </c>
      <c r="C50" s="5" t="s">
        <v>100</v>
      </c>
    </row>
    <row r="51" spans="1:3" x14ac:dyDescent="0.25">
      <c r="A51" s="4">
        <v>38390</v>
      </c>
      <c r="B51" s="5" t="s">
        <v>99</v>
      </c>
      <c r="C51" s="5" t="s">
        <v>101</v>
      </c>
    </row>
    <row r="52" spans="1:3" x14ac:dyDescent="0.25">
      <c r="A52" s="4">
        <v>38391</v>
      </c>
      <c r="B52" s="5" t="s">
        <v>102</v>
      </c>
      <c r="C52" s="5" t="s">
        <v>101</v>
      </c>
    </row>
    <row r="53" spans="1:3" x14ac:dyDescent="0.25">
      <c r="A53" s="4">
        <v>38436</v>
      </c>
      <c r="B53" s="5" t="s">
        <v>103</v>
      </c>
      <c r="C53" s="5" t="s">
        <v>104</v>
      </c>
    </row>
    <row r="54" spans="1:3" x14ac:dyDescent="0.25">
      <c r="A54" s="4">
        <v>38463</v>
      </c>
      <c r="B54" s="5" t="s">
        <v>108</v>
      </c>
      <c r="C54" s="5" t="s">
        <v>106</v>
      </c>
    </row>
    <row r="55" spans="1:3" x14ac:dyDescent="0.25">
      <c r="A55" s="4">
        <v>38473</v>
      </c>
      <c r="B55" s="5" t="s">
        <v>115</v>
      </c>
      <c r="C55" s="5" t="s">
        <v>107</v>
      </c>
    </row>
    <row r="56" spans="1:3" x14ac:dyDescent="0.25">
      <c r="A56" s="4">
        <v>38498</v>
      </c>
      <c r="B56" s="5" t="s">
        <v>108</v>
      </c>
      <c r="C56" s="5" t="s">
        <v>109</v>
      </c>
    </row>
    <row r="57" spans="1:3" x14ac:dyDescent="0.25">
      <c r="A57" s="4">
        <v>38602</v>
      </c>
      <c r="B57" s="5" t="s">
        <v>116</v>
      </c>
      <c r="C57" s="5" t="s">
        <v>110</v>
      </c>
    </row>
    <row r="58" spans="1:3" x14ac:dyDescent="0.25">
      <c r="A58" s="4">
        <v>38637</v>
      </c>
      <c r="B58" s="5" t="s">
        <v>116</v>
      </c>
      <c r="C58" s="5" t="s">
        <v>111</v>
      </c>
    </row>
    <row r="59" spans="1:3" x14ac:dyDescent="0.25">
      <c r="A59" s="4">
        <v>38658</v>
      </c>
      <c r="B59" s="5" t="s">
        <v>116</v>
      </c>
      <c r="C59" s="5" t="s">
        <v>112</v>
      </c>
    </row>
    <row r="60" spans="1:3" x14ac:dyDescent="0.25">
      <c r="A60" s="4">
        <v>38671</v>
      </c>
      <c r="B60" s="5" t="s">
        <v>102</v>
      </c>
      <c r="C60" s="5" t="s">
        <v>113</v>
      </c>
    </row>
    <row r="61" spans="1:3" x14ac:dyDescent="0.25">
      <c r="A61" s="4">
        <v>38711</v>
      </c>
      <c r="B61" s="5" t="s">
        <v>115</v>
      </c>
      <c r="C61" s="5" t="s">
        <v>114</v>
      </c>
    </row>
    <row r="62" spans="1:3" x14ac:dyDescent="0.25">
      <c r="A62" s="6">
        <v>38718</v>
      </c>
      <c r="B62" s="7" t="s">
        <v>115</v>
      </c>
      <c r="C62" s="7" t="s">
        <v>100</v>
      </c>
    </row>
    <row r="63" spans="1:3" x14ac:dyDescent="0.25">
      <c r="A63" s="6">
        <v>38775</v>
      </c>
      <c r="B63" s="7" t="s">
        <v>99</v>
      </c>
      <c r="C63" s="7" t="s">
        <v>101</v>
      </c>
    </row>
    <row r="64" spans="1:3" x14ac:dyDescent="0.25">
      <c r="A64" s="6">
        <v>38776</v>
      </c>
      <c r="B64" s="7" t="s">
        <v>102</v>
      </c>
      <c r="C64" s="7" t="s">
        <v>101</v>
      </c>
    </row>
    <row r="65" spans="1:3" x14ac:dyDescent="0.25">
      <c r="A65" s="6">
        <v>38821</v>
      </c>
      <c r="B65" s="7" t="s">
        <v>103</v>
      </c>
      <c r="C65" s="7" t="s">
        <v>104</v>
      </c>
    </row>
    <row r="66" spans="1:3" x14ac:dyDescent="0.25">
      <c r="A66" s="6">
        <v>38828</v>
      </c>
      <c r="B66" s="7" t="s">
        <v>103</v>
      </c>
      <c r="C66" s="7" t="s">
        <v>106</v>
      </c>
    </row>
    <row r="67" spans="1:3" x14ac:dyDescent="0.25">
      <c r="A67" s="6">
        <v>38838</v>
      </c>
      <c r="B67" s="7" t="s">
        <v>99</v>
      </c>
      <c r="C67" s="7" t="s">
        <v>107</v>
      </c>
    </row>
    <row r="68" spans="1:3" x14ac:dyDescent="0.25">
      <c r="A68" s="6">
        <v>38883</v>
      </c>
      <c r="B68" s="7" t="s">
        <v>108</v>
      </c>
      <c r="C68" s="7" t="s">
        <v>109</v>
      </c>
    </row>
    <row r="69" spans="1:3" x14ac:dyDescent="0.25">
      <c r="A69" s="6">
        <v>38967</v>
      </c>
      <c r="B69" s="7" t="s">
        <v>108</v>
      </c>
      <c r="C69" s="7" t="s">
        <v>110</v>
      </c>
    </row>
    <row r="70" spans="1:3" x14ac:dyDescent="0.25">
      <c r="A70" s="6">
        <v>39002</v>
      </c>
      <c r="B70" s="7" t="s">
        <v>108</v>
      </c>
      <c r="C70" s="7" t="s">
        <v>111</v>
      </c>
    </row>
    <row r="71" spans="1:3" x14ac:dyDescent="0.25">
      <c r="A71" s="6">
        <v>39023</v>
      </c>
      <c r="B71" s="7" t="s">
        <v>108</v>
      </c>
      <c r="C71" s="7" t="s">
        <v>112</v>
      </c>
    </row>
    <row r="72" spans="1:3" x14ac:dyDescent="0.25">
      <c r="A72" s="6">
        <v>39036</v>
      </c>
      <c r="B72" s="7" t="s">
        <v>116</v>
      </c>
      <c r="C72" s="7" t="s">
        <v>113</v>
      </c>
    </row>
    <row r="73" spans="1:3" x14ac:dyDescent="0.25">
      <c r="A73" s="6">
        <v>39076</v>
      </c>
      <c r="B73" s="7" t="s">
        <v>99</v>
      </c>
      <c r="C73" s="7" t="s">
        <v>114</v>
      </c>
    </row>
    <row r="74" spans="1:3" x14ac:dyDescent="0.25">
      <c r="A74" s="4">
        <v>39083</v>
      </c>
      <c r="B74" s="5" t="s">
        <v>99</v>
      </c>
      <c r="C74" s="5" t="s">
        <v>100</v>
      </c>
    </row>
    <row r="75" spans="1:3" x14ac:dyDescent="0.25">
      <c r="A75" s="4">
        <v>39132</v>
      </c>
      <c r="B75" s="5" t="s">
        <v>99</v>
      </c>
      <c r="C75" s="5" t="s">
        <v>101</v>
      </c>
    </row>
    <row r="76" spans="1:3" x14ac:dyDescent="0.25">
      <c r="A76" s="4">
        <v>39133</v>
      </c>
      <c r="B76" s="5" t="s">
        <v>102</v>
      </c>
      <c r="C76" s="5" t="s">
        <v>101</v>
      </c>
    </row>
    <row r="77" spans="1:3" x14ac:dyDescent="0.25">
      <c r="A77" s="4">
        <v>39178</v>
      </c>
      <c r="B77" s="5" t="s">
        <v>103</v>
      </c>
      <c r="C77" s="5" t="s">
        <v>104</v>
      </c>
    </row>
    <row r="78" spans="1:3" x14ac:dyDescent="0.25">
      <c r="A78" s="4">
        <v>39193</v>
      </c>
      <c r="B78" s="5" t="s">
        <v>105</v>
      </c>
      <c r="C78" s="5" t="s">
        <v>106</v>
      </c>
    </row>
    <row r="79" spans="1:3" x14ac:dyDescent="0.25">
      <c r="A79" s="4">
        <v>39203</v>
      </c>
      <c r="B79" s="5" t="s">
        <v>102</v>
      </c>
      <c r="C79" s="5" t="s">
        <v>107</v>
      </c>
    </row>
    <row r="80" spans="1:3" x14ac:dyDescent="0.25">
      <c r="A80" s="4">
        <v>39240</v>
      </c>
      <c r="B80" s="5" t="s">
        <v>108</v>
      </c>
      <c r="C80" s="5" t="s">
        <v>109</v>
      </c>
    </row>
    <row r="81" spans="1:3" x14ac:dyDescent="0.25">
      <c r="A81" s="4">
        <v>39332</v>
      </c>
      <c r="B81" s="5" t="s">
        <v>103</v>
      </c>
      <c r="C81" s="5" t="s">
        <v>110</v>
      </c>
    </row>
    <row r="82" spans="1:3" x14ac:dyDescent="0.25">
      <c r="A82" s="4">
        <v>39367</v>
      </c>
      <c r="B82" s="5" t="s">
        <v>103</v>
      </c>
      <c r="C82" s="5" t="s">
        <v>111</v>
      </c>
    </row>
    <row r="83" spans="1:3" x14ac:dyDescent="0.25">
      <c r="A83" s="4">
        <v>39388</v>
      </c>
      <c r="B83" s="5" t="s">
        <v>103</v>
      </c>
      <c r="C83" s="5" t="s">
        <v>112</v>
      </c>
    </row>
    <row r="84" spans="1:3" x14ac:dyDescent="0.25">
      <c r="A84" s="4">
        <v>39401</v>
      </c>
      <c r="B84" s="5" t="s">
        <v>108</v>
      </c>
      <c r="C84" s="5" t="s">
        <v>113</v>
      </c>
    </row>
    <row r="85" spans="1:3" x14ac:dyDescent="0.25">
      <c r="A85" s="4">
        <v>39441</v>
      </c>
      <c r="B85" s="5" t="s">
        <v>102</v>
      </c>
      <c r="C85" s="5" t="s">
        <v>114</v>
      </c>
    </row>
    <row r="86" spans="1:3" x14ac:dyDescent="0.25">
      <c r="A86" s="6">
        <v>39448</v>
      </c>
      <c r="B86" s="7" t="s">
        <v>102</v>
      </c>
      <c r="C86" s="7" t="s">
        <v>100</v>
      </c>
    </row>
    <row r="87" spans="1:3" x14ac:dyDescent="0.25">
      <c r="A87" s="6">
        <v>39482</v>
      </c>
      <c r="B87" s="7" t="s">
        <v>99</v>
      </c>
      <c r="C87" s="7" t="s">
        <v>101</v>
      </c>
    </row>
    <row r="88" spans="1:3" x14ac:dyDescent="0.25">
      <c r="A88" s="6">
        <v>39483</v>
      </c>
      <c r="B88" s="7" t="s">
        <v>102</v>
      </c>
      <c r="C88" s="7" t="s">
        <v>101</v>
      </c>
    </row>
    <row r="89" spans="1:3" x14ac:dyDescent="0.25">
      <c r="A89" s="6">
        <v>39528</v>
      </c>
      <c r="B89" s="7" t="s">
        <v>103</v>
      </c>
      <c r="C89" s="7" t="s">
        <v>104</v>
      </c>
    </row>
    <row r="90" spans="1:3" x14ac:dyDescent="0.25">
      <c r="A90" s="6">
        <v>39559</v>
      </c>
      <c r="B90" s="7" t="s">
        <v>99</v>
      </c>
      <c r="C90" s="7" t="s">
        <v>106</v>
      </c>
    </row>
    <row r="91" spans="1:3" x14ac:dyDescent="0.25">
      <c r="A91" s="6">
        <v>39569</v>
      </c>
      <c r="B91" s="7" t="s">
        <v>108</v>
      </c>
      <c r="C91" s="7" t="s">
        <v>107</v>
      </c>
    </row>
    <row r="92" spans="1:3" x14ac:dyDescent="0.25">
      <c r="A92" s="6">
        <v>39590</v>
      </c>
      <c r="B92" s="7" t="s">
        <v>108</v>
      </c>
      <c r="C92" s="7" t="s">
        <v>109</v>
      </c>
    </row>
    <row r="93" spans="1:3" x14ac:dyDescent="0.25">
      <c r="A93" s="6">
        <v>39698</v>
      </c>
      <c r="B93" s="7" t="s">
        <v>115</v>
      </c>
      <c r="C93" s="7" t="s">
        <v>110</v>
      </c>
    </row>
    <row r="94" spans="1:3" x14ac:dyDescent="0.25">
      <c r="A94" s="6">
        <v>39733</v>
      </c>
      <c r="B94" s="7" t="s">
        <v>115</v>
      </c>
      <c r="C94" s="7" t="s">
        <v>111</v>
      </c>
    </row>
    <row r="95" spans="1:3" x14ac:dyDescent="0.25">
      <c r="A95" s="6">
        <v>39754</v>
      </c>
      <c r="B95" s="7" t="s">
        <v>115</v>
      </c>
      <c r="C95" s="7" t="s">
        <v>112</v>
      </c>
    </row>
    <row r="96" spans="1:3" x14ac:dyDescent="0.25">
      <c r="A96" s="6">
        <v>39767</v>
      </c>
      <c r="B96" s="7" t="s">
        <v>105</v>
      </c>
      <c r="C96" s="7" t="s">
        <v>113</v>
      </c>
    </row>
    <row r="97" spans="1:3" x14ac:dyDescent="0.25">
      <c r="A97" s="6">
        <v>39807</v>
      </c>
      <c r="B97" s="7" t="s">
        <v>108</v>
      </c>
      <c r="C97" s="7" t="s">
        <v>114</v>
      </c>
    </row>
    <row r="98" spans="1:3" x14ac:dyDescent="0.25">
      <c r="A98" s="4">
        <v>39814</v>
      </c>
      <c r="B98" s="5" t="s">
        <v>108</v>
      </c>
      <c r="C98" s="5" t="s">
        <v>100</v>
      </c>
    </row>
    <row r="99" spans="1:3" x14ac:dyDescent="0.25">
      <c r="A99" s="4">
        <v>39867</v>
      </c>
      <c r="B99" s="5" t="s">
        <v>99</v>
      </c>
      <c r="C99" s="5" t="s">
        <v>101</v>
      </c>
    </row>
    <row r="100" spans="1:3" x14ac:dyDescent="0.25">
      <c r="A100" s="4">
        <v>39868</v>
      </c>
      <c r="B100" s="5" t="s">
        <v>102</v>
      </c>
      <c r="C100" s="5" t="s">
        <v>101</v>
      </c>
    </row>
    <row r="101" spans="1:3" x14ac:dyDescent="0.25">
      <c r="A101" s="4">
        <v>39913</v>
      </c>
      <c r="B101" s="5" t="s">
        <v>103</v>
      </c>
      <c r="C101" s="5" t="s">
        <v>104</v>
      </c>
    </row>
    <row r="102" spans="1:3" x14ac:dyDescent="0.25">
      <c r="A102" s="4">
        <v>39924</v>
      </c>
      <c r="B102" s="5" t="s">
        <v>102</v>
      </c>
      <c r="C102" s="5" t="s">
        <v>106</v>
      </c>
    </row>
    <row r="103" spans="1:3" x14ac:dyDescent="0.25">
      <c r="A103" s="4">
        <v>39934</v>
      </c>
      <c r="B103" s="5" t="s">
        <v>103</v>
      </c>
      <c r="C103" s="5" t="s">
        <v>107</v>
      </c>
    </row>
    <row r="104" spans="1:3" x14ac:dyDescent="0.25">
      <c r="A104" s="4">
        <v>39975</v>
      </c>
      <c r="B104" s="5" t="s">
        <v>108</v>
      </c>
      <c r="C104" s="5" t="s">
        <v>109</v>
      </c>
    </row>
    <row r="105" spans="1:3" x14ac:dyDescent="0.25">
      <c r="A105" s="4">
        <v>40063</v>
      </c>
      <c r="B105" s="5" t="s">
        <v>99</v>
      </c>
      <c r="C105" s="5" t="s">
        <v>110</v>
      </c>
    </row>
    <row r="106" spans="1:3" x14ac:dyDescent="0.25">
      <c r="A106" s="4">
        <v>40098</v>
      </c>
      <c r="B106" s="5" t="s">
        <v>99</v>
      </c>
      <c r="C106" s="5" t="s">
        <v>111</v>
      </c>
    </row>
    <row r="107" spans="1:3" x14ac:dyDescent="0.25">
      <c r="A107" s="4">
        <v>40119</v>
      </c>
      <c r="B107" s="5" t="s">
        <v>99</v>
      </c>
      <c r="C107" s="5" t="s">
        <v>112</v>
      </c>
    </row>
    <row r="108" spans="1:3" x14ac:dyDescent="0.25">
      <c r="A108" s="4">
        <v>40132</v>
      </c>
      <c r="B108" s="5" t="s">
        <v>115</v>
      </c>
      <c r="C108" s="5" t="s">
        <v>113</v>
      </c>
    </row>
    <row r="109" spans="1:3" x14ac:dyDescent="0.25">
      <c r="A109" s="4">
        <v>40172</v>
      </c>
      <c r="B109" s="5" t="s">
        <v>103</v>
      </c>
      <c r="C109" s="5" t="s">
        <v>114</v>
      </c>
    </row>
    <row r="110" spans="1:3" x14ac:dyDescent="0.25">
      <c r="A110" s="6">
        <v>40179</v>
      </c>
      <c r="B110" s="7" t="s">
        <v>103</v>
      </c>
      <c r="C110" s="7" t="s">
        <v>100</v>
      </c>
    </row>
    <row r="111" spans="1:3" x14ac:dyDescent="0.25">
      <c r="A111" s="6">
        <v>40224</v>
      </c>
      <c r="B111" s="7" t="s">
        <v>99</v>
      </c>
      <c r="C111" s="7" t="s">
        <v>101</v>
      </c>
    </row>
    <row r="112" spans="1:3" x14ac:dyDescent="0.25">
      <c r="A112" s="6">
        <v>40225</v>
      </c>
      <c r="B112" s="7" t="s">
        <v>102</v>
      </c>
      <c r="C112" s="7" t="s">
        <v>101</v>
      </c>
    </row>
    <row r="113" spans="1:3" x14ac:dyDescent="0.25">
      <c r="A113" s="6">
        <v>40270</v>
      </c>
      <c r="B113" s="7" t="s">
        <v>103</v>
      </c>
      <c r="C113" s="7" t="s">
        <v>104</v>
      </c>
    </row>
    <row r="114" spans="1:3" x14ac:dyDescent="0.25">
      <c r="A114" s="6">
        <v>40289</v>
      </c>
      <c r="B114" s="7" t="s">
        <v>116</v>
      </c>
      <c r="C114" s="7" t="s">
        <v>106</v>
      </c>
    </row>
    <row r="115" spans="1:3" x14ac:dyDescent="0.25">
      <c r="A115" s="6">
        <v>40299</v>
      </c>
      <c r="B115" s="7" t="s">
        <v>105</v>
      </c>
      <c r="C115" s="7" t="s">
        <v>107</v>
      </c>
    </row>
    <row r="116" spans="1:3" x14ac:dyDescent="0.25">
      <c r="A116" s="6">
        <v>40332</v>
      </c>
      <c r="B116" s="7" t="s">
        <v>108</v>
      </c>
      <c r="C116" s="7" t="s">
        <v>109</v>
      </c>
    </row>
    <row r="117" spans="1:3" x14ac:dyDescent="0.25">
      <c r="A117" s="6">
        <v>40428</v>
      </c>
      <c r="B117" s="7" t="s">
        <v>102</v>
      </c>
      <c r="C117" s="7" t="s">
        <v>110</v>
      </c>
    </row>
    <row r="118" spans="1:3" x14ac:dyDescent="0.25">
      <c r="A118" s="6">
        <v>40463</v>
      </c>
      <c r="B118" s="7" t="s">
        <v>102</v>
      </c>
      <c r="C118" s="7" t="s">
        <v>111</v>
      </c>
    </row>
    <row r="119" spans="1:3" x14ac:dyDescent="0.25">
      <c r="A119" s="6">
        <v>40484</v>
      </c>
      <c r="B119" s="7" t="s">
        <v>102</v>
      </c>
      <c r="C119" s="7" t="s">
        <v>112</v>
      </c>
    </row>
    <row r="120" spans="1:3" x14ac:dyDescent="0.25">
      <c r="A120" s="6">
        <v>40497</v>
      </c>
      <c r="B120" s="7" t="s">
        <v>99</v>
      </c>
      <c r="C120" s="7" t="s">
        <v>113</v>
      </c>
    </row>
    <row r="121" spans="1:3" x14ac:dyDescent="0.25">
      <c r="A121" s="6">
        <v>40537</v>
      </c>
      <c r="B121" s="7" t="s">
        <v>105</v>
      </c>
      <c r="C121" s="7" t="s">
        <v>114</v>
      </c>
    </row>
    <row r="122" spans="1:3" x14ac:dyDescent="0.25">
      <c r="A122" s="4">
        <v>40544</v>
      </c>
      <c r="B122" s="5" t="s">
        <v>105</v>
      </c>
      <c r="C122" s="5" t="s">
        <v>100</v>
      </c>
    </row>
    <row r="123" spans="1:3" x14ac:dyDescent="0.25">
      <c r="A123" s="4">
        <v>40609</v>
      </c>
      <c r="B123" s="5" t="s">
        <v>99</v>
      </c>
      <c r="C123" s="5" t="s">
        <v>101</v>
      </c>
    </row>
    <row r="124" spans="1:3" x14ac:dyDescent="0.25">
      <c r="A124" s="4">
        <v>40610</v>
      </c>
      <c r="B124" s="5" t="s">
        <v>102</v>
      </c>
      <c r="C124" s="5" t="s">
        <v>101</v>
      </c>
    </row>
    <row r="125" spans="1:3" x14ac:dyDescent="0.25">
      <c r="A125" s="4">
        <v>40654</v>
      </c>
      <c r="B125" s="5" t="s">
        <v>108</v>
      </c>
      <c r="C125" s="5" t="s">
        <v>106</v>
      </c>
    </row>
    <row r="126" spans="1:3" x14ac:dyDescent="0.25">
      <c r="A126" s="4">
        <v>40655</v>
      </c>
      <c r="B126" s="5" t="s">
        <v>103</v>
      </c>
      <c r="C126" s="5" t="s">
        <v>104</v>
      </c>
    </row>
    <row r="127" spans="1:3" x14ac:dyDescent="0.25">
      <c r="A127" s="4">
        <v>40664</v>
      </c>
      <c r="B127" s="5" t="s">
        <v>115</v>
      </c>
      <c r="C127" s="5" t="s">
        <v>107</v>
      </c>
    </row>
    <row r="128" spans="1:3" x14ac:dyDescent="0.25">
      <c r="A128" s="4">
        <v>40717</v>
      </c>
      <c r="B128" s="5" t="s">
        <v>108</v>
      </c>
      <c r="C128" s="5" t="s">
        <v>109</v>
      </c>
    </row>
    <row r="129" spans="1:3" x14ac:dyDescent="0.25">
      <c r="A129" s="4">
        <v>40793</v>
      </c>
      <c r="B129" s="5" t="s">
        <v>116</v>
      </c>
      <c r="C129" s="5" t="s">
        <v>110</v>
      </c>
    </row>
    <row r="130" spans="1:3" x14ac:dyDescent="0.25">
      <c r="A130" s="4">
        <v>40828</v>
      </c>
      <c r="B130" s="5" t="s">
        <v>116</v>
      </c>
      <c r="C130" s="5" t="s">
        <v>111</v>
      </c>
    </row>
    <row r="131" spans="1:3" x14ac:dyDescent="0.25">
      <c r="A131" s="4">
        <v>40849</v>
      </c>
      <c r="B131" s="5" t="s">
        <v>116</v>
      </c>
      <c r="C131" s="5" t="s">
        <v>112</v>
      </c>
    </row>
    <row r="132" spans="1:3" x14ac:dyDescent="0.25">
      <c r="A132" s="4">
        <v>40862</v>
      </c>
      <c r="B132" s="5" t="s">
        <v>102</v>
      </c>
      <c r="C132" s="5" t="s">
        <v>113</v>
      </c>
    </row>
    <row r="133" spans="1:3" x14ac:dyDescent="0.25">
      <c r="A133" s="4">
        <v>40902</v>
      </c>
      <c r="B133" s="5" t="s">
        <v>115</v>
      </c>
      <c r="C133" s="5" t="s">
        <v>114</v>
      </c>
    </row>
    <row r="134" spans="1:3" x14ac:dyDescent="0.25">
      <c r="A134" s="6">
        <v>40909</v>
      </c>
      <c r="B134" s="7" t="s">
        <v>115</v>
      </c>
      <c r="C134" s="7" t="s">
        <v>100</v>
      </c>
    </row>
    <row r="135" spans="1:3" x14ac:dyDescent="0.25">
      <c r="A135" s="6">
        <v>40959</v>
      </c>
      <c r="B135" s="7" t="s">
        <v>99</v>
      </c>
      <c r="C135" s="7" t="s">
        <v>101</v>
      </c>
    </row>
    <row r="136" spans="1:3" x14ac:dyDescent="0.25">
      <c r="A136" s="6">
        <v>40960</v>
      </c>
      <c r="B136" s="7" t="s">
        <v>102</v>
      </c>
      <c r="C136" s="7" t="s">
        <v>101</v>
      </c>
    </row>
    <row r="137" spans="1:3" x14ac:dyDescent="0.25">
      <c r="A137" s="6">
        <v>41005</v>
      </c>
      <c r="B137" s="7" t="s">
        <v>103</v>
      </c>
      <c r="C137" s="7" t="s">
        <v>104</v>
      </c>
    </row>
    <row r="138" spans="1:3" x14ac:dyDescent="0.25">
      <c r="A138" s="6">
        <v>41020</v>
      </c>
      <c r="B138" s="7" t="s">
        <v>105</v>
      </c>
      <c r="C138" s="7" t="s">
        <v>106</v>
      </c>
    </row>
    <row r="139" spans="1:3" x14ac:dyDescent="0.25">
      <c r="A139" s="6">
        <v>41030</v>
      </c>
      <c r="B139" s="7" t="s">
        <v>102</v>
      </c>
      <c r="C139" s="7" t="s">
        <v>107</v>
      </c>
    </row>
    <row r="140" spans="1:3" x14ac:dyDescent="0.25">
      <c r="A140" s="6">
        <v>41067</v>
      </c>
      <c r="B140" s="7" t="s">
        <v>108</v>
      </c>
      <c r="C140" s="7" t="s">
        <v>109</v>
      </c>
    </row>
    <row r="141" spans="1:3" x14ac:dyDescent="0.25">
      <c r="A141" s="6">
        <v>41159</v>
      </c>
      <c r="B141" s="7" t="s">
        <v>103</v>
      </c>
      <c r="C141" s="7" t="s">
        <v>110</v>
      </c>
    </row>
    <row r="142" spans="1:3" x14ac:dyDescent="0.25">
      <c r="A142" s="6">
        <v>41194</v>
      </c>
      <c r="B142" s="7" t="s">
        <v>103</v>
      </c>
      <c r="C142" s="7" t="s">
        <v>111</v>
      </c>
    </row>
    <row r="143" spans="1:3" x14ac:dyDescent="0.25">
      <c r="A143" s="6">
        <v>41215</v>
      </c>
      <c r="B143" s="7" t="s">
        <v>103</v>
      </c>
      <c r="C143" s="7" t="s">
        <v>112</v>
      </c>
    </row>
    <row r="144" spans="1:3" x14ac:dyDescent="0.25">
      <c r="A144" s="6">
        <v>41228</v>
      </c>
      <c r="B144" s="7" t="s">
        <v>108</v>
      </c>
      <c r="C144" s="7" t="s">
        <v>113</v>
      </c>
    </row>
    <row r="145" spans="1:3" x14ac:dyDescent="0.25">
      <c r="A145" s="6">
        <v>41268</v>
      </c>
      <c r="B145" s="7" t="s">
        <v>102</v>
      </c>
      <c r="C145" s="7" t="s">
        <v>114</v>
      </c>
    </row>
    <row r="146" spans="1:3" x14ac:dyDescent="0.25">
      <c r="A146" s="4">
        <v>41275</v>
      </c>
      <c r="B146" s="5" t="s">
        <v>102</v>
      </c>
      <c r="C146" s="5" t="s">
        <v>100</v>
      </c>
    </row>
    <row r="147" spans="1:3" x14ac:dyDescent="0.25">
      <c r="A147" s="4">
        <v>41316</v>
      </c>
      <c r="B147" s="5" t="s">
        <v>99</v>
      </c>
      <c r="C147" s="5" t="s">
        <v>101</v>
      </c>
    </row>
    <row r="148" spans="1:3" x14ac:dyDescent="0.25">
      <c r="A148" s="4">
        <v>41317</v>
      </c>
      <c r="B148" s="5" t="s">
        <v>102</v>
      </c>
      <c r="C148" s="5" t="s">
        <v>101</v>
      </c>
    </row>
    <row r="149" spans="1:3" x14ac:dyDescent="0.25">
      <c r="A149" s="4">
        <v>41362</v>
      </c>
      <c r="B149" s="5" t="s">
        <v>103</v>
      </c>
      <c r="C149" s="5" t="s">
        <v>104</v>
      </c>
    </row>
    <row r="150" spans="1:3" x14ac:dyDescent="0.25">
      <c r="A150" s="4">
        <v>41385</v>
      </c>
      <c r="B150" s="5" t="s">
        <v>115</v>
      </c>
      <c r="C150" s="5" t="s">
        <v>106</v>
      </c>
    </row>
    <row r="151" spans="1:3" x14ac:dyDescent="0.25">
      <c r="A151" s="4">
        <v>41395</v>
      </c>
      <c r="B151" s="5" t="s">
        <v>116</v>
      </c>
      <c r="C151" s="5" t="s">
        <v>107</v>
      </c>
    </row>
    <row r="152" spans="1:3" x14ac:dyDescent="0.25">
      <c r="A152" s="4">
        <v>41424</v>
      </c>
      <c r="B152" s="5" t="s">
        <v>108</v>
      </c>
      <c r="C152" s="5" t="s">
        <v>109</v>
      </c>
    </row>
    <row r="153" spans="1:3" x14ac:dyDescent="0.25">
      <c r="A153" s="4">
        <v>41524</v>
      </c>
      <c r="B153" s="5" t="s">
        <v>105</v>
      </c>
      <c r="C153" s="5" t="s">
        <v>110</v>
      </c>
    </row>
    <row r="154" spans="1:3" x14ac:dyDescent="0.25">
      <c r="A154" s="4">
        <v>41559</v>
      </c>
      <c r="B154" s="5" t="s">
        <v>105</v>
      </c>
      <c r="C154" s="5" t="s">
        <v>111</v>
      </c>
    </row>
    <row r="155" spans="1:3" x14ac:dyDescent="0.25">
      <c r="A155" s="4">
        <v>41580</v>
      </c>
      <c r="B155" s="5" t="s">
        <v>105</v>
      </c>
      <c r="C155" s="5" t="s">
        <v>112</v>
      </c>
    </row>
    <row r="156" spans="1:3" x14ac:dyDescent="0.25">
      <c r="A156" s="4">
        <v>41593</v>
      </c>
      <c r="B156" s="5" t="s">
        <v>103</v>
      </c>
      <c r="C156" s="5" t="s">
        <v>113</v>
      </c>
    </row>
    <row r="157" spans="1:3" x14ac:dyDescent="0.25">
      <c r="A157" s="4">
        <v>41633</v>
      </c>
      <c r="B157" s="5" t="s">
        <v>116</v>
      </c>
      <c r="C157" s="5" t="s">
        <v>114</v>
      </c>
    </row>
    <row r="158" spans="1:3" x14ac:dyDescent="0.25">
      <c r="A158" s="6">
        <v>41640</v>
      </c>
      <c r="B158" s="7" t="s">
        <v>116</v>
      </c>
      <c r="C158" s="7" t="s">
        <v>100</v>
      </c>
    </row>
    <row r="159" spans="1:3" x14ac:dyDescent="0.25">
      <c r="A159" s="6">
        <v>41701</v>
      </c>
      <c r="B159" s="7" t="s">
        <v>99</v>
      </c>
      <c r="C159" s="7" t="s">
        <v>101</v>
      </c>
    </row>
    <row r="160" spans="1:3" x14ac:dyDescent="0.25">
      <c r="A160" s="6">
        <v>41702</v>
      </c>
      <c r="B160" s="7" t="s">
        <v>102</v>
      </c>
      <c r="C160" s="7" t="s">
        <v>101</v>
      </c>
    </row>
    <row r="161" spans="1:3" x14ac:dyDescent="0.25">
      <c r="A161" s="6">
        <v>41747</v>
      </c>
      <c r="B161" s="7" t="s">
        <v>103</v>
      </c>
      <c r="C161" s="7" t="s">
        <v>104</v>
      </c>
    </row>
    <row r="162" spans="1:3" x14ac:dyDescent="0.25">
      <c r="A162" s="6">
        <v>41750</v>
      </c>
      <c r="B162" s="7" t="s">
        <v>99</v>
      </c>
      <c r="C162" s="7" t="s">
        <v>106</v>
      </c>
    </row>
    <row r="163" spans="1:3" x14ac:dyDescent="0.25">
      <c r="A163" s="6">
        <v>41760</v>
      </c>
      <c r="B163" s="7" t="s">
        <v>108</v>
      </c>
      <c r="C163" s="7" t="s">
        <v>107</v>
      </c>
    </row>
    <row r="164" spans="1:3" x14ac:dyDescent="0.25">
      <c r="A164" s="6">
        <v>41809</v>
      </c>
      <c r="B164" s="7" t="s">
        <v>108</v>
      </c>
      <c r="C164" s="7" t="s">
        <v>109</v>
      </c>
    </row>
    <row r="165" spans="1:3" x14ac:dyDescent="0.25">
      <c r="A165" s="6">
        <v>41889</v>
      </c>
      <c r="B165" s="7" t="s">
        <v>115</v>
      </c>
      <c r="C165" s="7" t="s">
        <v>110</v>
      </c>
    </row>
    <row r="166" spans="1:3" x14ac:dyDescent="0.25">
      <c r="A166" s="6">
        <v>41924</v>
      </c>
      <c r="B166" s="7" t="s">
        <v>115</v>
      </c>
      <c r="C166" s="7" t="s">
        <v>111</v>
      </c>
    </row>
    <row r="167" spans="1:3" x14ac:dyDescent="0.25">
      <c r="A167" s="6">
        <v>41945</v>
      </c>
      <c r="B167" s="7" t="s">
        <v>115</v>
      </c>
      <c r="C167" s="7" t="s">
        <v>112</v>
      </c>
    </row>
    <row r="168" spans="1:3" x14ac:dyDescent="0.25">
      <c r="A168" s="6">
        <v>41958</v>
      </c>
      <c r="B168" s="7" t="s">
        <v>105</v>
      </c>
      <c r="C168" s="7" t="s">
        <v>113</v>
      </c>
    </row>
    <row r="169" spans="1:3" x14ac:dyDescent="0.25">
      <c r="A169" s="6">
        <v>41998</v>
      </c>
      <c r="B169" s="7" t="s">
        <v>108</v>
      </c>
      <c r="C169" s="7" t="s">
        <v>114</v>
      </c>
    </row>
    <row r="170" spans="1:3" x14ac:dyDescent="0.25">
      <c r="A170" s="4">
        <v>42005</v>
      </c>
      <c r="B170" s="5" t="s">
        <v>108</v>
      </c>
      <c r="C170" s="5" t="s">
        <v>100</v>
      </c>
    </row>
    <row r="171" spans="1:3" x14ac:dyDescent="0.25">
      <c r="A171" s="4">
        <v>42051</v>
      </c>
      <c r="B171" s="5" t="s">
        <v>99</v>
      </c>
      <c r="C171" s="5" t="s">
        <v>101</v>
      </c>
    </row>
    <row r="172" spans="1:3" x14ac:dyDescent="0.25">
      <c r="A172" s="4">
        <v>42052</v>
      </c>
      <c r="B172" s="5" t="s">
        <v>102</v>
      </c>
      <c r="C172" s="5" t="s">
        <v>101</v>
      </c>
    </row>
    <row r="173" spans="1:3" x14ac:dyDescent="0.25">
      <c r="A173" s="4">
        <v>42097</v>
      </c>
      <c r="B173" s="5" t="s">
        <v>103</v>
      </c>
      <c r="C173" s="5" t="s">
        <v>104</v>
      </c>
    </row>
    <row r="174" spans="1:3" x14ac:dyDescent="0.25">
      <c r="A174" s="4">
        <v>42115</v>
      </c>
      <c r="B174" s="5" t="s">
        <v>102</v>
      </c>
      <c r="C174" s="5" t="s">
        <v>106</v>
      </c>
    </row>
    <row r="175" spans="1:3" x14ac:dyDescent="0.25">
      <c r="A175" s="4">
        <v>42125</v>
      </c>
      <c r="B175" s="5" t="s">
        <v>103</v>
      </c>
      <c r="C175" s="5" t="s">
        <v>107</v>
      </c>
    </row>
    <row r="176" spans="1:3" x14ac:dyDescent="0.25">
      <c r="A176" s="4">
        <v>42159</v>
      </c>
      <c r="B176" s="5" t="s">
        <v>108</v>
      </c>
      <c r="C176" s="5" t="s">
        <v>109</v>
      </c>
    </row>
    <row r="177" spans="1:3" x14ac:dyDescent="0.25">
      <c r="A177" s="4">
        <v>42254</v>
      </c>
      <c r="B177" s="5" t="s">
        <v>99</v>
      </c>
      <c r="C177" s="5" t="s">
        <v>110</v>
      </c>
    </row>
    <row r="178" spans="1:3" x14ac:dyDescent="0.25">
      <c r="A178" s="4">
        <v>42289</v>
      </c>
      <c r="B178" s="5" t="s">
        <v>99</v>
      </c>
      <c r="C178" s="5" t="s">
        <v>111</v>
      </c>
    </row>
    <row r="179" spans="1:3" x14ac:dyDescent="0.25">
      <c r="A179" s="4">
        <v>42310</v>
      </c>
      <c r="B179" s="5" t="s">
        <v>99</v>
      </c>
      <c r="C179" s="5" t="s">
        <v>112</v>
      </c>
    </row>
    <row r="180" spans="1:3" x14ac:dyDescent="0.25">
      <c r="A180" s="4">
        <v>42323</v>
      </c>
      <c r="B180" s="5" t="s">
        <v>115</v>
      </c>
      <c r="C180" s="5" t="s">
        <v>113</v>
      </c>
    </row>
    <row r="181" spans="1:3" x14ac:dyDescent="0.25">
      <c r="A181" s="4">
        <v>42363</v>
      </c>
      <c r="B181" s="5" t="s">
        <v>103</v>
      </c>
      <c r="C181" s="5" t="s">
        <v>114</v>
      </c>
    </row>
    <row r="182" spans="1:3" x14ac:dyDescent="0.25">
      <c r="A182" s="6">
        <v>42370</v>
      </c>
      <c r="B182" s="7" t="s">
        <v>103</v>
      </c>
      <c r="C182" s="7" t="s">
        <v>100</v>
      </c>
    </row>
    <row r="183" spans="1:3" x14ac:dyDescent="0.25">
      <c r="A183" s="6">
        <v>42408</v>
      </c>
      <c r="B183" s="7" t="s">
        <v>99</v>
      </c>
      <c r="C183" s="7" t="s">
        <v>101</v>
      </c>
    </row>
    <row r="184" spans="1:3" x14ac:dyDescent="0.25">
      <c r="A184" s="6">
        <v>42409</v>
      </c>
      <c r="B184" s="7" t="s">
        <v>102</v>
      </c>
      <c r="C184" s="7" t="s">
        <v>101</v>
      </c>
    </row>
    <row r="185" spans="1:3" x14ac:dyDescent="0.25">
      <c r="A185" s="6">
        <v>42454</v>
      </c>
      <c r="B185" s="7" t="s">
        <v>103</v>
      </c>
      <c r="C185" s="7" t="s">
        <v>104</v>
      </c>
    </row>
    <row r="186" spans="1:3" x14ac:dyDescent="0.25">
      <c r="A186" s="6">
        <v>42481</v>
      </c>
      <c r="B186" s="7" t="s">
        <v>108</v>
      </c>
      <c r="C186" s="7" t="s">
        <v>106</v>
      </c>
    </row>
    <row r="187" spans="1:3" x14ac:dyDescent="0.25">
      <c r="A187" s="6">
        <v>42491</v>
      </c>
      <c r="B187" s="7" t="s">
        <v>115</v>
      </c>
      <c r="C187" s="7" t="s">
        <v>107</v>
      </c>
    </row>
    <row r="188" spans="1:3" x14ac:dyDescent="0.25">
      <c r="A188" s="6">
        <v>42516</v>
      </c>
      <c r="B188" s="7" t="s">
        <v>108</v>
      </c>
      <c r="C188" s="7" t="s">
        <v>109</v>
      </c>
    </row>
    <row r="189" spans="1:3" x14ac:dyDescent="0.25">
      <c r="A189" s="6">
        <v>42620</v>
      </c>
      <c r="B189" s="7" t="s">
        <v>116</v>
      </c>
      <c r="C189" s="7" t="s">
        <v>110</v>
      </c>
    </row>
    <row r="190" spans="1:3" x14ac:dyDescent="0.25">
      <c r="A190" s="6">
        <v>42655</v>
      </c>
      <c r="B190" s="7" t="s">
        <v>116</v>
      </c>
      <c r="C190" s="7" t="s">
        <v>111</v>
      </c>
    </row>
    <row r="191" spans="1:3" x14ac:dyDescent="0.25">
      <c r="A191" s="6">
        <v>42676</v>
      </c>
      <c r="B191" s="7" t="s">
        <v>116</v>
      </c>
      <c r="C191" s="7" t="s">
        <v>112</v>
      </c>
    </row>
    <row r="192" spans="1:3" x14ac:dyDescent="0.25">
      <c r="A192" s="6">
        <v>42689</v>
      </c>
      <c r="B192" s="7" t="s">
        <v>102</v>
      </c>
      <c r="C192" s="7" t="s">
        <v>113</v>
      </c>
    </row>
    <row r="193" spans="1:3" x14ac:dyDescent="0.25">
      <c r="A193" s="6">
        <v>42729</v>
      </c>
      <c r="B193" s="7" t="s">
        <v>115</v>
      </c>
      <c r="C193" s="7" t="s">
        <v>114</v>
      </c>
    </row>
    <row r="194" spans="1:3" x14ac:dyDescent="0.25">
      <c r="A194" s="4">
        <v>42736</v>
      </c>
      <c r="B194" s="5" t="s">
        <v>115</v>
      </c>
      <c r="C194" s="5" t="s">
        <v>100</v>
      </c>
    </row>
    <row r="195" spans="1:3" x14ac:dyDescent="0.25">
      <c r="A195" s="4">
        <v>42793</v>
      </c>
      <c r="B195" s="5" t="s">
        <v>99</v>
      </c>
      <c r="C195" s="5" t="s">
        <v>101</v>
      </c>
    </row>
    <row r="196" spans="1:3" x14ac:dyDescent="0.25">
      <c r="A196" s="4">
        <v>42794</v>
      </c>
      <c r="B196" s="5" t="s">
        <v>102</v>
      </c>
      <c r="C196" s="5" t="s">
        <v>101</v>
      </c>
    </row>
    <row r="197" spans="1:3" x14ac:dyDescent="0.25">
      <c r="A197" s="4">
        <v>42839</v>
      </c>
      <c r="B197" s="5" t="s">
        <v>103</v>
      </c>
      <c r="C197" s="5" t="s">
        <v>104</v>
      </c>
    </row>
    <row r="198" spans="1:3" x14ac:dyDescent="0.25">
      <c r="A198" s="4">
        <v>42846</v>
      </c>
      <c r="B198" s="5" t="s">
        <v>103</v>
      </c>
      <c r="C198" s="5" t="s">
        <v>106</v>
      </c>
    </row>
    <row r="199" spans="1:3" x14ac:dyDescent="0.25">
      <c r="A199" s="4">
        <v>42856</v>
      </c>
      <c r="B199" s="5" t="s">
        <v>99</v>
      </c>
      <c r="C199" s="5" t="s">
        <v>107</v>
      </c>
    </row>
    <row r="200" spans="1:3" x14ac:dyDescent="0.25">
      <c r="A200" s="4">
        <v>42901</v>
      </c>
      <c r="B200" s="5" t="s">
        <v>108</v>
      </c>
      <c r="C200" s="5" t="s">
        <v>109</v>
      </c>
    </row>
    <row r="201" spans="1:3" x14ac:dyDescent="0.25">
      <c r="A201" s="4">
        <v>42985</v>
      </c>
      <c r="B201" s="5" t="s">
        <v>108</v>
      </c>
      <c r="C201" s="5" t="s">
        <v>110</v>
      </c>
    </row>
    <row r="202" spans="1:3" x14ac:dyDescent="0.25">
      <c r="A202" s="4">
        <v>43020</v>
      </c>
      <c r="B202" s="5" t="s">
        <v>108</v>
      </c>
      <c r="C202" s="5" t="s">
        <v>111</v>
      </c>
    </row>
    <row r="203" spans="1:3" x14ac:dyDescent="0.25">
      <c r="A203" s="4">
        <v>43041</v>
      </c>
      <c r="B203" s="5" t="s">
        <v>108</v>
      </c>
      <c r="C203" s="5" t="s">
        <v>112</v>
      </c>
    </row>
    <row r="204" spans="1:3" x14ac:dyDescent="0.25">
      <c r="A204" s="4">
        <v>43054</v>
      </c>
      <c r="B204" s="5" t="s">
        <v>116</v>
      </c>
      <c r="C204" s="5" t="s">
        <v>113</v>
      </c>
    </row>
    <row r="205" spans="1:3" x14ac:dyDescent="0.25">
      <c r="A205" s="4">
        <v>43094</v>
      </c>
      <c r="B205" s="5" t="s">
        <v>99</v>
      </c>
      <c r="C205" s="5" t="s">
        <v>114</v>
      </c>
    </row>
    <row r="206" spans="1:3" x14ac:dyDescent="0.25">
      <c r="A206" s="6">
        <v>43101</v>
      </c>
      <c r="B206" s="7" t="s">
        <v>99</v>
      </c>
      <c r="C206" s="7" t="s">
        <v>100</v>
      </c>
    </row>
    <row r="207" spans="1:3" x14ac:dyDescent="0.25">
      <c r="A207" s="6">
        <v>43143</v>
      </c>
      <c r="B207" s="7" t="s">
        <v>99</v>
      </c>
      <c r="C207" s="7" t="s">
        <v>101</v>
      </c>
    </row>
    <row r="208" spans="1:3" x14ac:dyDescent="0.25">
      <c r="A208" s="6">
        <v>43144</v>
      </c>
      <c r="B208" s="7" t="s">
        <v>102</v>
      </c>
      <c r="C208" s="7" t="s">
        <v>101</v>
      </c>
    </row>
    <row r="209" spans="1:3" x14ac:dyDescent="0.25">
      <c r="A209" s="6">
        <v>43189</v>
      </c>
      <c r="B209" s="7" t="s">
        <v>103</v>
      </c>
      <c r="C209" s="7" t="s">
        <v>104</v>
      </c>
    </row>
    <row r="210" spans="1:3" x14ac:dyDescent="0.25">
      <c r="A210" s="6">
        <v>43211</v>
      </c>
      <c r="B210" s="7" t="s">
        <v>105</v>
      </c>
      <c r="C210" s="7" t="s">
        <v>106</v>
      </c>
    </row>
    <row r="211" spans="1:3" x14ac:dyDescent="0.25">
      <c r="A211" s="6">
        <v>43221</v>
      </c>
      <c r="B211" s="7" t="s">
        <v>102</v>
      </c>
      <c r="C211" s="7" t="s">
        <v>107</v>
      </c>
    </row>
    <row r="212" spans="1:3" x14ac:dyDescent="0.25">
      <c r="A212" s="6">
        <v>43251</v>
      </c>
      <c r="B212" s="7" t="s">
        <v>108</v>
      </c>
      <c r="C212" s="7" t="s">
        <v>109</v>
      </c>
    </row>
    <row r="213" spans="1:3" x14ac:dyDescent="0.25">
      <c r="A213" s="6">
        <v>43350</v>
      </c>
      <c r="B213" s="7" t="s">
        <v>103</v>
      </c>
      <c r="C213" s="7" t="s">
        <v>110</v>
      </c>
    </row>
    <row r="214" spans="1:3" x14ac:dyDescent="0.25">
      <c r="A214" s="6">
        <v>43385</v>
      </c>
      <c r="B214" s="7" t="s">
        <v>103</v>
      </c>
      <c r="C214" s="7" t="s">
        <v>111</v>
      </c>
    </row>
    <row r="215" spans="1:3" x14ac:dyDescent="0.25">
      <c r="A215" s="6">
        <v>43406</v>
      </c>
      <c r="B215" s="7" t="s">
        <v>103</v>
      </c>
      <c r="C215" s="7" t="s">
        <v>112</v>
      </c>
    </row>
    <row r="216" spans="1:3" x14ac:dyDescent="0.25">
      <c r="A216" s="6">
        <v>43419</v>
      </c>
      <c r="B216" s="7" t="s">
        <v>108</v>
      </c>
      <c r="C216" s="7" t="s">
        <v>113</v>
      </c>
    </row>
    <row r="217" spans="1:3" x14ac:dyDescent="0.25">
      <c r="A217" s="6">
        <v>43459</v>
      </c>
      <c r="B217" s="7" t="s">
        <v>102</v>
      </c>
      <c r="C217" s="7" t="s">
        <v>114</v>
      </c>
    </row>
    <row r="218" spans="1:3" x14ac:dyDescent="0.25">
      <c r="A218" s="4">
        <v>43466</v>
      </c>
      <c r="B218" s="5" t="s">
        <v>102</v>
      </c>
      <c r="C218" s="5" t="s">
        <v>100</v>
      </c>
    </row>
    <row r="219" spans="1:3" x14ac:dyDescent="0.25">
      <c r="A219" s="4">
        <v>43528</v>
      </c>
      <c r="B219" s="5" t="s">
        <v>99</v>
      </c>
      <c r="C219" s="5" t="s">
        <v>101</v>
      </c>
    </row>
    <row r="220" spans="1:3" x14ac:dyDescent="0.25">
      <c r="A220" s="4">
        <v>43529</v>
      </c>
      <c r="B220" s="5" t="s">
        <v>102</v>
      </c>
      <c r="C220" s="5" t="s">
        <v>101</v>
      </c>
    </row>
    <row r="221" spans="1:3" x14ac:dyDescent="0.25">
      <c r="A221" s="4">
        <v>43574</v>
      </c>
      <c r="B221" s="5" t="s">
        <v>103</v>
      </c>
      <c r="C221" s="5" t="s">
        <v>104</v>
      </c>
    </row>
    <row r="222" spans="1:3" x14ac:dyDescent="0.25">
      <c r="A222" s="4">
        <v>43576</v>
      </c>
      <c r="B222" s="5" t="s">
        <v>115</v>
      </c>
      <c r="C222" s="5" t="s">
        <v>106</v>
      </c>
    </row>
    <row r="223" spans="1:3" x14ac:dyDescent="0.25">
      <c r="A223" s="4">
        <v>43586</v>
      </c>
      <c r="B223" s="5" t="s">
        <v>116</v>
      </c>
      <c r="C223" s="5" t="s">
        <v>107</v>
      </c>
    </row>
    <row r="224" spans="1:3" x14ac:dyDescent="0.25">
      <c r="A224" s="4">
        <v>43636</v>
      </c>
      <c r="B224" s="5" t="s">
        <v>108</v>
      </c>
      <c r="C224" s="5" t="s">
        <v>109</v>
      </c>
    </row>
    <row r="225" spans="1:3" x14ac:dyDescent="0.25">
      <c r="A225" s="4">
        <v>43715</v>
      </c>
      <c r="B225" s="5" t="s">
        <v>105</v>
      </c>
      <c r="C225" s="5" t="s">
        <v>110</v>
      </c>
    </row>
    <row r="226" spans="1:3" x14ac:dyDescent="0.25">
      <c r="A226" s="4">
        <v>43750</v>
      </c>
      <c r="B226" s="5" t="s">
        <v>105</v>
      </c>
      <c r="C226" s="5" t="s">
        <v>111</v>
      </c>
    </row>
    <row r="227" spans="1:3" x14ac:dyDescent="0.25">
      <c r="A227" s="4">
        <v>43771</v>
      </c>
      <c r="B227" s="5" t="s">
        <v>105</v>
      </c>
      <c r="C227" s="5" t="s">
        <v>112</v>
      </c>
    </row>
    <row r="228" spans="1:3" x14ac:dyDescent="0.25">
      <c r="A228" s="4">
        <v>43784</v>
      </c>
      <c r="B228" s="5" t="s">
        <v>103</v>
      </c>
      <c r="C228" s="5" t="s">
        <v>113</v>
      </c>
    </row>
    <row r="229" spans="1:3" x14ac:dyDescent="0.25">
      <c r="A229" s="4">
        <v>43824</v>
      </c>
      <c r="B229" s="5" t="s">
        <v>116</v>
      </c>
      <c r="C229" s="5" t="s">
        <v>114</v>
      </c>
    </row>
    <row r="230" spans="1:3" x14ac:dyDescent="0.25">
      <c r="A230" s="6">
        <v>43831</v>
      </c>
      <c r="B230" s="7" t="s">
        <v>116</v>
      </c>
      <c r="C230" s="7" t="s">
        <v>100</v>
      </c>
    </row>
    <row r="231" spans="1:3" x14ac:dyDescent="0.25">
      <c r="A231" s="6">
        <v>43885</v>
      </c>
      <c r="B231" s="7" t="s">
        <v>99</v>
      </c>
      <c r="C231" s="7" t="s">
        <v>101</v>
      </c>
    </row>
    <row r="232" spans="1:3" x14ac:dyDescent="0.25">
      <c r="A232" s="6">
        <v>43886</v>
      </c>
      <c r="B232" s="7" t="s">
        <v>102</v>
      </c>
      <c r="C232" s="7" t="s">
        <v>101</v>
      </c>
    </row>
    <row r="233" spans="1:3" x14ac:dyDescent="0.25">
      <c r="A233" s="6">
        <v>43931</v>
      </c>
      <c r="B233" s="7" t="s">
        <v>103</v>
      </c>
      <c r="C233" s="7" t="s">
        <v>104</v>
      </c>
    </row>
    <row r="234" spans="1:3" x14ac:dyDescent="0.25">
      <c r="A234" s="6">
        <v>43942</v>
      </c>
      <c r="B234" s="7" t="s">
        <v>102</v>
      </c>
      <c r="C234" s="7" t="s">
        <v>106</v>
      </c>
    </row>
    <row r="235" spans="1:3" x14ac:dyDescent="0.25">
      <c r="A235" s="6">
        <v>43952</v>
      </c>
      <c r="B235" s="7" t="s">
        <v>103</v>
      </c>
      <c r="C235" s="7" t="s">
        <v>107</v>
      </c>
    </row>
    <row r="236" spans="1:3" x14ac:dyDescent="0.25">
      <c r="A236" s="6">
        <v>43993</v>
      </c>
      <c r="B236" s="7" t="s">
        <v>108</v>
      </c>
      <c r="C236" s="7" t="s">
        <v>109</v>
      </c>
    </row>
    <row r="237" spans="1:3" x14ac:dyDescent="0.25">
      <c r="A237" s="6">
        <v>44081</v>
      </c>
      <c r="B237" s="7" t="s">
        <v>99</v>
      </c>
      <c r="C237" s="7" t="s">
        <v>110</v>
      </c>
    </row>
    <row r="238" spans="1:3" x14ac:dyDescent="0.25">
      <c r="A238" s="6">
        <v>44116</v>
      </c>
      <c r="B238" s="7" t="s">
        <v>99</v>
      </c>
      <c r="C238" s="7" t="s">
        <v>111</v>
      </c>
    </row>
    <row r="239" spans="1:3" x14ac:dyDescent="0.25">
      <c r="A239" s="6">
        <v>44137</v>
      </c>
      <c r="B239" s="7" t="s">
        <v>99</v>
      </c>
      <c r="C239" s="7" t="s">
        <v>112</v>
      </c>
    </row>
    <row r="240" spans="1:3" x14ac:dyDescent="0.25">
      <c r="A240" s="6">
        <v>44150</v>
      </c>
      <c r="B240" s="7" t="s">
        <v>115</v>
      </c>
      <c r="C240" s="7" t="s">
        <v>113</v>
      </c>
    </row>
    <row r="241" spans="1:3" x14ac:dyDescent="0.25">
      <c r="A241" s="6">
        <v>44190</v>
      </c>
      <c r="B241" s="7" t="s">
        <v>103</v>
      </c>
      <c r="C241" s="7" t="s">
        <v>114</v>
      </c>
    </row>
    <row r="242" spans="1:3" x14ac:dyDescent="0.25">
      <c r="A242" s="4">
        <v>44197</v>
      </c>
      <c r="B242" s="5" t="s">
        <v>103</v>
      </c>
      <c r="C242" s="5" t="s">
        <v>100</v>
      </c>
    </row>
    <row r="243" spans="1:3" x14ac:dyDescent="0.25">
      <c r="A243" s="4">
        <v>44242</v>
      </c>
      <c r="B243" s="5" t="s">
        <v>99</v>
      </c>
      <c r="C243" s="5" t="s">
        <v>101</v>
      </c>
    </row>
    <row r="244" spans="1:3" x14ac:dyDescent="0.25">
      <c r="A244" s="4">
        <v>44243</v>
      </c>
      <c r="B244" s="5" t="s">
        <v>102</v>
      </c>
      <c r="C244" s="5" t="s">
        <v>101</v>
      </c>
    </row>
    <row r="245" spans="1:3" x14ac:dyDescent="0.25">
      <c r="A245" s="4">
        <v>44288</v>
      </c>
      <c r="B245" s="5" t="s">
        <v>103</v>
      </c>
      <c r="C245" s="5" t="s">
        <v>104</v>
      </c>
    </row>
    <row r="246" spans="1:3" x14ac:dyDescent="0.25">
      <c r="A246" s="4">
        <v>44307</v>
      </c>
      <c r="B246" s="5" t="s">
        <v>116</v>
      </c>
      <c r="C246" s="5" t="s">
        <v>106</v>
      </c>
    </row>
    <row r="247" spans="1:3" x14ac:dyDescent="0.25">
      <c r="A247" s="4">
        <v>44317</v>
      </c>
      <c r="B247" s="5" t="s">
        <v>105</v>
      </c>
      <c r="C247" s="5" t="s">
        <v>107</v>
      </c>
    </row>
    <row r="248" spans="1:3" x14ac:dyDescent="0.25">
      <c r="A248" s="4">
        <v>44350</v>
      </c>
      <c r="B248" s="5" t="s">
        <v>108</v>
      </c>
      <c r="C248" s="5" t="s">
        <v>109</v>
      </c>
    </row>
    <row r="249" spans="1:3" x14ac:dyDescent="0.25">
      <c r="A249" s="4">
        <v>44446</v>
      </c>
      <c r="B249" s="5" t="s">
        <v>102</v>
      </c>
      <c r="C249" s="5" t="s">
        <v>110</v>
      </c>
    </row>
    <row r="250" spans="1:3" x14ac:dyDescent="0.25">
      <c r="A250" s="4">
        <v>44481</v>
      </c>
      <c r="B250" s="5" t="s">
        <v>102</v>
      </c>
      <c r="C250" s="5" t="s">
        <v>111</v>
      </c>
    </row>
    <row r="251" spans="1:3" x14ac:dyDescent="0.25">
      <c r="A251" s="4">
        <v>44502</v>
      </c>
      <c r="B251" s="5" t="s">
        <v>102</v>
      </c>
      <c r="C251" s="5" t="s">
        <v>112</v>
      </c>
    </row>
    <row r="252" spans="1:3" x14ac:dyDescent="0.25">
      <c r="A252" s="4">
        <v>44515</v>
      </c>
      <c r="B252" s="5" t="s">
        <v>99</v>
      </c>
      <c r="C252" s="5" t="s">
        <v>113</v>
      </c>
    </row>
    <row r="253" spans="1:3" x14ac:dyDescent="0.25">
      <c r="A253" s="4">
        <v>44555</v>
      </c>
      <c r="B253" s="5" t="s">
        <v>105</v>
      </c>
      <c r="C253" s="5" t="s">
        <v>114</v>
      </c>
    </row>
    <row r="254" spans="1:3" x14ac:dyDescent="0.25">
      <c r="A254" s="6">
        <v>44562</v>
      </c>
      <c r="B254" s="7" t="s">
        <v>105</v>
      </c>
      <c r="C254" s="7" t="s">
        <v>100</v>
      </c>
    </row>
    <row r="255" spans="1:3" x14ac:dyDescent="0.25">
      <c r="A255" s="6">
        <v>44620</v>
      </c>
      <c r="B255" s="7" t="s">
        <v>99</v>
      </c>
      <c r="C255" s="7" t="s">
        <v>101</v>
      </c>
    </row>
    <row r="256" spans="1:3" x14ac:dyDescent="0.25">
      <c r="A256" s="6">
        <v>44621</v>
      </c>
      <c r="B256" s="7" t="s">
        <v>102</v>
      </c>
      <c r="C256" s="7" t="s">
        <v>101</v>
      </c>
    </row>
    <row r="257" spans="1:3" x14ac:dyDescent="0.25">
      <c r="A257" s="6">
        <v>44666</v>
      </c>
      <c r="B257" s="7" t="s">
        <v>103</v>
      </c>
      <c r="C257" s="7" t="s">
        <v>104</v>
      </c>
    </row>
    <row r="258" spans="1:3" x14ac:dyDescent="0.25">
      <c r="A258" s="6">
        <v>44672</v>
      </c>
      <c r="B258" s="7" t="s">
        <v>108</v>
      </c>
      <c r="C258" s="7" t="s">
        <v>106</v>
      </c>
    </row>
    <row r="259" spans="1:3" x14ac:dyDescent="0.25">
      <c r="A259" s="6">
        <v>44682</v>
      </c>
      <c r="B259" s="7" t="s">
        <v>115</v>
      </c>
      <c r="C259" s="7" t="s">
        <v>107</v>
      </c>
    </row>
    <row r="260" spans="1:3" x14ac:dyDescent="0.25">
      <c r="A260" s="6">
        <v>44728</v>
      </c>
      <c r="B260" s="7" t="s">
        <v>108</v>
      </c>
      <c r="C260" s="7" t="s">
        <v>109</v>
      </c>
    </row>
    <row r="261" spans="1:3" x14ac:dyDescent="0.25">
      <c r="A261" s="6">
        <v>44811</v>
      </c>
      <c r="B261" s="7" t="s">
        <v>116</v>
      </c>
      <c r="C261" s="7" t="s">
        <v>110</v>
      </c>
    </row>
    <row r="262" spans="1:3" x14ac:dyDescent="0.25">
      <c r="A262" s="6">
        <v>44846</v>
      </c>
      <c r="B262" s="7" t="s">
        <v>116</v>
      </c>
      <c r="C262" s="7" t="s">
        <v>111</v>
      </c>
    </row>
    <row r="263" spans="1:3" x14ac:dyDescent="0.25">
      <c r="A263" s="6">
        <v>44867</v>
      </c>
      <c r="B263" s="7" t="s">
        <v>116</v>
      </c>
      <c r="C263" s="7" t="s">
        <v>112</v>
      </c>
    </row>
    <row r="264" spans="1:3" x14ac:dyDescent="0.25">
      <c r="A264" s="6">
        <v>44880</v>
      </c>
      <c r="B264" s="7" t="s">
        <v>102</v>
      </c>
      <c r="C264" s="7" t="s">
        <v>113</v>
      </c>
    </row>
    <row r="265" spans="1:3" x14ac:dyDescent="0.25">
      <c r="A265" s="6">
        <v>44920</v>
      </c>
      <c r="B265" s="7" t="s">
        <v>115</v>
      </c>
      <c r="C265" s="7" t="s">
        <v>114</v>
      </c>
    </row>
    <row r="266" spans="1:3" x14ac:dyDescent="0.25">
      <c r="A266" s="4">
        <v>44927</v>
      </c>
      <c r="B266" s="5" t="s">
        <v>115</v>
      </c>
      <c r="C266" s="5" t="s">
        <v>100</v>
      </c>
    </row>
    <row r="267" spans="1:3" x14ac:dyDescent="0.25">
      <c r="A267" s="4">
        <v>44977</v>
      </c>
      <c r="B267" s="5" t="s">
        <v>99</v>
      </c>
      <c r="C267" s="5" t="s">
        <v>101</v>
      </c>
    </row>
    <row r="268" spans="1:3" x14ac:dyDescent="0.25">
      <c r="A268" s="4">
        <v>44978</v>
      </c>
      <c r="B268" s="5" t="s">
        <v>102</v>
      </c>
      <c r="C268" s="5" t="s">
        <v>101</v>
      </c>
    </row>
    <row r="269" spans="1:3" x14ac:dyDescent="0.25">
      <c r="A269" s="4">
        <v>45023</v>
      </c>
      <c r="B269" s="5" t="s">
        <v>103</v>
      </c>
      <c r="C269" s="5" t="s">
        <v>104</v>
      </c>
    </row>
    <row r="270" spans="1:3" x14ac:dyDescent="0.25">
      <c r="A270" s="4">
        <v>45037</v>
      </c>
      <c r="B270" s="5" t="s">
        <v>103</v>
      </c>
      <c r="C270" s="5" t="s">
        <v>106</v>
      </c>
    </row>
    <row r="271" spans="1:3" x14ac:dyDescent="0.25">
      <c r="A271" s="4">
        <v>45047</v>
      </c>
      <c r="B271" s="5" t="s">
        <v>99</v>
      </c>
      <c r="C271" s="5" t="s">
        <v>107</v>
      </c>
    </row>
    <row r="272" spans="1:3" x14ac:dyDescent="0.25">
      <c r="A272" s="4">
        <v>45085</v>
      </c>
      <c r="B272" s="5" t="s">
        <v>108</v>
      </c>
      <c r="C272" s="5" t="s">
        <v>109</v>
      </c>
    </row>
    <row r="273" spans="1:3" x14ac:dyDescent="0.25">
      <c r="A273" s="4">
        <v>45176</v>
      </c>
      <c r="B273" s="5" t="s">
        <v>108</v>
      </c>
      <c r="C273" s="5" t="s">
        <v>110</v>
      </c>
    </row>
    <row r="274" spans="1:3" x14ac:dyDescent="0.25">
      <c r="A274" s="4">
        <v>45211</v>
      </c>
      <c r="B274" s="5" t="s">
        <v>108</v>
      </c>
      <c r="C274" s="5" t="s">
        <v>111</v>
      </c>
    </row>
    <row r="275" spans="1:3" x14ac:dyDescent="0.25">
      <c r="A275" s="4">
        <v>45232</v>
      </c>
      <c r="B275" s="5" t="s">
        <v>108</v>
      </c>
      <c r="C275" s="5" t="s">
        <v>112</v>
      </c>
    </row>
    <row r="276" spans="1:3" x14ac:dyDescent="0.25">
      <c r="A276" s="4">
        <v>45245</v>
      </c>
      <c r="B276" s="5" t="s">
        <v>116</v>
      </c>
      <c r="C276" s="5" t="s">
        <v>113</v>
      </c>
    </row>
    <row r="277" spans="1:3" x14ac:dyDescent="0.25">
      <c r="A277" s="4">
        <v>45285</v>
      </c>
      <c r="B277" s="5" t="s">
        <v>99</v>
      </c>
      <c r="C277" s="5" t="s">
        <v>114</v>
      </c>
    </row>
    <row r="278" spans="1:3" x14ac:dyDescent="0.25">
      <c r="A278" s="6">
        <v>45292</v>
      </c>
      <c r="B278" s="7" t="s">
        <v>99</v>
      </c>
      <c r="C278" s="7" t="s">
        <v>100</v>
      </c>
    </row>
    <row r="279" spans="1:3" x14ac:dyDescent="0.25">
      <c r="A279" s="6">
        <v>45334</v>
      </c>
      <c r="B279" s="7" t="s">
        <v>99</v>
      </c>
      <c r="C279" s="7" t="s">
        <v>101</v>
      </c>
    </row>
    <row r="280" spans="1:3" x14ac:dyDescent="0.25">
      <c r="A280" s="6">
        <v>45335</v>
      </c>
      <c r="B280" s="7" t="s">
        <v>102</v>
      </c>
      <c r="C280" s="7" t="s">
        <v>101</v>
      </c>
    </row>
    <row r="281" spans="1:3" x14ac:dyDescent="0.25">
      <c r="A281" s="6">
        <v>45380</v>
      </c>
      <c r="B281" s="7" t="s">
        <v>103</v>
      </c>
      <c r="C281" s="7" t="s">
        <v>104</v>
      </c>
    </row>
    <row r="282" spans="1:3" x14ac:dyDescent="0.25">
      <c r="A282" s="6">
        <v>45403</v>
      </c>
      <c r="B282" s="7" t="s">
        <v>115</v>
      </c>
      <c r="C282" s="7" t="s">
        <v>106</v>
      </c>
    </row>
    <row r="283" spans="1:3" x14ac:dyDescent="0.25">
      <c r="A283" s="6">
        <v>45413</v>
      </c>
      <c r="B283" s="7" t="s">
        <v>116</v>
      </c>
      <c r="C283" s="7" t="s">
        <v>107</v>
      </c>
    </row>
    <row r="284" spans="1:3" x14ac:dyDescent="0.25">
      <c r="A284" s="6">
        <v>45442</v>
      </c>
      <c r="B284" s="7" t="s">
        <v>108</v>
      </c>
      <c r="C284" s="7" t="s">
        <v>109</v>
      </c>
    </row>
    <row r="285" spans="1:3" x14ac:dyDescent="0.25">
      <c r="A285" s="6">
        <v>45542</v>
      </c>
      <c r="B285" s="7" t="s">
        <v>105</v>
      </c>
      <c r="C285" s="7" t="s">
        <v>110</v>
      </c>
    </row>
    <row r="286" spans="1:3" x14ac:dyDescent="0.25">
      <c r="A286" s="6">
        <v>45577</v>
      </c>
      <c r="B286" s="7" t="s">
        <v>105</v>
      </c>
      <c r="C286" s="7" t="s">
        <v>111</v>
      </c>
    </row>
    <row r="287" spans="1:3" x14ac:dyDescent="0.25">
      <c r="A287" s="6">
        <v>45598</v>
      </c>
      <c r="B287" s="7" t="s">
        <v>105</v>
      </c>
      <c r="C287" s="7" t="s">
        <v>112</v>
      </c>
    </row>
    <row r="288" spans="1:3" x14ac:dyDescent="0.25">
      <c r="A288" s="6">
        <v>45611</v>
      </c>
      <c r="B288" s="7" t="s">
        <v>103</v>
      </c>
      <c r="C288" s="7" t="s">
        <v>113</v>
      </c>
    </row>
    <row r="289" spans="1:11" x14ac:dyDescent="0.25">
      <c r="A289" s="6">
        <v>45616</v>
      </c>
      <c r="B289" s="7" t="s">
        <v>116</v>
      </c>
      <c r="C289" s="7" t="s">
        <v>117</v>
      </c>
      <c r="G289" s="1"/>
      <c r="K289" s="1"/>
    </row>
    <row r="290" spans="1:11" x14ac:dyDescent="0.25">
      <c r="A290" s="6">
        <v>45651</v>
      </c>
      <c r="B290" s="7" t="s">
        <v>116</v>
      </c>
      <c r="C290" s="7" t="s">
        <v>114</v>
      </c>
    </row>
    <row r="291" spans="1:11" x14ac:dyDescent="0.25">
      <c r="A291" s="4">
        <v>45658</v>
      </c>
      <c r="B291" s="5" t="s">
        <v>116</v>
      </c>
      <c r="C291" s="5" t="s">
        <v>100</v>
      </c>
    </row>
    <row r="292" spans="1:11" x14ac:dyDescent="0.25">
      <c r="A292" s="4">
        <v>45719</v>
      </c>
      <c r="B292" s="5" t="s">
        <v>99</v>
      </c>
      <c r="C292" s="5" t="s">
        <v>101</v>
      </c>
    </row>
    <row r="293" spans="1:11" x14ac:dyDescent="0.25">
      <c r="A293" s="4">
        <v>45720</v>
      </c>
      <c r="B293" s="5" t="s">
        <v>102</v>
      </c>
      <c r="C293" s="5" t="s">
        <v>101</v>
      </c>
    </row>
    <row r="294" spans="1:11" x14ac:dyDescent="0.25">
      <c r="A294" s="4">
        <v>45765</v>
      </c>
      <c r="B294" s="5" t="s">
        <v>103</v>
      </c>
      <c r="C294" s="5" t="s">
        <v>104</v>
      </c>
    </row>
    <row r="295" spans="1:11" x14ac:dyDescent="0.25">
      <c r="A295" s="4">
        <v>45768</v>
      </c>
      <c r="B295" s="5" t="s">
        <v>99</v>
      </c>
      <c r="C295" s="5" t="s">
        <v>106</v>
      </c>
    </row>
    <row r="296" spans="1:11" x14ac:dyDescent="0.25">
      <c r="A296" s="4">
        <v>45778</v>
      </c>
      <c r="B296" s="5" t="s">
        <v>108</v>
      </c>
      <c r="C296" s="5" t="s">
        <v>107</v>
      </c>
    </row>
    <row r="297" spans="1:11" x14ac:dyDescent="0.25">
      <c r="A297" s="4">
        <v>45827</v>
      </c>
      <c r="B297" s="5" t="s">
        <v>108</v>
      </c>
      <c r="C297" s="5" t="s">
        <v>109</v>
      </c>
    </row>
    <row r="298" spans="1:11" x14ac:dyDescent="0.25">
      <c r="A298" s="4">
        <v>45907</v>
      </c>
      <c r="B298" s="5" t="s">
        <v>115</v>
      </c>
      <c r="C298" s="5" t="s">
        <v>110</v>
      </c>
    </row>
    <row r="299" spans="1:11" x14ac:dyDescent="0.25">
      <c r="A299" s="4">
        <v>45942</v>
      </c>
      <c r="B299" s="5" t="s">
        <v>115</v>
      </c>
      <c r="C299" s="5" t="s">
        <v>111</v>
      </c>
    </row>
    <row r="300" spans="1:11" x14ac:dyDescent="0.25">
      <c r="A300" s="4">
        <v>45963</v>
      </c>
      <c r="B300" s="5" t="s">
        <v>115</v>
      </c>
      <c r="C300" s="5" t="s">
        <v>112</v>
      </c>
    </row>
    <row r="301" spans="1:11" x14ac:dyDescent="0.25">
      <c r="A301" s="4">
        <v>45976</v>
      </c>
      <c r="B301" s="5" t="s">
        <v>105</v>
      </c>
      <c r="C301" s="5" t="s">
        <v>113</v>
      </c>
    </row>
    <row r="302" spans="1:11" x14ac:dyDescent="0.25">
      <c r="A302" s="4">
        <v>45981</v>
      </c>
      <c r="B302" s="5" t="s">
        <v>108</v>
      </c>
      <c r="C302" s="5" t="s">
        <v>117</v>
      </c>
      <c r="G302" s="1"/>
    </row>
    <row r="303" spans="1:11" x14ac:dyDescent="0.25">
      <c r="A303" s="4">
        <v>46016</v>
      </c>
      <c r="B303" s="5" t="s">
        <v>108</v>
      </c>
      <c r="C303" s="5" t="s">
        <v>114</v>
      </c>
    </row>
    <row r="304" spans="1:11" x14ac:dyDescent="0.25">
      <c r="A304" s="6">
        <v>46023</v>
      </c>
      <c r="B304" s="7" t="s">
        <v>108</v>
      </c>
      <c r="C304" s="7" t="s">
        <v>100</v>
      </c>
    </row>
    <row r="305" spans="1:7" x14ac:dyDescent="0.25">
      <c r="A305" s="6">
        <v>46069</v>
      </c>
      <c r="B305" s="7" t="s">
        <v>99</v>
      </c>
      <c r="C305" s="7" t="s">
        <v>101</v>
      </c>
    </row>
    <row r="306" spans="1:7" x14ac:dyDescent="0.25">
      <c r="A306" s="6">
        <v>46070</v>
      </c>
      <c r="B306" s="7" t="s">
        <v>102</v>
      </c>
      <c r="C306" s="7" t="s">
        <v>101</v>
      </c>
    </row>
    <row r="307" spans="1:7" x14ac:dyDescent="0.25">
      <c r="A307" s="6">
        <v>46115</v>
      </c>
      <c r="B307" s="7" t="s">
        <v>103</v>
      </c>
      <c r="C307" s="7" t="s">
        <v>104</v>
      </c>
    </row>
    <row r="308" spans="1:7" x14ac:dyDescent="0.25">
      <c r="A308" s="6">
        <v>46133</v>
      </c>
      <c r="B308" s="7" t="s">
        <v>102</v>
      </c>
      <c r="C308" s="7" t="s">
        <v>106</v>
      </c>
    </row>
    <row r="309" spans="1:7" x14ac:dyDescent="0.25">
      <c r="A309" s="6">
        <v>46143</v>
      </c>
      <c r="B309" s="7" t="s">
        <v>103</v>
      </c>
      <c r="C309" s="7" t="s">
        <v>107</v>
      </c>
    </row>
    <row r="310" spans="1:7" x14ac:dyDescent="0.25">
      <c r="A310" s="6">
        <v>46177</v>
      </c>
      <c r="B310" s="7" t="s">
        <v>108</v>
      </c>
      <c r="C310" s="7" t="s">
        <v>109</v>
      </c>
    </row>
    <row r="311" spans="1:7" x14ac:dyDescent="0.25">
      <c r="A311" s="6">
        <v>46272</v>
      </c>
      <c r="B311" s="7" t="s">
        <v>99</v>
      </c>
      <c r="C311" s="7" t="s">
        <v>110</v>
      </c>
    </row>
    <row r="312" spans="1:7" x14ac:dyDescent="0.25">
      <c r="A312" s="6">
        <v>46307</v>
      </c>
      <c r="B312" s="7" t="s">
        <v>99</v>
      </c>
      <c r="C312" s="7" t="s">
        <v>111</v>
      </c>
    </row>
    <row r="313" spans="1:7" x14ac:dyDescent="0.25">
      <c r="A313" s="6">
        <v>46328</v>
      </c>
      <c r="B313" s="7" t="s">
        <v>99</v>
      </c>
      <c r="C313" s="7" t="s">
        <v>112</v>
      </c>
    </row>
    <row r="314" spans="1:7" x14ac:dyDescent="0.25">
      <c r="A314" s="6">
        <v>46341</v>
      </c>
      <c r="B314" s="7" t="s">
        <v>115</v>
      </c>
      <c r="C314" s="7" t="s">
        <v>113</v>
      </c>
    </row>
    <row r="315" spans="1:7" x14ac:dyDescent="0.25">
      <c r="A315" s="6">
        <v>46346</v>
      </c>
      <c r="B315" s="7" t="s">
        <v>103</v>
      </c>
      <c r="C315" s="7" t="s">
        <v>117</v>
      </c>
      <c r="G315" s="1"/>
    </row>
    <row r="316" spans="1:7" x14ac:dyDescent="0.25">
      <c r="A316" s="6">
        <v>46381</v>
      </c>
      <c r="B316" s="7" t="s">
        <v>103</v>
      </c>
      <c r="C316" s="7" t="s">
        <v>114</v>
      </c>
    </row>
    <row r="317" spans="1:7" x14ac:dyDescent="0.25">
      <c r="A317" s="4">
        <v>46388</v>
      </c>
      <c r="B317" s="5" t="s">
        <v>103</v>
      </c>
      <c r="C317" s="5" t="s">
        <v>100</v>
      </c>
    </row>
    <row r="318" spans="1:7" x14ac:dyDescent="0.25">
      <c r="A318" s="4">
        <v>46426</v>
      </c>
      <c r="B318" s="5" t="s">
        <v>99</v>
      </c>
      <c r="C318" s="5" t="s">
        <v>101</v>
      </c>
    </row>
    <row r="319" spans="1:7" x14ac:dyDescent="0.25">
      <c r="A319" s="4">
        <v>46427</v>
      </c>
      <c r="B319" s="5" t="s">
        <v>102</v>
      </c>
      <c r="C319" s="5" t="s">
        <v>101</v>
      </c>
    </row>
    <row r="320" spans="1:7" x14ac:dyDescent="0.25">
      <c r="A320" s="4">
        <v>46472</v>
      </c>
      <c r="B320" s="5" t="s">
        <v>103</v>
      </c>
      <c r="C320" s="5" t="s">
        <v>104</v>
      </c>
    </row>
    <row r="321" spans="1:7" x14ac:dyDescent="0.25">
      <c r="A321" s="4">
        <v>46498</v>
      </c>
      <c r="B321" s="5" t="s">
        <v>116</v>
      </c>
      <c r="C321" s="5" t="s">
        <v>106</v>
      </c>
    </row>
    <row r="322" spans="1:7" x14ac:dyDescent="0.25">
      <c r="A322" s="4">
        <v>46508</v>
      </c>
      <c r="B322" s="5" t="s">
        <v>105</v>
      </c>
      <c r="C322" s="5" t="s">
        <v>107</v>
      </c>
    </row>
    <row r="323" spans="1:7" x14ac:dyDescent="0.25">
      <c r="A323" s="4">
        <v>46534</v>
      </c>
      <c r="B323" s="5" t="s">
        <v>108</v>
      </c>
      <c r="C323" s="5" t="s">
        <v>109</v>
      </c>
    </row>
    <row r="324" spans="1:7" x14ac:dyDescent="0.25">
      <c r="A324" s="4">
        <v>46637</v>
      </c>
      <c r="B324" s="5" t="s">
        <v>102</v>
      </c>
      <c r="C324" s="5" t="s">
        <v>110</v>
      </c>
    </row>
    <row r="325" spans="1:7" x14ac:dyDescent="0.25">
      <c r="A325" s="4">
        <v>46672</v>
      </c>
      <c r="B325" s="5" t="s">
        <v>102</v>
      </c>
      <c r="C325" s="5" t="s">
        <v>111</v>
      </c>
    </row>
    <row r="326" spans="1:7" x14ac:dyDescent="0.25">
      <c r="A326" s="4">
        <v>46693</v>
      </c>
      <c r="B326" s="5" t="s">
        <v>102</v>
      </c>
      <c r="C326" s="5" t="s">
        <v>112</v>
      </c>
    </row>
    <row r="327" spans="1:7" x14ac:dyDescent="0.25">
      <c r="A327" s="4">
        <v>46706</v>
      </c>
      <c r="B327" s="5" t="s">
        <v>99</v>
      </c>
      <c r="C327" s="5" t="s">
        <v>113</v>
      </c>
    </row>
    <row r="328" spans="1:7" x14ac:dyDescent="0.25">
      <c r="A328" s="4">
        <v>46711</v>
      </c>
      <c r="B328" s="5" t="s">
        <v>105</v>
      </c>
      <c r="C328" s="5" t="s">
        <v>117</v>
      </c>
      <c r="G328" s="1"/>
    </row>
    <row r="329" spans="1:7" x14ac:dyDescent="0.25">
      <c r="A329" s="4">
        <v>46746</v>
      </c>
      <c r="B329" s="5" t="s">
        <v>105</v>
      </c>
      <c r="C329" s="5" t="s">
        <v>114</v>
      </c>
    </row>
    <row r="330" spans="1:7" x14ac:dyDescent="0.25">
      <c r="A330" s="6">
        <v>46753</v>
      </c>
      <c r="B330" s="7" t="s">
        <v>105</v>
      </c>
      <c r="C330" s="7" t="s">
        <v>100</v>
      </c>
    </row>
    <row r="331" spans="1:7" x14ac:dyDescent="0.25">
      <c r="A331" s="6">
        <v>46811</v>
      </c>
      <c r="B331" s="7" t="s">
        <v>99</v>
      </c>
      <c r="C331" s="7" t="s">
        <v>101</v>
      </c>
    </row>
    <row r="332" spans="1:7" x14ac:dyDescent="0.25">
      <c r="A332" s="6">
        <v>46812</v>
      </c>
      <c r="B332" s="7" t="s">
        <v>102</v>
      </c>
      <c r="C332" s="7" t="s">
        <v>101</v>
      </c>
    </row>
    <row r="333" spans="1:7" x14ac:dyDescent="0.25">
      <c r="A333" s="6">
        <v>46857</v>
      </c>
      <c r="B333" s="7" t="s">
        <v>103</v>
      </c>
      <c r="C333" s="7" t="s">
        <v>104</v>
      </c>
    </row>
    <row r="334" spans="1:7" x14ac:dyDescent="0.25">
      <c r="A334" s="6">
        <v>46864</v>
      </c>
      <c r="B334" s="7" t="s">
        <v>103</v>
      </c>
      <c r="C334" s="7" t="s">
        <v>106</v>
      </c>
    </row>
    <row r="335" spans="1:7" x14ac:dyDescent="0.25">
      <c r="A335" s="6">
        <v>46874</v>
      </c>
      <c r="B335" s="7" t="s">
        <v>99</v>
      </c>
      <c r="C335" s="7" t="s">
        <v>107</v>
      </c>
    </row>
    <row r="336" spans="1:7" x14ac:dyDescent="0.25">
      <c r="A336" s="6">
        <v>46919</v>
      </c>
      <c r="B336" s="7" t="s">
        <v>108</v>
      </c>
      <c r="C336" s="7" t="s">
        <v>109</v>
      </c>
    </row>
    <row r="337" spans="1:7" x14ac:dyDescent="0.25">
      <c r="A337" s="6">
        <v>47003</v>
      </c>
      <c r="B337" s="7" t="s">
        <v>108</v>
      </c>
      <c r="C337" s="7" t="s">
        <v>110</v>
      </c>
    </row>
    <row r="338" spans="1:7" x14ac:dyDescent="0.25">
      <c r="A338" s="6">
        <v>47038</v>
      </c>
      <c r="B338" s="7" t="s">
        <v>108</v>
      </c>
      <c r="C338" s="7" t="s">
        <v>111</v>
      </c>
    </row>
    <row r="339" spans="1:7" x14ac:dyDescent="0.25">
      <c r="A339" s="6">
        <v>47059</v>
      </c>
      <c r="B339" s="7" t="s">
        <v>108</v>
      </c>
      <c r="C339" s="7" t="s">
        <v>112</v>
      </c>
    </row>
    <row r="340" spans="1:7" x14ac:dyDescent="0.25">
      <c r="A340" s="6">
        <v>47072</v>
      </c>
      <c r="B340" s="7" t="s">
        <v>116</v>
      </c>
      <c r="C340" s="7" t="s">
        <v>113</v>
      </c>
    </row>
    <row r="341" spans="1:7" x14ac:dyDescent="0.25">
      <c r="A341" s="6">
        <v>47077</v>
      </c>
      <c r="B341" s="7" t="s">
        <v>99</v>
      </c>
      <c r="C341" s="7" t="s">
        <v>117</v>
      </c>
      <c r="G341" s="1"/>
    </row>
    <row r="342" spans="1:7" x14ac:dyDescent="0.25">
      <c r="A342" s="6">
        <v>47112</v>
      </c>
      <c r="B342" s="7" t="s">
        <v>99</v>
      </c>
      <c r="C342" s="7" t="s">
        <v>114</v>
      </c>
    </row>
    <row r="343" spans="1:7" x14ac:dyDescent="0.25">
      <c r="A343" s="4">
        <v>47119</v>
      </c>
      <c r="B343" s="5" t="s">
        <v>99</v>
      </c>
      <c r="C343" s="5" t="s">
        <v>100</v>
      </c>
    </row>
    <row r="344" spans="1:7" x14ac:dyDescent="0.25">
      <c r="A344" s="4">
        <v>47161</v>
      </c>
      <c r="B344" s="5" t="s">
        <v>99</v>
      </c>
      <c r="C344" s="5" t="s">
        <v>101</v>
      </c>
    </row>
    <row r="345" spans="1:7" x14ac:dyDescent="0.25">
      <c r="A345" s="4">
        <v>47162</v>
      </c>
      <c r="B345" s="5" t="s">
        <v>102</v>
      </c>
      <c r="C345" s="5" t="s">
        <v>101</v>
      </c>
    </row>
    <row r="346" spans="1:7" x14ac:dyDescent="0.25">
      <c r="A346" s="4">
        <v>47207</v>
      </c>
      <c r="B346" s="5" t="s">
        <v>103</v>
      </c>
      <c r="C346" s="5" t="s">
        <v>104</v>
      </c>
    </row>
    <row r="347" spans="1:7" x14ac:dyDescent="0.25">
      <c r="A347" s="4">
        <v>47229</v>
      </c>
      <c r="B347" s="5" t="s">
        <v>105</v>
      </c>
      <c r="C347" s="5" t="s">
        <v>106</v>
      </c>
    </row>
    <row r="348" spans="1:7" x14ac:dyDescent="0.25">
      <c r="A348" s="4">
        <v>47239</v>
      </c>
      <c r="B348" s="5" t="s">
        <v>102</v>
      </c>
      <c r="C348" s="5" t="s">
        <v>107</v>
      </c>
    </row>
    <row r="349" spans="1:7" x14ac:dyDescent="0.25">
      <c r="A349" s="4">
        <v>47269</v>
      </c>
      <c r="B349" s="5" t="s">
        <v>108</v>
      </c>
      <c r="C349" s="5" t="s">
        <v>109</v>
      </c>
    </row>
    <row r="350" spans="1:7" x14ac:dyDescent="0.25">
      <c r="A350" s="4">
        <v>47368</v>
      </c>
      <c r="B350" s="5" t="s">
        <v>103</v>
      </c>
      <c r="C350" s="5" t="s">
        <v>110</v>
      </c>
    </row>
    <row r="351" spans="1:7" x14ac:dyDescent="0.25">
      <c r="A351" s="4">
        <v>47403</v>
      </c>
      <c r="B351" s="5" t="s">
        <v>103</v>
      </c>
      <c r="C351" s="5" t="s">
        <v>111</v>
      </c>
    </row>
    <row r="352" spans="1:7" x14ac:dyDescent="0.25">
      <c r="A352" s="4">
        <v>47424</v>
      </c>
      <c r="B352" s="5" t="s">
        <v>103</v>
      </c>
      <c r="C352" s="5" t="s">
        <v>112</v>
      </c>
    </row>
    <row r="353" spans="1:7" x14ac:dyDescent="0.25">
      <c r="A353" s="4">
        <v>47437</v>
      </c>
      <c r="B353" s="5" t="s">
        <v>108</v>
      </c>
      <c r="C353" s="5" t="s">
        <v>113</v>
      </c>
    </row>
    <row r="354" spans="1:7" x14ac:dyDescent="0.25">
      <c r="A354" s="4">
        <v>47442</v>
      </c>
      <c r="B354" s="5" t="s">
        <v>102</v>
      </c>
      <c r="C354" s="5" t="s">
        <v>117</v>
      </c>
      <c r="G354" s="1"/>
    </row>
    <row r="355" spans="1:7" x14ac:dyDescent="0.25">
      <c r="A355" s="4">
        <v>47477</v>
      </c>
      <c r="B355" s="5" t="s">
        <v>102</v>
      </c>
      <c r="C355" s="5" t="s">
        <v>114</v>
      </c>
    </row>
    <row r="356" spans="1:7" x14ac:dyDescent="0.25">
      <c r="A356" s="6">
        <v>47484</v>
      </c>
      <c r="B356" s="7" t="s">
        <v>102</v>
      </c>
      <c r="C356" s="7" t="s">
        <v>100</v>
      </c>
    </row>
    <row r="357" spans="1:7" x14ac:dyDescent="0.25">
      <c r="A357" s="6">
        <v>47546</v>
      </c>
      <c r="B357" s="7" t="s">
        <v>99</v>
      </c>
      <c r="C357" s="7" t="s">
        <v>101</v>
      </c>
    </row>
    <row r="358" spans="1:7" x14ac:dyDescent="0.25">
      <c r="A358" s="6">
        <v>47547</v>
      </c>
      <c r="B358" s="7" t="s">
        <v>102</v>
      </c>
      <c r="C358" s="7" t="s">
        <v>101</v>
      </c>
    </row>
    <row r="359" spans="1:7" x14ac:dyDescent="0.25">
      <c r="A359" s="6">
        <v>47592</v>
      </c>
      <c r="B359" s="7" t="s">
        <v>103</v>
      </c>
      <c r="C359" s="7" t="s">
        <v>104</v>
      </c>
    </row>
    <row r="360" spans="1:7" x14ac:dyDescent="0.25">
      <c r="A360" s="6">
        <v>47594</v>
      </c>
      <c r="B360" s="7" t="s">
        <v>115</v>
      </c>
      <c r="C360" s="7" t="s">
        <v>106</v>
      </c>
    </row>
    <row r="361" spans="1:7" x14ac:dyDescent="0.25">
      <c r="A361" s="6">
        <v>47604</v>
      </c>
      <c r="B361" s="7" t="s">
        <v>116</v>
      </c>
      <c r="C361" s="7" t="s">
        <v>107</v>
      </c>
    </row>
    <row r="362" spans="1:7" x14ac:dyDescent="0.25">
      <c r="A362" s="6">
        <v>47654</v>
      </c>
      <c r="B362" s="7" t="s">
        <v>108</v>
      </c>
      <c r="C362" s="7" t="s">
        <v>109</v>
      </c>
    </row>
    <row r="363" spans="1:7" x14ac:dyDescent="0.25">
      <c r="A363" s="6">
        <v>47733</v>
      </c>
      <c r="B363" s="7" t="s">
        <v>105</v>
      </c>
      <c r="C363" s="7" t="s">
        <v>110</v>
      </c>
    </row>
    <row r="364" spans="1:7" x14ac:dyDescent="0.25">
      <c r="A364" s="6">
        <v>47768</v>
      </c>
      <c r="B364" s="7" t="s">
        <v>105</v>
      </c>
      <c r="C364" s="7" t="s">
        <v>111</v>
      </c>
    </row>
    <row r="365" spans="1:7" x14ac:dyDescent="0.25">
      <c r="A365" s="6">
        <v>47789</v>
      </c>
      <c r="B365" s="7" t="s">
        <v>105</v>
      </c>
      <c r="C365" s="7" t="s">
        <v>112</v>
      </c>
    </row>
    <row r="366" spans="1:7" x14ac:dyDescent="0.25">
      <c r="A366" s="6">
        <v>47802</v>
      </c>
      <c r="B366" s="7" t="s">
        <v>103</v>
      </c>
      <c r="C366" s="7" t="s">
        <v>113</v>
      </c>
    </row>
    <row r="367" spans="1:7" x14ac:dyDescent="0.25">
      <c r="A367" s="6">
        <v>47807</v>
      </c>
      <c r="B367" s="7" t="s">
        <v>116</v>
      </c>
      <c r="C367" s="7" t="s">
        <v>117</v>
      </c>
      <c r="G367" s="1"/>
    </row>
    <row r="368" spans="1:7" x14ac:dyDescent="0.25">
      <c r="A368" s="6">
        <v>47842</v>
      </c>
      <c r="B368" s="7" t="s">
        <v>116</v>
      </c>
      <c r="C368" s="7" t="s">
        <v>114</v>
      </c>
    </row>
    <row r="369" spans="1:7" x14ac:dyDescent="0.25">
      <c r="A369" s="4">
        <v>47849</v>
      </c>
      <c r="B369" s="5" t="s">
        <v>116</v>
      </c>
      <c r="C369" s="5" t="s">
        <v>100</v>
      </c>
    </row>
    <row r="370" spans="1:7" x14ac:dyDescent="0.25">
      <c r="A370" s="4">
        <v>47903</v>
      </c>
      <c r="B370" s="5" t="s">
        <v>99</v>
      </c>
      <c r="C370" s="5" t="s">
        <v>101</v>
      </c>
    </row>
    <row r="371" spans="1:7" x14ac:dyDescent="0.25">
      <c r="A371" s="4">
        <v>47904</v>
      </c>
      <c r="B371" s="5" t="s">
        <v>102</v>
      </c>
      <c r="C371" s="5" t="s">
        <v>101</v>
      </c>
    </row>
    <row r="372" spans="1:7" x14ac:dyDescent="0.25">
      <c r="A372" s="4">
        <v>47949</v>
      </c>
      <c r="B372" s="5" t="s">
        <v>103</v>
      </c>
      <c r="C372" s="5" t="s">
        <v>104</v>
      </c>
    </row>
    <row r="373" spans="1:7" x14ac:dyDescent="0.25">
      <c r="A373" s="4">
        <v>47959</v>
      </c>
      <c r="B373" s="5" t="s">
        <v>99</v>
      </c>
      <c r="C373" s="5" t="s">
        <v>106</v>
      </c>
    </row>
    <row r="374" spans="1:7" x14ac:dyDescent="0.25">
      <c r="A374" s="4">
        <v>47969</v>
      </c>
      <c r="B374" s="5" t="s">
        <v>108</v>
      </c>
      <c r="C374" s="5" t="s">
        <v>107</v>
      </c>
    </row>
    <row r="375" spans="1:7" x14ac:dyDescent="0.25">
      <c r="A375" s="4">
        <v>48011</v>
      </c>
      <c r="B375" s="5" t="s">
        <v>108</v>
      </c>
      <c r="C375" s="5" t="s">
        <v>109</v>
      </c>
    </row>
    <row r="376" spans="1:7" x14ac:dyDescent="0.25">
      <c r="A376" s="4">
        <v>48098</v>
      </c>
      <c r="B376" s="5" t="s">
        <v>115</v>
      </c>
      <c r="C376" s="5" t="s">
        <v>110</v>
      </c>
    </row>
    <row r="377" spans="1:7" x14ac:dyDescent="0.25">
      <c r="A377" s="4">
        <v>48133</v>
      </c>
      <c r="B377" s="5" t="s">
        <v>115</v>
      </c>
      <c r="C377" s="5" t="s">
        <v>111</v>
      </c>
    </row>
    <row r="378" spans="1:7" x14ac:dyDescent="0.25">
      <c r="A378" s="4">
        <v>48154</v>
      </c>
      <c r="B378" s="5" t="s">
        <v>115</v>
      </c>
      <c r="C378" s="5" t="s">
        <v>112</v>
      </c>
    </row>
    <row r="379" spans="1:7" x14ac:dyDescent="0.25">
      <c r="A379" s="4">
        <v>48167</v>
      </c>
      <c r="B379" s="5" t="s">
        <v>105</v>
      </c>
      <c r="C379" s="5" t="s">
        <v>113</v>
      </c>
    </row>
    <row r="380" spans="1:7" x14ac:dyDescent="0.25">
      <c r="A380" s="4">
        <v>48172</v>
      </c>
      <c r="B380" s="5" t="s">
        <v>108</v>
      </c>
      <c r="C380" s="5" t="s">
        <v>117</v>
      </c>
      <c r="G380" s="1"/>
    </row>
    <row r="381" spans="1:7" x14ac:dyDescent="0.25">
      <c r="A381" s="4">
        <v>48207</v>
      </c>
      <c r="B381" s="5" t="s">
        <v>108</v>
      </c>
      <c r="C381" s="5" t="s">
        <v>114</v>
      </c>
    </row>
    <row r="382" spans="1:7" x14ac:dyDescent="0.25">
      <c r="A382" s="6">
        <v>48214</v>
      </c>
      <c r="B382" s="7" t="s">
        <v>108</v>
      </c>
      <c r="C382" s="7" t="s">
        <v>100</v>
      </c>
    </row>
    <row r="383" spans="1:7" x14ac:dyDescent="0.25">
      <c r="A383" s="6">
        <v>48253</v>
      </c>
      <c r="B383" s="7" t="s">
        <v>99</v>
      </c>
      <c r="C383" s="7" t="s">
        <v>101</v>
      </c>
    </row>
    <row r="384" spans="1:7" x14ac:dyDescent="0.25">
      <c r="A384" s="6">
        <v>48254</v>
      </c>
      <c r="B384" s="7" t="s">
        <v>102</v>
      </c>
      <c r="C384" s="7" t="s">
        <v>101</v>
      </c>
    </row>
    <row r="385" spans="1:7" x14ac:dyDescent="0.25">
      <c r="A385" s="6">
        <v>48299</v>
      </c>
      <c r="B385" s="7" t="s">
        <v>103</v>
      </c>
      <c r="C385" s="7" t="s">
        <v>104</v>
      </c>
    </row>
    <row r="386" spans="1:7" x14ac:dyDescent="0.25">
      <c r="A386" s="6">
        <v>48325</v>
      </c>
      <c r="B386" s="7" t="s">
        <v>116</v>
      </c>
      <c r="C386" s="7" t="s">
        <v>106</v>
      </c>
    </row>
    <row r="387" spans="1:7" x14ac:dyDescent="0.25">
      <c r="A387" s="6">
        <v>48335</v>
      </c>
      <c r="B387" s="7" t="s">
        <v>105</v>
      </c>
      <c r="C387" s="7" t="s">
        <v>107</v>
      </c>
    </row>
    <row r="388" spans="1:7" x14ac:dyDescent="0.25">
      <c r="A388" s="6">
        <v>48361</v>
      </c>
      <c r="B388" s="7" t="s">
        <v>108</v>
      </c>
      <c r="C388" s="7" t="s">
        <v>109</v>
      </c>
    </row>
    <row r="389" spans="1:7" x14ac:dyDescent="0.25">
      <c r="A389" s="6">
        <v>48464</v>
      </c>
      <c r="B389" s="7" t="s">
        <v>102</v>
      </c>
      <c r="C389" s="7" t="s">
        <v>110</v>
      </c>
    </row>
    <row r="390" spans="1:7" x14ac:dyDescent="0.25">
      <c r="A390" s="6">
        <v>48499</v>
      </c>
      <c r="B390" s="7" t="s">
        <v>102</v>
      </c>
      <c r="C390" s="7" t="s">
        <v>111</v>
      </c>
    </row>
    <row r="391" spans="1:7" x14ac:dyDescent="0.25">
      <c r="A391" s="6">
        <v>48520</v>
      </c>
      <c r="B391" s="7" t="s">
        <v>102</v>
      </c>
      <c r="C391" s="7" t="s">
        <v>112</v>
      </c>
    </row>
    <row r="392" spans="1:7" x14ac:dyDescent="0.25">
      <c r="A392" s="6">
        <v>48533</v>
      </c>
      <c r="B392" s="7" t="s">
        <v>99</v>
      </c>
      <c r="C392" s="7" t="s">
        <v>113</v>
      </c>
    </row>
    <row r="393" spans="1:7" x14ac:dyDescent="0.25">
      <c r="A393" s="6">
        <v>48538</v>
      </c>
      <c r="B393" s="7" t="s">
        <v>105</v>
      </c>
      <c r="C393" s="7" t="s">
        <v>117</v>
      </c>
      <c r="G393" s="1"/>
    </row>
    <row r="394" spans="1:7" x14ac:dyDescent="0.25">
      <c r="A394" s="6">
        <v>48573</v>
      </c>
      <c r="B394" s="7" t="s">
        <v>105</v>
      </c>
      <c r="C394" s="7" t="s">
        <v>114</v>
      </c>
    </row>
    <row r="395" spans="1:7" x14ac:dyDescent="0.25">
      <c r="A395" s="4">
        <v>48580</v>
      </c>
      <c r="B395" s="5" t="s">
        <v>105</v>
      </c>
      <c r="C395" s="5" t="s">
        <v>100</v>
      </c>
    </row>
    <row r="396" spans="1:7" x14ac:dyDescent="0.25">
      <c r="A396" s="4">
        <v>48638</v>
      </c>
      <c r="B396" s="5" t="s">
        <v>99</v>
      </c>
      <c r="C396" s="5" t="s">
        <v>101</v>
      </c>
    </row>
    <row r="397" spans="1:7" x14ac:dyDescent="0.25">
      <c r="A397" s="4">
        <v>48639</v>
      </c>
      <c r="B397" s="5" t="s">
        <v>102</v>
      </c>
      <c r="C397" s="5" t="s">
        <v>101</v>
      </c>
    </row>
    <row r="398" spans="1:7" x14ac:dyDescent="0.25">
      <c r="A398" s="4">
        <v>48684</v>
      </c>
      <c r="B398" s="5" t="s">
        <v>103</v>
      </c>
      <c r="C398" s="5" t="s">
        <v>104</v>
      </c>
    </row>
    <row r="399" spans="1:7" x14ac:dyDescent="0.25">
      <c r="A399" s="4">
        <v>48690</v>
      </c>
      <c r="B399" s="5" t="s">
        <v>108</v>
      </c>
      <c r="C399" s="5" t="s">
        <v>106</v>
      </c>
    </row>
    <row r="400" spans="1:7" x14ac:dyDescent="0.25">
      <c r="A400" s="4">
        <v>48700</v>
      </c>
      <c r="B400" s="5" t="s">
        <v>115</v>
      </c>
      <c r="C400" s="5" t="s">
        <v>107</v>
      </c>
    </row>
    <row r="401" spans="1:7" x14ac:dyDescent="0.25">
      <c r="A401" s="4">
        <v>48746</v>
      </c>
      <c r="B401" s="5" t="s">
        <v>108</v>
      </c>
      <c r="C401" s="5" t="s">
        <v>109</v>
      </c>
    </row>
    <row r="402" spans="1:7" x14ac:dyDescent="0.25">
      <c r="A402" s="4">
        <v>48829</v>
      </c>
      <c r="B402" s="5" t="s">
        <v>116</v>
      </c>
      <c r="C402" s="5" t="s">
        <v>110</v>
      </c>
    </row>
    <row r="403" spans="1:7" x14ac:dyDescent="0.25">
      <c r="A403" s="4">
        <v>48864</v>
      </c>
      <c r="B403" s="5" t="s">
        <v>116</v>
      </c>
      <c r="C403" s="5" t="s">
        <v>111</v>
      </c>
    </row>
    <row r="404" spans="1:7" x14ac:dyDescent="0.25">
      <c r="A404" s="4">
        <v>48885</v>
      </c>
      <c r="B404" s="5" t="s">
        <v>116</v>
      </c>
      <c r="C404" s="5" t="s">
        <v>112</v>
      </c>
    </row>
    <row r="405" spans="1:7" x14ac:dyDescent="0.25">
      <c r="A405" s="4">
        <v>48898</v>
      </c>
      <c r="B405" s="5" t="s">
        <v>102</v>
      </c>
      <c r="C405" s="5" t="s">
        <v>113</v>
      </c>
    </row>
    <row r="406" spans="1:7" x14ac:dyDescent="0.25">
      <c r="A406" s="4">
        <v>48903</v>
      </c>
      <c r="B406" s="5" t="s">
        <v>115</v>
      </c>
      <c r="C406" s="5" t="s">
        <v>117</v>
      </c>
      <c r="G406" s="1"/>
    </row>
    <row r="407" spans="1:7" x14ac:dyDescent="0.25">
      <c r="A407" s="4">
        <v>48938</v>
      </c>
      <c r="B407" s="5" t="s">
        <v>115</v>
      </c>
      <c r="C407" s="5" t="s">
        <v>114</v>
      </c>
    </row>
    <row r="408" spans="1:7" x14ac:dyDescent="0.25">
      <c r="A408" s="6">
        <v>48945</v>
      </c>
      <c r="B408" s="7" t="s">
        <v>115</v>
      </c>
      <c r="C408" s="7" t="s">
        <v>100</v>
      </c>
    </row>
    <row r="409" spans="1:7" x14ac:dyDescent="0.25">
      <c r="A409" s="6">
        <v>48995</v>
      </c>
      <c r="B409" s="7" t="s">
        <v>99</v>
      </c>
      <c r="C409" s="7" t="s">
        <v>101</v>
      </c>
    </row>
    <row r="410" spans="1:7" x14ac:dyDescent="0.25">
      <c r="A410" s="6">
        <v>48996</v>
      </c>
      <c r="B410" s="7" t="s">
        <v>102</v>
      </c>
      <c r="C410" s="7" t="s">
        <v>101</v>
      </c>
    </row>
    <row r="411" spans="1:7" x14ac:dyDescent="0.25">
      <c r="A411" s="6">
        <v>49041</v>
      </c>
      <c r="B411" s="7" t="s">
        <v>103</v>
      </c>
      <c r="C411" s="7" t="s">
        <v>104</v>
      </c>
    </row>
    <row r="412" spans="1:7" x14ac:dyDescent="0.25">
      <c r="A412" s="6">
        <v>49055</v>
      </c>
      <c r="B412" s="7" t="s">
        <v>103</v>
      </c>
      <c r="C412" s="7" t="s">
        <v>106</v>
      </c>
    </row>
    <row r="413" spans="1:7" x14ac:dyDescent="0.25">
      <c r="A413" s="6">
        <v>49065</v>
      </c>
      <c r="B413" s="7" t="s">
        <v>99</v>
      </c>
      <c r="C413" s="7" t="s">
        <v>107</v>
      </c>
    </row>
    <row r="414" spans="1:7" x14ac:dyDescent="0.25">
      <c r="A414" s="6">
        <v>49103</v>
      </c>
      <c r="B414" s="7" t="s">
        <v>108</v>
      </c>
      <c r="C414" s="7" t="s">
        <v>109</v>
      </c>
    </row>
    <row r="415" spans="1:7" x14ac:dyDescent="0.25">
      <c r="A415" s="6">
        <v>49194</v>
      </c>
      <c r="B415" s="7" t="s">
        <v>108</v>
      </c>
      <c r="C415" s="7" t="s">
        <v>110</v>
      </c>
    </row>
    <row r="416" spans="1:7" x14ac:dyDescent="0.25">
      <c r="A416" s="6">
        <v>49229</v>
      </c>
      <c r="B416" s="7" t="s">
        <v>108</v>
      </c>
      <c r="C416" s="7" t="s">
        <v>111</v>
      </c>
    </row>
    <row r="417" spans="1:7" x14ac:dyDescent="0.25">
      <c r="A417" s="6">
        <v>49250</v>
      </c>
      <c r="B417" s="7" t="s">
        <v>108</v>
      </c>
      <c r="C417" s="7" t="s">
        <v>112</v>
      </c>
    </row>
    <row r="418" spans="1:7" x14ac:dyDescent="0.25">
      <c r="A418" s="6">
        <v>49263</v>
      </c>
      <c r="B418" s="7" t="s">
        <v>116</v>
      </c>
      <c r="C418" s="7" t="s">
        <v>113</v>
      </c>
    </row>
    <row r="419" spans="1:7" x14ac:dyDescent="0.25">
      <c r="A419" s="6">
        <v>49268</v>
      </c>
      <c r="B419" s="7" t="s">
        <v>99</v>
      </c>
      <c r="C419" s="7" t="s">
        <v>117</v>
      </c>
      <c r="G419" s="1"/>
    </row>
    <row r="420" spans="1:7" x14ac:dyDescent="0.25">
      <c r="A420" s="6">
        <v>49303</v>
      </c>
      <c r="B420" s="7" t="s">
        <v>99</v>
      </c>
      <c r="C420" s="7" t="s">
        <v>114</v>
      </c>
    </row>
    <row r="421" spans="1:7" x14ac:dyDescent="0.25">
      <c r="A421" s="4">
        <v>49310</v>
      </c>
      <c r="B421" s="5" t="s">
        <v>99</v>
      </c>
      <c r="C421" s="5" t="s">
        <v>100</v>
      </c>
    </row>
    <row r="422" spans="1:7" x14ac:dyDescent="0.25">
      <c r="A422" s="4">
        <v>49345</v>
      </c>
      <c r="B422" s="5" t="s">
        <v>99</v>
      </c>
      <c r="C422" s="5" t="s">
        <v>101</v>
      </c>
    </row>
    <row r="423" spans="1:7" x14ac:dyDescent="0.25">
      <c r="A423" s="4">
        <v>49346</v>
      </c>
      <c r="B423" s="5" t="s">
        <v>102</v>
      </c>
      <c r="C423" s="5" t="s">
        <v>101</v>
      </c>
    </row>
    <row r="424" spans="1:7" x14ac:dyDescent="0.25">
      <c r="A424" s="4">
        <v>49391</v>
      </c>
      <c r="B424" s="5" t="s">
        <v>103</v>
      </c>
      <c r="C424" s="5" t="s">
        <v>104</v>
      </c>
    </row>
    <row r="425" spans="1:7" x14ac:dyDescent="0.25">
      <c r="A425" s="4">
        <v>49420</v>
      </c>
      <c r="B425" s="5" t="s">
        <v>105</v>
      </c>
      <c r="C425" s="5" t="s">
        <v>106</v>
      </c>
    </row>
    <row r="426" spans="1:7" x14ac:dyDescent="0.25">
      <c r="A426" s="4">
        <v>49430</v>
      </c>
      <c r="B426" s="5" t="s">
        <v>102</v>
      </c>
      <c r="C426" s="5" t="s">
        <v>107</v>
      </c>
    </row>
    <row r="427" spans="1:7" x14ac:dyDescent="0.25">
      <c r="A427" s="4">
        <v>49453</v>
      </c>
      <c r="B427" s="5" t="s">
        <v>108</v>
      </c>
      <c r="C427" s="5" t="s">
        <v>109</v>
      </c>
    </row>
    <row r="428" spans="1:7" x14ac:dyDescent="0.25">
      <c r="A428" s="4">
        <v>49559</v>
      </c>
      <c r="B428" s="5" t="s">
        <v>103</v>
      </c>
      <c r="C428" s="5" t="s">
        <v>110</v>
      </c>
    </row>
    <row r="429" spans="1:7" x14ac:dyDescent="0.25">
      <c r="A429" s="4">
        <v>49594</v>
      </c>
      <c r="B429" s="5" t="s">
        <v>103</v>
      </c>
      <c r="C429" s="5" t="s">
        <v>111</v>
      </c>
    </row>
    <row r="430" spans="1:7" x14ac:dyDescent="0.25">
      <c r="A430" s="4">
        <v>49615</v>
      </c>
      <c r="B430" s="5" t="s">
        <v>103</v>
      </c>
      <c r="C430" s="5" t="s">
        <v>112</v>
      </c>
    </row>
    <row r="431" spans="1:7" x14ac:dyDescent="0.25">
      <c r="A431" s="4">
        <v>49628</v>
      </c>
      <c r="B431" s="5" t="s">
        <v>108</v>
      </c>
      <c r="C431" s="5" t="s">
        <v>113</v>
      </c>
    </row>
    <row r="432" spans="1:7" x14ac:dyDescent="0.25">
      <c r="A432" s="4">
        <v>49633</v>
      </c>
      <c r="B432" s="5" t="s">
        <v>102</v>
      </c>
      <c r="C432" s="5" t="s">
        <v>117</v>
      </c>
      <c r="G432" s="1"/>
    </row>
    <row r="433" spans="1:7" x14ac:dyDescent="0.25">
      <c r="A433" s="4">
        <v>49668</v>
      </c>
      <c r="B433" s="5" t="s">
        <v>102</v>
      </c>
      <c r="C433" s="5" t="s">
        <v>114</v>
      </c>
    </row>
    <row r="434" spans="1:7" x14ac:dyDescent="0.25">
      <c r="A434" s="6">
        <v>49675</v>
      </c>
      <c r="B434" s="7" t="s">
        <v>102</v>
      </c>
      <c r="C434" s="7" t="s">
        <v>100</v>
      </c>
    </row>
    <row r="435" spans="1:7" x14ac:dyDescent="0.25">
      <c r="A435" s="6">
        <v>49730</v>
      </c>
      <c r="B435" s="7" t="s">
        <v>99</v>
      </c>
      <c r="C435" s="7" t="s">
        <v>101</v>
      </c>
    </row>
    <row r="436" spans="1:7" x14ac:dyDescent="0.25">
      <c r="A436" s="6">
        <v>49731</v>
      </c>
      <c r="B436" s="7" t="s">
        <v>102</v>
      </c>
      <c r="C436" s="7" t="s">
        <v>101</v>
      </c>
    </row>
    <row r="437" spans="1:7" x14ac:dyDescent="0.25">
      <c r="A437" s="6">
        <v>49776</v>
      </c>
      <c r="B437" s="7" t="s">
        <v>103</v>
      </c>
      <c r="C437" s="7" t="s">
        <v>104</v>
      </c>
    </row>
    <row r="438" spans="1:7" x14ac:dyDescent="0.25">
      <c r="A438" s="6">
        <v>49786</v>
      </c>
      <c r="B438" s="7" t="s">
        <v>99</v>
      </c>
      <c r="C438" s="7" t="s">
        <v>106</v>
      </c>
    </row>
    <row r="439" spans="1:7" x14ac:dyDescent="0.25">
      <c r="A439" s="6">
        <v>49796</v>
      </c>
      <c r="B439" s="7" t="s">
        <v>108</v>
      </c>
      <c r="C439" s="7" t="s">
        <v>107</v>
      </c>
    </row>
    <row r="440" spans="1:7" x14ac:dyDescent="0.25">
      <c r="A440" s="6">
        <v>49838</v>
      </c>
      <c r="B440" s="7" t="s">
        <v>108</v>
      </c>
      <c r="C440" s="7" t="s">
        <v>109</v>
      </c>
    </row>
    <row r="441" spans="1:7" x14ac:dyDescent="0.25">
      <c r="A441" s="6">
        <v>49925</v>
      </c>
      <c r="B441" s="7" t="s">
        <v>115</v>
      </c>
      <c r="C441" s="7" t="s">
        <v>110</v>
      </c>
    </row>
    <row r="442" spans="1:7" x14ac:dyDescent="0.25">
      <c r="A442" s="6">
        <v>49960</v>
      </c>
      <c r="B442" s="7" t="s">
        <v>115</v>
      </c>
      <c r="C442" s="7" t="s">
        <v>111</v>
      </c>
    </row>
    <row r="443" spans="1:7" x14ac:dyDescent="0.25">
      <c r="A443" s="6">
        <v>49981</v>
      </c>
      <c r="B443" s="7" t="s">
        <v>115</v>
      </c>
      <c r="C443" s="7" t="s">
        <v>112</v>
      </c>
    </row>
    <row r="444" spans="1:7" x14ac:dyDescent="0.25">
      <c r="A444" s="6">
        <v>49994</v>
      </c>
      <c r="B444" s="7" t="s">
        <v>105</v>
      </c>
      <c r="C444" s="7" t="s">
        <v>113</v>
      </c>
    </row>
    <row r="445" spans="1:7" x14ac:dyDescent="0.25">
      <c r="A445" s="6">
        <v>49999</v>
      </c>
      <c r="B445" s="7" t="s">
        <v>108</v>
      </c>
      <c r="C445" s="7" t="s">
        <v>117</v>
      </c>
      <c r="G445" s="1"/>
    </row>
    <row r="446" spans="1:7" x14ac:dyDescent="0.25">
      <c r="A446" s="6">
        <v>50034</v>
      </c>
      <c r="B446" s="7" t="s">
        <v>108</v>
      </c>
      <c r="C446" s="7" t="s">
        <v>114</v>
      </c>
    </row>
    <row r="447" spans="1:7" x14ac:dyDescent="0.25">
      <c r="A447" s="4">
        <v>50041</v>
      </c>
      <c r="B447" s="5" t="s">
        <v>108</v>
      </c>
      <c r="C447" s="5" t="s">
        <v>100</v>
      </c>
    </row>
    <row r="448" spans="1:7" x14ac:dyDescent="0.25">
      <c r="A448" s="4">
        <v>50087</v>
      </c>
      <c r="B448" s="5" t="s">
        <v>99</v>
      </c>
      <c r="C448" s="5" t="s">
        <v>101</v>
      </c>
    </row>
    <row r="449" spans="1:7" x14ac:dyDescent="0.25">
      <c r="A449" s="4">
        <v>50088</v>
      </c>
      <c r="B449" s="5" t="s">
        <v>102</v>
      </c>
      <c r="C449" s="5" t="s">
        <v>101</v>
      </c>
    </row>
    <row r="450" spans="1:7" x14ac:dyDescent="0.25">
      <c r="A450" s="4">
        <v>50133</v>
      </c>
      <c r="B450" s="5" t="s">
        <v>103</v>
      </c>
      <c r="C450" s="5" t="s">
        <v>104</v>
      </c>
    </row>
    <row r="451" spans="1:7" x14ac:dyDescent="0.25">
      <c r="A451" s="4">
        <v>50151</v>
      </c>
      <c r="B451" s="5" t="s">
        <v>102</v>
      </c>
      <c r="C451" s="5" t="s">
        <v>106</v>
      </c>
    </row>
    <row r="452" spans="1:7" x14ac:dyDescent="0.25">
      <c r="A452" s="4">
        <v>50161</v>
      </c>
      <c r="B452" s="5" t="s">
        <v>103</v>
      </c>
      <c r="C452" s="5" t="s">
        <v>107</v>
      </c>
    </row>
    <row r="453" spans="1:7" x14ac:dyDescent="0.25">
      <c r="A453" s="4">
        <v>50195</v>
      </c>
      <c r="B453" s="5" t="s">
        <v>108</v>
      </c>
      <c r="C453" s="5" t="s">
        <v>109</v>
      </c>
    </row>
    <row r="454" spans="1:7" x14ac:dyDescent="0.25">
      <c r="A454" s="4">
        <v>50290</v>
      </c>
      <c r="B454" s="5" t="s">
        <v>99</v>
      </c>
      <c r="C454" s="5" t="s">
        <v>110</v>
      </c>
    </row>
    <row r="455" spans="1:7" x14ac:dyDescent="0.25">
      <c r="A455" s="4">
        <v>50325</v>
      </c>
      <c r="B455" s="5" t="s">
        <v>99</v>
      </c>
      <c r="C455" s="5" t="s">
        <v>111</v>
      </c>
    </row>
    <row r="456" spans="1:7" x14ac:dyDescent="0.25">
      <c r="A456" s="4">
        <v>50346</v>
      </c>
      <c r="B456" s="5" t="s">
        <v>99</v>
      </c>
      <c r="C456" s="5" t="s">
        <v>112</v>
      </c>
    </row>
    <row r="457" spans="1:7" x14ac:dyDescent="0.25">
      <c r="A457" s="4">
        <v>50359</v>
      </c>
      <c r="B457" s="5" t="s">
        <v>115</v>
      </c>
      <c r="C457" s="5" t="s">
        <v>113</v>
      </c>
    </row>
    <row r="458" spans="1:7" x14ac:dyDescent="0.25">
      <c r="A458" s="4">
        <v>50364</v>
      </c>
      <c r="B458" s="5" t="s">
        <v>103</v>
      </c>
      <c r="C458" s="5" t="s">
        <v>117</v>
      </c>
      <c r="G458" s="1"/>
    </row>
    <row r="459" spans="1:7" x14ac:dyDescent="0.25">
      <c r="A459" s="4">
        <v>50399</v>
      </c>
      <c r="B459" s="5" t="s">
        <v>103</v>
      </c>
      <c r="C459" s="5" t="s">
        <v>114</v>
      </c>
    </row>
    <row r="460" spans="1:7" x14ac:dyDescent="0.25">
      <c r="A460" s="6">
        <v>50406</v>
      </c>
      <c r="B460" s="7" t="s">
        <v>103</v>
      </c>
      <c r="C460" s="7" t="s">
        <v>100</v>
      </c>
    </row>
    <row r="461" spans="1:7" x14ac:dyDescent="0.25">
      <c r="A461" s="6">
        <v>50472</v>
      </c>
      <c r="B461" s="7" t="s">
        <v>99</v>
      </c>
      <c r="C461" s="7" t="s">
        <v>101</v>
      </c>
    </row>
    <row r="462" spans="1:7" x14ac:dyDescent="0.25">
      <c r="A462" s="6">
        <v>50473</v>
      </c>
      <c r="B462" s="7" t="s">
        <v>102</v>
      </c>
      <c r="C462" s="7" t="s">
        <v>101</v>
      </c>
    </row>
    <row r="463" spans="1:7" x14ac:dyDescent="0.25">
      <c r="A463" s="6">
        <v>50516</v>
      </c>
      <c r="B463" s="7" t="s">
        <v>116</v>
      </c>
      <c r="C463" s="7" t="s">
        <v>106</v>
      </c>
    </row>
    <row r="464" spans="1:7" x14ac:dyDescent="0.25">
      <c r="A464" s="6">
        <v>50518</v>
      </c>
      <c r="B464" s="7" t="s">
        <v>103</v>
      </c>
      <c r="C464" s="7" t="s">
        <v>104</v>
      </c>
    </row>
    <row r="465" spans="1:7" x14ac:dyDescent="0.25">
      <c r="A465" s="6">
        <v>50526</v>
      </c>
      <c r="B465" s="7" t="s">
        <v>105</v>
      </c>
      <c r="C465" s="7" t="s">
        <v>107</v>
      </c>
    </row>
    <row r="466" spans="1:7" x14ac:dyDescent="0.25">
      <c r="A466" s="6">
        <v>50580</v>
      </c>
      <c r="B466" s="7" t="s">
        <v>108</v>
      </c>
      <c r="C466" s="7" t="s">
        <v>109</v>
      </c>
    </row>
    <row r="467" spans="1:7" x14ac:dyDescent="0.25">
      <c r="A467" s="6">
        <v>50655</v>
      </c>
      <c r="B467" s="7" t="s">
        <v>102</v>
      </c>
      <c r="C467" s="7" t="s">
        <v>110</v>
      </c>
    </row>
    <row r="468" spans="1:7" x14ac:dyDescent="0.25">
      <c r="A468" s="6">
        <v>50690</v>
      </c>
      <c r="B468" s="7" t="s">
        <v>102</v>
      </c>
      <c r="C468" s="7" t="s">
        <v>111</v>
      </c>
    </row>
    <row r="469" spans="1:7" x14ac:dyDescent="0.25">
      <c r="A469" s="6">
        <v>50711</v>
      </c>
      <c r="B469" s="7" t="s">
        <v>102</v>
      </c>
      <c r="C469" s="7" t="s">
        <v>112</v>
      </c>
    </row>
    <row r="470" spans="1:7" x14ac:dyDescent="0.25">
      <c r="A470" s="6">
        <v>50724</v>
      </c>
      <c r="B470" s="7" t="s">
        <v>99</v>
      </c>
      <c r="C470" s="7" t="s">
        <v>113</v>
      </c>
    </row>
    <row r="471" spans="1:7" x14ac:dyDescent="0.25">
      <c r="A471" s="6">
        <v>50729</v>
      </c>
      <c r="B471" s="7" t="s">
        <v>105</v>
      </c>
      <c r="C471" s="7" t="s">
        <v>117</v>
      </c>
      <c r="G471" s="1"/>
    </row>
    <row r="472" spans="1:7" x14ac:dyDescent="0.25">
      <c r="A472" s="6">
        <v>50764</v>
      </c>
      <c r="B472" s="7" t="s">
        <v>105</v>
      </c>
      <c r="C472" s="7" t="s">
        <v>114</v>
      </c>
    </row>
    <row r="473" spans="1:7" x14ac:dyDescent="0.25">
      <c r="A473" s="4">
        <v>50771</v>
      </c>
      <c r="B473" s="5" t="s">
        <v>105</v>
      </c>
      <c r="C473" s="5" t="s">
        <v>100</v>
      </c>
    </row>
    <row r="474" spans="1:7" x14ac:dyDescent="0.25">
      <c r="A474" s="4">
        <v>50822</v>
      </c>
      <c r="B474" s="5" t="s">
        <v>99</v>
      </c>
      <c r="C474" s="5" t="s">
        <v>101</v>
      </c>
    </row>
    <row r="475" spans="1:7" x14ac:dyDescent="0.25">
      <c r="A475" s="4">
        <v>50823</v>
      </c>
      <c r="B475" s="5" t="s">
        <v>102</v>
      </c>
      <c r="C475" s="5" t="s">
        <v>101</v>
      </c>
    </row>
    <row r="476" spans="1:7" x14ac:dyDescent="0.25">
      <c r="A476" s="4">
        <v>50868</v>
      </c>
      <c r="B476" s="5" t="s">
        <v>103</v>
      </c>
      <c r="C476" s="5" t="s">
        <v>104</v>
      </c>
    </row>
    <row r="477" spans="1:7" x14ac:dyDescent="0.25">
      <c r="A477" s="4">
        <v>50881</v>
      </c>
      <c r="B477" s="5" t="s">
        <v>108</v>
      </c>
      <c r="C477" s="5" t="s">
        <v>106</v>
      </c>
    </row>
    <row r="478" spans="1:7" x14ac:dyDescent="0.25">
      <c r="A478" s="4">
        <v>50891</v>
      </c>
      <c r="B478" s="5" t="s">
        <v>115</v>
      </c>
      <c r="C478" s="5" t="s">
        <v>107</v>
      </c>
    </row>
    <row r="479" spans="1:7" x14ac:dyDescent="0.25">
      <c r="A479" s="4">
        <v>50930</v>
      </c>
      <c r="B479" s="5" t="s">
        <v>108</v>
      </c>
      <c r="C479" s="5" t="s">
        <v>109</v>
      </c>
    </row>
    <row r="480" spans="1:7" x14ac:dyDescent="0.25">
      <c r="A480" s="4">
        <v>51020</v>
      </c>
      <c r="B480" s="5" t="s">
        <v>116</v>
      </c>
      <c r="C480" s="5" t="s">
        <v>110</v>
      </c>
    </row>
    <row r="481" spans="1:7" x14ac:dyDescent="0.25">
      <c r="A481" s="4">
        <v>51055</v>
      </c>
      <c r="B481" s="5" t="s">
        <v>116</v>
      </c>
      <c r="C481" s="5" t="s">
        <v>111</v>
      </c>
    </row>
    <row r="482" spans="1:7" x14ac:dyDescent="0.25">
      <c r="A482" s="4">
        <v>51076</v>
      </c>
      <c r="B482" s="5" t="s">
        <v>116</v>
      </c>
      <c r="C482" s="5" t="s">
        <v>112</v>
      </c>
    </row>
    <row r="483" spans="1:7" x14ac:dyDescent="0.25">
      <c r="A483" s="4">
        <v>51089</v>
      </c>
      <c r="B483" s="5" t="s">
        <v>102</v>
      </c>
      <c r="C483" s="5" t="s">
        <v>113</v>
      </c>
    </row>
    <row r="484" spans="1:7" x14ac:dyDescent="0.25">
      <c r="A484" s="4">
        <v>51094</v>
      </c>
      <c r="B484" s="5" t="s">
        <v>115</v>
      </c>
      <c r="C484" s="5" t="s">
        <v>117</v>
      </c>
      <c r="G484" s="1"/>
    </row>
    <row r="485" spans="1:7" x14ac:dyDescent="0.25">
      <c r="A485" s="4">
        <v>51129</v>
      </c>
      <c r="B485" s="5" t="s">
        <v>115</v>
      </c>
      <c r="C485" s="5" t="s">
        <v>114</v>
      </c>
    </row>
    <row r="486" spans="1:7" x14ac:dyDescent="0.25">
      <c r="A486" s="6">
        <v>51136</v>
      </c>
      <c r="B486" s="7" t="s">
        <v>115</v>
      </c>
      <c r="C486" s="7" t="s">
        <v>100</v>
      </c>
    </row>
    <row r="487" spans="1:7" x14ac:dyDescent="0.25">
      <c r="A487" s="6">
        <v>51179</v>
      </c>
      <c r="B487" s="7" t="s">
        <v>99</v>
      </c>
      <c r="C487" s="7" t="s">
        <v>101</v>
      </c>
    </row>
    <row r="488" spans="1:7" x14ac:dyDescent="0.25">
      <c r="A488" s="6">
        <v>51180</v>
      </c>
      <c r="B488" s="7" t="s">
        <v>102</v>
      </c>
      <c r="C488" s="7" t="s">
        <v>101</v>
      </c>
    </row>
    <row r="489" spans="1:7" x14ac:dyDescent="0.25">
      <c r="A489" s="6">
        <v>51225</v>
      </c>
      <c r="B489" s="7" t="s">
        <v>103</v>
      </c>
      <c r="C489" s="7" t="s">
        <v>104</v>
      </c>
    </row>
    <row r="490" spans="1:7" x14ac:dyDescent="0.25">
      <c r="A490" s="6">
        <v>51247</v>
      </c>
      <c r="B490" s="7" t="s">
        <v>105</v>
      </c>
      <c r="C490" s="7" t="s">
        <v>106</v>
      </c>
    </row>
    <row r="491" spans="1:7" x14ac:dyDescent="0.25">
      <c r="A491" s="6">
        <v>51257</v>
      </c>
      <c r="B491" s="7" t="s">
        <v>102</v>
      </c>
      <c r="C491" s="7" t="s">
        <v>107</v>
      </c>
    </row>
    <row r="492" spans="1:7" x14ac:dyDescent="0.25">
      <c r="A492" s="6">
        <v>51287</v>
      </c>
      <c r="B492" s="7" t="s">
        <v>108</v>
      </c>
      <c r="C492" s="7" t="s">
        <v>109</v>
      </c>
    </row>
    <row r="493" spans="1:7" x14ac:dyDescent="0.25">
      <c r="A493" s="6">
        <v>51386</v>
      </c>
      <c r="B493" s="7" t="s">
        <v>103</v>
      </c>
      <c r="C493" s="7" t="s">
        <v>110</v>
      </c>
    </row>
    <row r="494" spans="1:7" x14ac:dyDescent="0.25">
      <c r="A494" s="6">
        <v>51421</v>
      </c>
      <c r="B494" s="7" t="s">
        <v>103</v>
      </c>
      <c r="C494" s="7" t="s">
        <v>111</v>
      </c>
    </row>
    <row r="495" spans="1:7" x14ac:dyDescent="0.25">
      <c r="A495" s="6">
        <v>51442</v>
      </c>
      <c r="B495" s="7" t="s">
        <v>103</v>
      </c>
      <c r="C495" s="7" t="s">
        <v>112</v>
      </c>
    </row>
    <row r="496" spans="1:7" x14ac:dyDescent="0.25">
      <c r="A496" s="6">
        <v>51455</v>
      </c>
      <c r="B496" s="7" t="s">
        <v>108</v>
      </c>
      <c r="C496" s="7" t="s">
        <v>113</v>
      </c>
    </row>
    <row r="497" spans="1:7" x14ac:dyDescent="0.25">
      <c r="A497" s="6">
        <v>51460</v>
      </c>
      <c r="B497" s="7" t="s">
        <v>102</v>
      </c>
      <c r="C497" s="7" t="s">
        <v>117</v>
      </c>
      <c r="G497" s="1"/>
    </row>
    <row r="498" spans="1:7" x14ac:dyDescent="0.25">
      <c r="A498" s="6">
        <v>51495</v>
      </c>
      <c r="B498" s="7" t="s">
        <v>102</v>
      </c>
      <c r="C498" s="7" t="s">
        <v>114</v>
      </c>
    </row>
    <row r="499" spans="1:7" x14ac:dyDescent="0.25">
      <c r="A499" s="4">
        <v>51502</v>
      </c>
      <c r="B499" s="5" t="s">
        <v>102</v>
      </c>
      <c r="C499" s="5" t="s">
        <v>100</v>
      </c>
    </row>
    <row r="500" spans="1:7" x14ac:dyDescent="0.25">
      <c r="A500" s="4">
        <v>51564</v>
      </c>
      <c r="B500" s="5" t="s">
        <v>99</v>
      </c>
      <c r="C500" s="5" t="s">
        <v>101</v>
      </c>
    </row>
    <row r="501" spans="1:7" x14ac:dyDescent="0.25">
      <c r="A501" s="4">
        <v>51565</v>
      </c>
      <c r="B501" s="5" t="s">
        <v>102</v>
      </c>
      <c r="C501" s="5" t="s">
        <v>101</v>
      </c>
    </row>
    <row r="502" spans="1:7" x14ac:dyDescent="0.25">
      <c r="A502" s="4">
        <v>51610</v>
      </c>
      <c r="B502" s="5" t="s">
        <v>103</v>
      </c>
      <c r="C502" s="5" t="s">
        <v>104</v>
      </c>
    </row>
    <row r="503" spans="1:7" x14ac:dyDescent="0.25">
      <c r="A503" s="4">
        <v>51612</v>
      </c>
      <c r="B503" s="5" t="s">
        <v>115</v>
      </c>
      <c r="C503" s="5" t="s">
        <v>106</v>
      </c>
    </row>
    <row r="504" spans="1:7" x14ac:dyDescent="0.25">
      <c r="A504" s="4">
        <v>51622</v>
      </c>
      <c r="B504" s="5" t="s">
        <v>116</v>
      </c>
      <c r="C504" s="5" t="s">
        <v>107</v>
      </c>
    </row>
    <row r="505" spans="1:7" x14ac:dyDescent="0.25">
      <c r="A505" s="4">
        <v>51672</v>
      </c>
      <c r="B505" s="5" t="s">
        <v>108</v>
      </c>
      <c r="C505" s="5" t="s">
        <v>109</v>
      </c>
    </row>
    <row r="506" spans="1:7" x14ac:dyDescent="0.25">
      <c r="A506" s="4">
        <v>51751</v>
      </c>
      <c r="B506" s="5" t="s">
        <v>105</v>
      </c>
      <c r="C506" s="5" t="s">
        <v>110</v>
      </c>
    </row>
    <row r="507" spans="1:7" x14ac:dyDescent="0.25">
      <c r="A507" s="4">
        <v>51786</v>
      </c>
      <c r="B507" s="5" t="s">
        <v>105</v>
      </c>
      <c r="C507" s="5" t="s">
        <v>111</v>
      </c>
    </row>
    <row r="508" spans="1:7" x14ac:dyDescent="0.25">
      <c r="A508" s="4">
        <v>51807</v>
      </c>
      <c r="B508" s="5" t="s">
        <v>105</v>
      </c>
      <c r="C508" s="5" t="s">
        <v>112</v>
      </c>
    </row>
    <row r="509" spans="1:7" x14ac:dyDescent="0.25">
      <c r="A509" s="4">
        <v>51820</v>
      </c>
      <c r="B509" s="5" t="s">
        <v>103</v>
      </c>
      <c r="C509" s="5" t="s">
        <v>113</v>
      </c>
    </row>
    <row r="510" spans="1:7" x14ac:dyDescent="0.25">
      <c r="A510" s="4">
        <v>51825</v>
      </c>
      <c r="B510" s="5" t="s">
        <v>116</v>
      </c>
      <c r="C510" s="5" t="s">
        <v>117</v>
      </c>
      <c r="G510" s="1"/>
    </row>
    <row r="511" spans="1:7" x14ac:dyDescent="0.25">
      <c r="A511" s="4">
        <v>51860</v>
      </c>
      <c r="B511" s="5" t="s">
        <v>116</v>
      </c>
      <c r="C511" s="5" t="s">
        <v>114</v>
      </c>
    </row>
    <row r="512" spans="1:7" x14ac:dyDescent="0.25">
      <c r="A512" s="6">
        <v>51867</v>
      </c>
      <c r="B512" s="7" t="s">
        <v>116</v>
      </c>
      <c r="C512" s="7" t="s">
        <v>100</v>
      </c>
    </row>
    <row r="513" spans="1:7" x14ac:dyDescent="0.25">
      <c r="A513" s="6">
        <v>51914</v>
      </c>
      <c r="B513" s="7" t="s">
        <v>99</v>
      </c>
      <c r="C513" s="7" t="s">
        <v>101</v>
      </c>
    </row>
    <row r="514" spans="1:7" x14ac:dyDescent="0.25">
      <c r="A514" s="6">
        <v>51915</v>
      </c>
      <c r="B514" s="7" t="s">
        <v>102</v>
      </c>
      <c r="C514" s="7" t="s">
        <v>101</v>
      </c>
    </row>
    <row r="515" spans="1:7" x14ac:dyDescent="0.25">
      <c r="A515" s="6">
        <v>51960</v>
      </c>
      <c r="B515" s="7" t="s">
        <v>103</v>
      </c>
      <c r="C515" s="7" t="s">
        <v>104</v>
      </c>
    </row>
    <row r="516" spans="1:7" x14ac:dyDescent="0.25">
      <c r="A516" s="6">
        <v>51977</v>
      </c>
      <c r="B516" s="7" t="s">
        <v>99</v>
      </c>
      <c r="C516" s="7" t="s">
        <v>106</v>
      </c>
    </row>
    <row r="517" spans="1:7" x14ac:dyDescent="0.25">
      <c r="A517" s="6">
        <v>51987</v>
      </c>
      <c r="B517" s="7" t="s">
        <v>108</v>
      </c>
      <c r="C517" s="7" t="s">
        <v>107</v>
      </c>
    </row>
    <row r="518" spans="1:7" x14ac:dyDescent="0.25">
      <c r="A518" s="6">
        <v>52022</v>
      </c>
      <c r="B518" s="7" t="s">
        <v>108</v>
      </c>
      <c r="C518" s="7" t="s">
        <v>109</v>
      </c>
    </row>
    <row r="519" spans="1:7" x14ac:dyDescent="0.25">
      <c r="A519" s="6">
        <v>52116</v>
      </c>
      <c r="B519" s="7" t="s">
        <v>115</v>
      </c>
      <c r="C519" s="7" t="s">
        <v>110</v>
      </c>
    </row>
    <row r="520" spans="1:7" x14ac:dyDescent="0.25">
      <c r="A520" s="6">
        <v>52151</v>
      </c>
      <c r="B520" s="7" t="s">
        <v>115</v>
      </c>
      <c r="C520" s="7" t="s">
        <v>111</v>
      </c>
    </row>
    <row r="521" spans="1:7" x14ac:dyDescent="0.25">
      <c r="A521" s="6">
        <v>52172</v>
      </c>
      <c r="B521" s="7" t="s">
        <v>115</v>
      </c>
      <c r="C521" s="7" t="s">
        <v>112</v>
      </c>
    </row>
    <row r="522" spans="1:7" x14ac:dyDescent="0.25">
      <c r="A522" s="6">
        <v>52185</v>
      </c>
      <c r="B522" s="7" t="s">
        <v>105</v>
      </c>
      <c r="C522" s="7" t="s">
        <v>113</v>
      </c>
    </row>
    <row r="523" spans="1:7" x14ac:dyDescent="0.25">
      <c r="A523" s="6">
        <v>52190</v>
      </c>
      <c r="B523" s="7" t="s">
        <v>108</v>
      </c>
      <c r="C523" s="7" t="s">
        <v>117</v>
      </c>
      <c r="G523" s="1"/>
    </row>
    <row r="524" spans="1:7" x14ac:dyDescent="0.25">
      <c r="A524" s="6">
        <v>52225</v>
      </c>
      <c r="B524" s="7" t="s">
        <v>108</v>
      </c>
      <c r="C524" s="7" t="s">
        <v>114</v>
      </c>
    </row>
    <row r="525" spans="1:7" x14ac:dyDescent="0.25">
      <c r="A525" s="4">
        <v>52232</v>
      </c>
      <c r="B525" s="5" t="s">
        <v>108</v>
      </c>
      <c r="C525" s="5" t="s">
        <v>100</v>
      </c>
    </row>
    <row r="526" spans="1:7" x14ac:dyDescent="0.25">
      <c r="A526" s="4">
        <v>52271</v>
      </c>
      <c r="B526" s="5" t="s">
        <v>99</v>
      </c>
      <c r="C526" s="5" t="s">
        <v>101</v>
      </c>
    </row>
    <row r="527" spans="1:7" x14ac:dyDescent="0.25">
      <c r="A527" s="4">
        <v>52272</v>
      </c>
      <c r="B527" s="5" t="s">
        <v>102</v>
      </c>
      <c r="C527" s="5" t="s">
        <v>101</v>
      </c>
    </row>
    <row r="528" spans="1:7" x14ac:dyDescent="0.25">
      <c r="A528" s="4">
        <v>52317</v>
      </c>
      <c r="B528" s="5" t="s">
        <v>103</v>
      </c>
      <c r="C528" s="5" t="s">
        <v>104</v>
      </c>
    </row>
    <row r="529" spans="1:7" x14ac:dyDescent="0.25">
      <c r="A529" s="4">
        <v>52342</v>
      </c>
      <c r="B529" s="5" t="s">
        <v>102</v>
      </c>
      <c r="C529" s="5" t="s">
        <v>106</v>
      </c>
    </row>
    <row r="530" spans="1:7" x14ac:dyDescent="0.25">
      <c r="A530" s="4">
        <v>52352</v>
      </c>
      <c r="B530" s="5" t="s">
        <v>103</v>
      </c>
      <c r="C530" s="5" t="s">
        <v>107</v>
      </c>
    </row>
    <row r="531" spans="1:7" x14ac:dyDescent="0.25">
      <c r="A531" s="4">
        <v>52379</v>
      </c>
      <c r="B531" s="5" t="s">
        <v>108</v>
      </c>
      <c r="C531" s="5" t="s">
        <v>109</v>
      </c>
    </row>
    <row r="532" spans="1:7" x14ac:dyDescent="0.25">
      <c r="A532" s="4">
        <v>52481</v>
      </c>
      <c r="B532" s="5" t="s">
        <v>99</v>
      </c>
      <c r="C532" s="5" t="s">
        <v>110</v>
      </c>
    </row>
    <row r="533" spans="1:7" x14ac:dyDescent="0.25">
      <c r="A533" s="4">
        <v>52516</v>
      </c>
      <c r="B533" s="5" t="s">
        <v>99</v>
      </c>
      <c r="C533" s="5" t="s">
        <v>111</v>
      </c>
    </row>
    <row r="534" spans="1:7" x14ac:dyDescent="0.25">
      <c r="A534" s="4">
        <v>52537</v>
      </c>
      <c r="B534" s="5" t="s">
        <v>99</v>
      </c>
      <c r="C534" s="5" t="s">
        <v>112</v>
      </c>
    </row>
    <row r="535" spans="1:7" x14ac:dyDescent="0.25">
      <c r="A535" s="4">
        <v>52550</v>
      </c>
      <c r="B535" s="5" t="s">
        <v>115</v>
      </c>
      <c r="C535" s="5" t="s">
        <v>113</v>
      </c>
    </row>
    <row r="536" spans="1:7" x14ac:dyDescent="0.25">
      <c r="A536" s="4">
        <v>52555</v>
      </c>
      <c r="B536" s="5" t="s">
        <v>103</v>
      </c>
      <c r="C536" s="5" t="s">
        <v>117</v>
      </c>
      <c r="G536" s="1"/>
    </row>
    <row r="537" spans="1:7" x14ac:dyDescent="0.25">
      <c r="A537" s="4">
        <v>52590</v>
      </c>
      <c r="B537" s="5" t="s">
        <v>103</v>
      </c>
      <c r="C537" s="5" t="s">
        <v>114</v>
      </c>
    </row>
    <row r="538" spans="1:7" x14ac:dyDescent="0.25">
      <c r="A538" s="6">
        <v>52597</v>
      </c>
      <c r="B538" s="7" t="s">
        <v>103</v>
      </c>
      <c r="C538" s="7" t="s">
        <v>100</v>
      </c>
    </row>
    <row r="539" spans="1:7" x14ac:dyDescent="0.25">
      <c r="A539" s="6">
        <v>52656</v>
      </c>
      <c r="B539" s="7" t="s">
        <v>99</v>
      </c>
      <c r="C539" s="7" t="s">
        <v>101</v>
      </c>
    </row>
    <row r="540" spans="1:7" x14ac:dyDescent="0.25">
      <c r="A540" s="6">
        <v>52657</v>
      </c>
      <c r="B540" s="7" t="s">
        <v>102</v>
      </c>
      <c r="C540" s="7" t="s">
        <v>101</v>
      </c>
    </row>
    <row r="541" spans="1:7" x14ac:dyDescent="0.25">
      <c r="A541" s="6">
        <v>52702</v>
      </c>
      <c r="B541" s="7" t="s">
        <v>103</v>
      </c>
      <c r="C541" s="7" t="s">
        <v>104</v>
      </c>
    </row>
    <row r="542" spans="1:7" x14ac:dyDescent="0.25">
      <c r="A542" s="6">
        <v>52708</v>
      </c>
      <c r="B542" s="7" t="s">
        <v>108</v>
      </c>
      <c r="C542" s="7" t="s">
        <v>106</v>
      </c>
    </row>
    <row r="543" spans="1:7" x14ac:dyDescent="0.25">
      <c r="A543" s="6">
        <v>52718</v>
      </c>
      <c r="B543" s="7" t="s">
        <v>115</v>
      </c>
      <c r="C543" s="7" t="s">
        <v>107</v>
      </c>
    </row>
    <row r="544" spans="1:7" x14ac:dyDescent="0.25">
      <c r="A544" s="6">
        <v>52764</v>
      </c>
      <c r="B544" s="7" t="s">
        <v>108</v>
      </c>
      <c r="C544" s="7" t="s">
        <v>109</v>
      </c>
    </row>
    <row r="545" spans="1:7" x14ac:dyDescent="0.25">
      <c r="A545" s="6">
        <v>52847</v>
      </c>
      <c r="B545" s="7" t="s">
        <v>116</v>
      </c>
      <c r="C545" s="7" t="s">
        <v>110</v>
      </c>
    </row>
    <row r="546" spans="1:7" x14ac:dyDescent="0.25">
      <c r="A546" s="6">
        <v>52882</v>
      </c>
      <c r="B546" s="7" t="s">
        <v>116</v>
      </c>
      <c r="C546" s="7" t="s">
        <v>111</v>
      </c>
    </row>
    <row r="547" spans="1:7" x14ac:dyDescent="0.25">
      <c r="A547" s="6">
        <v>52903</v>
      </c>
      <c r="B547" s="7" t="s">
        <v>116</v>
      </c>
      <c r="C547" s="7" t="s">
        <v>112</v>
      </c>
    </row>
    <row r="548" spans="1:7" x14ac:dyDescent="0.25">
      <c r="A548" s="6">
        <v>52916</v>
      </c>
      <c r="B548" s="7" t="s">
        <v>102</v>
      </c>
      <c r="C548" s="7" t="s">
        <v>113</v>
      </c>
    </row>
    <row r="549" spans="1:7" x14ac:dyDescent="0.25">
      <c r="A549" s="6">
        <v>52921</v>
      </c>
      <c r="B549" s="7" t="s">
        <v>115</v>
      </c>
      <c r="C549" s="7" t="s">
        <v>117</v>
      </c>
      <c r="G549" s="1"/>
    </row>
    <row r="550" spans="1:7" x14ac:dyDescent="0.25">
      <c r="A550" s="6">
        <v>52956</v>
      </c>
      <c r="B550" s="7" t="s">
        <v>115</v>
      </c>
      <c r="C550" s="7" t="s">
        <v>114</v>
      </c>
    </row>
    <row r="551" spans="1:7" x14ac:dyDescent="0.25">
      <c r="A551" s="4">
        <v>52963</v>
      </c>
      <c r="B551" s="5" t="s">
        <v>115</v>
      </c>
      <c r="C551" s="5" t="s">
        <v>100</v>
      </c>
    </row>
    <row r="552" spans="1:7" x14ac:dyDescent="0.25">
      <c r="A552" s="4">
        <v>53013</v>
      </c>
      <c r="B552" s="5" t="s">
        <v>99</v>
      </c>
      <c r="C552" s="5" t="s">
        <v>101</v>
      </c>
    </row>
    <row r="553" spans="1:7" x14ac:dyDescent="0.25">
      <c r="A553" s="4">
        <v>53014</v>
      </c>
      <c r="B553" s="5" t="s">
        <v>102</v>
      </c>
      <c r="C553" s="5" t="s">
        <v>101</v>
      </c>
    </row>
    <row r="554" spans="1:7" x14ac:dyDescent="0.25">
      <c r="A554" s="4">
        <v>53059</v>
      </c>
      <c r="B554" s="5" t="s">
        <v>103</v>
      </c>
      <c r="C554" s="5" t="s">
        <v>104</v>
      </c>
    </row>
    <row r="555" spans="1:7" x14ac:dyDescent="0.25">
      <c r="A555" s="4">
        <v>53073</v>
      </c>
      <c r="B555" s="5" t="s">
        <v>103</v>
      </c>
      <c r="C555" s="5" t="s">
        <v>106</v>
      </c>
    </row>
    <row r="556" spans="1:7" x14ac:dyDescent="0.25">
      <c r="A556" s="4">
        <v>53083</v>
      </c>
      <c r="B556" s="5" t="s">
        <v>99</v>
      </c>
      <c r="C556" s="5" t="s">
        <v>107</v>
      </c>
    </row>
    <row r="557" spans="1:7" x14ac:dyDescent="0.25">
      <c r="A557" s="4">
        <v>53121</v>
      </c>
      <c r="B557" s="5" t="s">
        <v>108</v>
      </c>
      <c r="C557" s="5" t="s">
        <v>109</v>
      </c>
    </row>
    <row r="558" spans="1:7" x14ac:dyDescent="0.25">
      <c r="A558" s="4">
        <v>53212</v>
      </c>
      <c r="B558" s="5" t="s">
        <v>108</v>
      </c>
      <c r="C558" s="5" t="s">
        <v>110</v>
      </c>
    </row>
    <row r="559" spans="1:7" x14ac:dyDescent="0.25">
      <c r="A559" s="4">
        <v>53247</v>
      </c>
      <c r="B559" s="5" t="s">
        <v>108</v>
      </c>
      <c r="C559" s="5" t="s">
        <v>111</v>
      </c>
    </row>
    <row r="560" spans="1:7" x14ac:dyDescent="0.25">
      <c r="A560" s="4">
        <v>53268</v>
      </c>
      <c r="B560" s="5" t="s">
        <v>108</v>
      </c>
      <c r="C560" s="5" t="s">
        <v>112</v>
      </c>
    </row>
    <row r="561" spans="1:7" x14ac:dyDescent="0.25">
      <c r="A561" s="4">
        <v>53281</v>
      </c>
      <c r="B561" s="5" t="s">
        <v>116</v>
      </c>
      <c r="C561" s="5" t="s">
        <v>113</v>
      </c>
    </row>
    <row r="562" spans="1:7" x14ac:dyDescent="0.25">
      <c r="A562" s="4">
        <v>53286</v>
      </c>
      <c r="B562" s="5" t="s">
        <v>99</v>
      </c>
      <c r="C562" s="5" t="s">
        <v>117</v>
      </c>
      <c r="G562" s="1"/>
    </row>
    <row r="563" spans="1:7" x14ac:dyDescent="0.25">
      <c r="A563" s="4">
        <v>53321</v>
      </c>
      <c r="B563" s="5" t="s">
        <v>99</v>
      </c>
      <c r="C563" s="5" t="s">
        <v>114</v>
      </c>
    </row>
    <row r="564" spans="1:7" x14ac:dyDescent="0.25">
      <c r="A564" s="6">
        <v>53328</v>
      </c>
      <c r="B564" s="7" t="s">
        <v>99</v>
      </c>
      <c r="C564" s="7" t="s">
        <v>100</v>
      </c>
    </row>
    <row r="565" spans="1:7" x14ac:dyDescent="0.25">
      <c r="A565" s="6">
        <v>53363</v>
      </c>
      <c r="B565" s="7" t="s">
        <v>99</v>
      </c>
      <c r="C565" s="7" t="s">
        <v>101</v>
      </c>
    </row>
    <row r="566" spans="1:7" x14ac:dyDescent="0.25">
      <c r="A566" s="6">
        <v>53364</v>
      </c>
      <c r="B566" s="7" t="s">
        <v>102</v>
      </c>
      <c r="C566" s="7" t="s">
        <v>101</v>
      </c>
    </row>
    <row r="567" spans="1:7" x14ac:dyDescent="0.25">
      <c r="A567" s="6">
        <v>53409</v>
      </c>
      <c r="B567" s="7" t="s">
        <v>103</v>
      </c>
      <c r="C567" s="7" t="s">
        <v>104</v>
      </c>
    </row>
    <row r="568" spans="1:7" x14ac:dyDescent="0.25">
      <c r="A568" s="6">
        <v>53438</v>
      </c>
      <c r="B568" s="7" t="s">
        <v>105</v>
      </c>
      <c r="C568" s="7" t="s">
        <v>106</v>
      </c>
    </row>
    <row r="569" spans="1:7" x14ac:dyDescent="0.25">
      <c r="A569" s="6">
        <v>53448</v>
      </c>
      <c r="B569" s="7" t="s">
        <v>102</v>
      </c>
      <c r="C569" s="7" t="s">
        <v>107</v>
      </c>
    </row>
    <row r="570" spans="1:7" x14ac:dyDescent="0.25">
      <c r="A570" s="6">
        <v>53471</v>
      </c>
      <c r="B570" s="7" t="s">
        <v>108</v>
      </c>
      <c r="C570" s="7" t="s">
        <v>109</v>
      </c>
    </row>
    <row r="571" spans="1:7" x14ac:dyDescent="0.25">
      <c r="A571" s="6">
        <v>53577</v>
      </c>
      <c r="B571" s="7" t="s">
        <v>103</v>
      </c>
      <c r="C571" s="7" t="s">
        <v>110</v>
      </c>
    </row>
    <row r="572" spans="1:7" x14ac:dyDescent="0.25">
      <c r="A572" s="6">
        <v>53612</v>
      </c>
      <c r="B572" s="7" t="s">
        <v>103</v>
      </c>
      <c r="C572" s="7" t="s">
        <v>111</v>
      </c>
    </row>
    <row r="573" spans="1:7" x14ac:dyDescent="0.25">
      <c r="A573" s="6">
        <v>53633</v>
      </c>
      <c r="B573" s="7" t="s">
        <v>103</v>
      </c>
      <c r="C573" s="7" t="s">
        <v>112</v>
      </c>
    </row>
    <row r="574" spans="1:7" x14ac:dyDescent="0.25">
      <c r="A574" s="6">
        <v>53646</v>
      </c>
      <c r="B574" s="7" t="s">
        <v>108</v>
      </c>
      <c r="C574" s="7" t="s">
        <v>113</v>
      </c>
    </row>
    <row r="575" spans="1:7" x14ac:dyDescent="0.25">
      <c r="A575" s="6">
        <v>53651</v>
      </c>
      <c r="B575" s="7" t="s">
        <v>102</v>
      </c>
      <c r="C575" s="7" t="s">
        <v>117</v>
      </c>
      <c r="G575" s="1"/>
    </row>
    <row r="576" spans="1:7" x14ac:dyDescent="0.25">
      <c r="A576" s="6">
        <v>53686</v>
      </c>
      <c r="B576" s="7" t="s">
        <v>102</v>
      </c>
      <c r="C576" s="7" t="s">
        <v>114</v>
      </c>
    </row>
    <row r="577" spans="1:7" x14ac:dyDescent="0.25">
      <c r="A577" s="4">
        <v>53693</v>
      </c>
      <c r="B577" s="5" t="s">
        <v>102</v>
      </c>
      <c r="C577" s="5" t="s">
        <v>100</v>
      </c>
    </row>
    <row r="578" spans="1:7" x14ac:dyDescent="0.25">
      <c r="A578" s="4">
        <v>53748</v>
      </c>
      <c r="B578" s="5" t="s">
        <v>99</v>
      </c>
      <c r="C578" s="5" t="s">
        <v>101</v>
      </c>
    </row>
    <row r="579" spans="1:7" x14ac:dyDescent="0.25">
      <c r="A579" s="4">
        <v>53749</v>
      </c>
      <c r="B579" s="5" t="s">
        <v>102</v>
      </c>
      <c r="C579" s="5" t="s">
        <v>101</v>
      </c>
    </row>
    <row r="580" spans="1:7" x14ac:dyDescent="0.25">
      <c r="A580" s="4">
        <v>53794</v>
      </c>
      <c r="B580" s="5" t="s">
        <v>103</v>
      </c>
      <c r="C580" s="5" t="s">
        <v>104</v>
      </c>
    </row>
    <row r="581" spans="1:7" x14ac:dyDescent="0.25">
      <c r="A581" s="4">
        <v>53803</v>
      </c>
      <c r="B581" s="5" t="s">
        <v>115</v>
      </c>
      <c r="C581" s="5" t="s">
        <v>106</v>
      </c>
    </row>
    <row r="582" spans="1:7" x14ac:dyDescent="0.25">
      <c r="A582" s="4">
        <v>53813</v>
      </c>
      <c r="B582" s="5" t="s">
        <v>116</v>
      </c>
      <c r="C582" s="5" t="s">
        <v>107</v>
      </c>
    </row>
    <row r="583" spans="1:7" x14ac:dyDescent="0.25">
      <c r="A583" s="4">
        <v>53856</v>
      </c>
      <c r="B583" s="5" t="s">
        <v>108</v>
      </c>
      <c r="C583" s="5" t="s">
        <v>109</v>
      </c>
    </row>
    <row r="584" spans="1:7" x14ac:dyDescent="0.25">
      <c r="A584" s="4">
        <v>53942</v>
      </c>
      <c r="B584" s="5" t="s">
        <v>105</v>
      </c>
      <c r="C584" s="5" t="s">
        <v>110</v>
      </c>
    </row>
    <row r="585" spans="1:7" x14ac:dyDescent="0.25">
      <c r="A585" s="4">
        <v>53977</v>
      </c>
      <c r="B585" s="5" t="s">
        <v>105</v>
      </c>
      <c r="C585" s="5" t="s">
        <v>111</v>
      </c>
    </row>
    <row r="586" spans="1:7" x14ac:dyDescent="0.25">
      <c r="A586" s="4">
        <v>53998</v>
      </c>
      <c r="B586" s="5" t="s">
        <v>105</v>
      </c>
      <c r="C586" s="5" t="s">
        <v>112</v>
      </c>
    </row>
    <row r="587" spans="1:7" x14ac:dyDescent="0.25">
      <c r="A587" s="4">
        <v>54011</v>
      </c>
      <c r="B587" s="5" t="s">
        <v>103</v>
      </c>
      <c r="C587" s="5" t="s">
        <v>113</v>
      </c>
    </row>
    <row r="588" spans="1:7" x14ac:dyDescent="0.25">
      <c r="A588" s="4">
        <v>54016</v>
      </c>
      <c r="B588" s="5" t="s">
        <v>116</v>
      </c>
      <c r="C588" s="5" t="s">
        <v>117</v>
      </c>
      <c r="G588" s="1"/>
    </row>
    <row r="589" spans="1:7" x14ac:dyDescent="0.25">
      <c r="A589" s="4">
        <v>54051</v>
      </c>
      <c r="B589" s="5" t="s">
        <v>116</v>
      </c>
      <c r="C589" s="5" t="s">
        <v>114</v>
      </c>
    </row>
    <row r="590" spans="1:7" x14ac:dyDescent="0.25">
      <c r="A590" s="6">
        <v>54058</v>
      </c>
      <c r="B590" s="7" t="s">
        <v>116</v>
      </c>
      <c r="C590" s="7" t="s">
        <v>100</v>
      </c>
    </row>
    <row r="591" spans="1:7" x14ac:dyDescent="0.25">
      <c r="A591" s="6">
        <v>54105</v>
      </c>
      <c r="B591" s="7" t="s">
        <v>99</v>
      </c>
      <c r="C591" s="7" t="s">
        <v>101</v>
      </c>
    </row>
    <row r="592" spans="1:7" x14ac:dyDescent="0.25">
      <c r="A592" s="6">
        <v>54106</v>
      </c>
      <c r="B592" s="7" t="s">
        <v>102</v>
      </c>
      <c r="C592" s="7" t="s">
        <v>101</v>
      </c>
    </row>
    <row r="593" spans="1:7" x14ac:dyDescent="0.25">
      <c r="A593" s="6">
        <v>54151</v>
      </c>
      <c r="B593" s="7" t="s">
        <v>103</v>
      </c>
      <c r="C593" s="7" t="s">
        <v>104</v>
      </c>
    </row>
    <row r="594" spans="1:7" x14ac:dyDescent="0.25">
      <c r="A594" s="6">
        <v>54169</v>
      </c>
      <c r="B594" s="7" t="s">
        <v>102</v>
      </c>
      <c r="C594" s="7" t="s">
        <v>106</v>
      </c>
    </row>
    <row r="595" spans="1:7" x14ac:dyDescent="0.25">
      <c r="A595" s="6">
        <v>54179</v>
      </c>
      <c r="B595" s="7" t="s">
        <v>103</v>
      </c>
      <c r="C595" s="7" t="s">
        <v>107</v>
      </c>
    </row>
    <row r="596" spans="1:7" x14ac:dyDescent="0.25">
      <c r="A596" s="6">
        <v>54213</v>
      </c>
      <c r="B596" s="7" t="s">
        <v>108</v>
      </c>
      <c r="C596" s="7" t="s">
        <v>109</v>
      </c>
    </row>
    <row r="597" spans="1:7" x14ac:dyDescent="0.25">
      <c r="A597" s="6">
        <v>54308</v>
      </c>
      <c r="B597" s="7" t="s">
        <v>99</v>
      </c>
      <c r="C597" s="7" t="s">
        <v>110</v>
      </c>
    </row>
    <row r="598" spans="1:7" x14ac:dyDescent="0.25">
      <c r="A598" s="6">
        <v>54343</v>
      </c>
      <c r="B598" s="7" t="s">
        <v>99</v>
      </c>
      <c r="C598" s="7" t="s">
        <v>111</v>
      </c>
    </row>
    <row r="599" spans="1:7" x14ac:dyDescent="0.25">
      <c r="A599" s="6">
        <v>54364</v>
      </c>
      <c r="B599" s="7" t="s">
        <v>99</v>
      </c>
      <c r="C599" s="7" t="s">
        <v>112</v>
      </c>
    </row>
    <row r="600" spans="1:7" x14ac:dyDescent="0.25">
      <c r="A600" s="6">
        <v>54377</v>
      </c>
      <c r="B600" s="7" t="s">
        <v>115</v>
      </c>
      <c r="C600" s="7" t="s">
        <v>113</v>
      </c>
    </row>
    <row r="601" spans="1:7" x14ac:dyDescent="0.25">
      <c r="A601" s="6">
        <v>54382</v>
      </c>
      <c r="B601" s="7" t="s">
        <v>103</v>
      </c>
      <c r="C601" s="7" t="s">
        <v>117</v>
      </c>
      <c r="G601" s="1"/>
    </row>
    <row r="602" spans="1:7" x14ac:dyDescent="0.25">
      <c r="A602" s="6">
        <v>54417</v>
      </c>
      <c r="B602" s="7" t="s">
        <v>103</v>
      </c>
      <c r="C602" s="7" t="s">
        <v>114</v>
      </c>
    </row>
    <row r="603" spans="1:7" x14ac:dyDescent="0.25">
      <c r="A603" s="4">
        <v>54424</v>
      </c>
      <c r="B603" s="5" t="s">
        <v>103</v>
      </c>
      <c r="C603" s="5" t="s">
        <v>100</v>
      </c>
    </row>
    <row r="604" spans="1:7" x14ac:dyDescent="0.25">
      <c r="A604" s="4">
        <v>54483</v>
      </c>
      <c r="B604" s="5" t="s">
        <v>99</v>
      </c>
      <c r="C604" s="5" t="s">
        <v>101</v>
      </c>
    </row>
    <row r="605" spans="1:7" x14ac:dyDescent="0.25">
      <c r="A605" s="4">
        <v>54484</v>
      </c>
      <c r="B605" s="5" t="s">
        <v>102</v>
      </c>
      <c r="C605" s="5" t="s">
        <v>101</v>
      </c>
    </row>
    <row r="606" spans="1:7" x14ac:dyDescent="0.25">
      <c r="A606" s="4">
        <v>54529</v>
      </c>
      <c r="B606" s="5" t="s">
        <v>103</v>
      </c>
      <c r="C606" s="5" t="s">
        <v>104</v>
      </c>
    </row>
    <row r="607" spans="1:7" x14ac:dyDescent="0.25">
      <c r="A607" s="4">
        <v>54534</v>
      </c>
      <c r="B607" s="5" t="s">
        <v>116</v>
      </c>
      <c r="C607" s="5" t="s">
        <v>106</v>
      </c>
    </row>
    <row r="608" spans="1:7" x14ac:dyDescent="0.25">
      <c r="A608" s="4">
        <v>54544</v>
      </c>
      <c r="B608" s="5" t="s">
        <v>105</v>
      </c>
      <c r="C608" s="5" t="s">
        <v>107</v>
      </c>
    </row>
    <row r="609" spans="1:7" x14ac:dyDescent="0.25">
      <c r="A609" s="4">
        <v>54591</v>
      </c>
      <c r="B609" s="5" t="s">
        <v>108</v>
      </c>
      <c r="C609" s="5" t="s">
        <v>109</v>
      </c>
    </row>
    <row r="610" spans="1:7" x14ac:dyDescent="0.25">
      <c r="A610" s="4">
        <v>54673</v>
      </c>
      <c r="B610" s="5" t="s">
        <v>102</v>
      </c>
      <c r="C610" s="5" t="s">
        <v>110</v>
      </c>
    </row>
    <row r="611" spans="1:7" x14ac:dyDescent="0.25">
      <c r="A611" s="4">
        <v>54708</v>
      </c>
      <c r="B611" s="5" t="s">
        <v>102</v>
      </c>
      <c r="C611" s="5" t="s">
        <v>111</v>
      </c>
    </row>
    <row r="612" spans="1:7" x14ac:dyDescent="0.25">
      <c r="A612" s="4">
        <v>54729</v>
      </c>
      <c r="B612" s="5" t="s">
        <v>102</v>
      </c>
      <c r="C612" s="5" t="s">
        <v>112</v>
      </c>
    </row>
    <row r="613" spans="1:7" x14ac:dyDescent="0.25">
      <c r="A613" s="4">
        <v>54742</v>
      </c>
      <c r="B613" s="5" t="s">
        <v>99</v>
      </c>
      <c r="C613" s="5" t="s">
        <v>113</v>
      </c>
    </row>
    <row r="614" spans="1:7" x14ac:dyDescent="0.25">
      <c r="A614" s="4">
        <v>54747</v>
      </c>
      <c r="B614" s="5" t="s">
        <v>105</v>
      </c>
      <c r="C614" s="5" t="s">
        <v>117</v>
      </c>
      <c r="G614" s="1"/>
    </row>
    <row r="615" spans="1:7" x14ac:dyDescent="0.25">
      <c r="A615" s="4">
        <v>54782</v>
      </c>
      <c r="B615" s="5" t="s">
        <v>105</v>
      </c>
      <c r="C615" s="5" t="s">
        <v>114</v>
      </c>
    </row>
    <row r="616" spans="1:7" x14ac:dyDescent="0.25">
      <c r="A616" s="6">
        <v>54789</v>
      </c>
      <c r="B616" s="7" t="s">
        <v>105</v>
      </c>
      <c r="C616" s="7" t="s">
        <v>100</v>
      </c>
    </row>
    <row r="617" spans="1:7" x14ac:dyDescent="0.25">
      <c r="A617" s="6">
        <v>54840</v>
      </c>
      <c r="B617" s="7" t="s">
        <v>99</v>
      </c>
      <c r="C617" s="7" t="s">
        <v>101</v>
      </c>
    </row>
    <row r="618" spans="1:7" x14ac:dyDescent="0.25">
      <c r="A618" s="6">
        <v>54841</v>
      </c>
      <c r="B618" s="7" t="s">
        <v>102</v>
      </c>
      <c r="C618" s="7" t="s">
        <v>101</v>
      </c>
    </row>
    <row r="619" spans="1:7" x14ac:dyDescent="0.25">
      <c r="A619" s="6">
        <v>54886</v>
      </c>
      <c r="B619" s="7" t="s">
        <v>103</v>
      </c>
      <c r="C619" s="7" t="s">
        <v>104</v>
      </c>
    </row>
    <row r="620" spans="1:7" x14ac:dyDescent="0.25">
      <c r="A620" s="6">
        <v>54899</v>
      </c>
      <c r="B620" s="7" t="s">
        <v>108</v>
      </c>
      <c r="C620" s="7" t="s">
        <v>106</v>
      </c>
    </row>
    <row r="621" spans="1:7" x14ac:dyDescent="0.25">
      <c r="A621" s="6">
        <v>54909</v>
      </c>
      <c r="B621" s="7" t="s">
        <v>115</v>
      </c>
      <c r="C621" s="7" t="s">
        <v>107</v>
      </c>
    </row>
    <row r="622" spans="1:7" x14ac:dyDescent="0.25">
      <c r="A622" s="6">
        <v>54948</v>
      </c>
      <c r="B622" s="7" t="s">
        <v>108</v>
      </c>
      <c r="C622" s="7" t="s">
        <v>109</v>
      </c>
    </row>
    <row r="623" spans="1:7" x14ac:dyDescent="0.25">
      <c r="A623" s="6">
        <v>55038</v>
      </c>
      <c r="B623" s="7" t="s">
        <v>116</v>
      </c>
      <c r="C623" s="7" t="s">
        <v>110</v>
      </c>
    </row>
    <row r="624" spans="1:7" x14ac:dyDescent="0.25">
      <c r="A624" s="6">
        <v>55073</v>
      </c>
      <c r="B624" s="7" t="s">
        <v>116</v>
      </c>
      <c r="C624" s="7" t="s">
        <v>111</v>
      </c>
    </row>
    <row r="625" spans="1:7" x14ac:dyDescent="0.25">
      <c r="A625" s="6">
        <v>55094</v>
      </c>
      <c r="B625" s="7" t="s">
        <v>116</v>
      </c>
      <c r="C625" s="7" t="s">
        <v>112</v>
      </c>
    </row>
    <row r="626" spans="1:7" x14ac:dyDescent="0.25">
      <c r="A626" s="6">
        <v>55107</v>
      </c>
      <c r="B626" s="7" t="s">
        <v>102</v>
      </c>
      <c r="C626" s="7" t="s">
        <v>113</v>
      </c>
    </row>
    <row r="627" spans="1:7" x14ac:dyDescent="0.25">
      <c r="A627" s="6">
        <v>55112</v>
      </c>
      <c r="B627" s="7" t="s">
        <v>115</v>
      </c>
      <c r="C627" s="7" t="s">
        <v>117</v>
      </c>
      <c r="G627" s="1"/>
    </row>
    <row r="628" spans="1:7" x14ac:dyDescent="0.25">
      <c r="A628" s="6">
        <v>55147</v>
      </c>
      <c r="B628" s="7" t="s">
        <v>115</v>
      </c>
      <c r="C628" s="7" t="s">
        <v>114</v>
      </c>
    </row>
    <row r="629" spans="1:7" x14ac:dyDescent="0.25">
      <c r="A629" s="4">
        <v>55154</v>
      </c>
      <c r="B629" s="5" t="s">
        <v>115</v>
      </c>
      <c r="C629" s="5" t="s">
        <v>100</v>
      </c>
    </row>
    <row r="630" spans="1:7" x14ac:dyDescent="0.25">
      <c r="A630" s="4">
        <v>55197</v>
      </c>
      <c r="B630" s="5" t="s">
        <v>99</v>
      </c>
      <c r="C630" s="5" t="s">
        <v>101</v>
      </c>
    </row>
    <row r="631" spans="1:7" x14ac:dyDescent="0.25">
      <c r="A631" s="4">
        <v>55198</v>
      </c>
      <c r="B631" s="5" t="s">
        <v>102</v>
      </c>
      <c r="C631" s="5" t="s">
        <v>101</v>
      </c>
    </row>
    <row r="632" spans="1:7" x14ac:dyDescent="0.25">
      <c r="A632" s="4">
        <v>55243</v>
      </c>
      <c r="B632" s="5" t="s">
        <v>103</v>
      </c>
      <c r="C632" s="5" t="s">
        <v>104</v>
      </c>
    </row>
    <row r="633" spans="1:7" x14ac:dyDescent="0.25">
      <c r="A633" s="4">
        <v>55264</v>
      </c>
      <c r="B633" s="5" t="s">
        <v>103</v>
      </c>
      <c r="C633" s="5" t="s">
        <v>106</v>
      </c>
    </row>
    <row r="634" spans="1:7" x14ac:dyDescent="0.25">
      <c r="A634" s="4">
        <v>55274</v>
      </c>
      <c r="B634" s="5" t="s">
        <v>99</v>
      </c>
      <c r="C634" s="5" t="s">
        <v>107</v>
      </c>
    </row>
    <row r="635" spans="1:7" x14ac:dyDescent="0.25">
      <c r="A635" s="4">
        <v>55305</v>
      </c>
      <c r="B635" s="5" t="s">
        <v>108</v>
      </c>
      <c r="C635" s="5" t="s">
        <v>109</v>
      </c>
    </row>
    <row r="636" spans="1:7" x14ac:dyDescent="0.25">
      <c r="A636" s="4">
        <v>55403</v>
      </c>
      <c r="B636" s="5" t="s">
        <v>108</v>
      </c>
      <c r="C636" s="5" t="s">
        <v>110</v>
      </c>
    </row>
    <row r="637" spans="1:7" x14ac:dyDescent="0.25">
      <c r="A637" s="4">
        <v>55438</v>
      </c>
      <c r="B637" s="5" t="s">
        <v>108</v>
      </c>
      <c r="C637" s="5" t="s">
        <v>111</v>
      </c>
    </row>
    <row r="638" spans="1:7" x14ac:dyDescent="0.25">
      <c r="A638" s="4">
        <v>55459</v>
      </c>
      <c r="B638" s="5" t="s">
        <v>108</v>
      </c>
      <c r="C638" s="5" t="s">
        <v>112</v>
      </c>
    </row>
    <row r="639" spans="1:7" x14ac:dyDescent="0.25">
      <c r="A639" s="4">
        <v>55472</v>
      </c>
      <c r="B639" s="5" t="s">
        <v>116</v>
      </c>
      <c r="C639" s="5" t="s">
        <v>113</v>
      </c>
    </row>
    <row r="640" spans="1:7" x14ac:dyDescent="0.25">
      <c r="A640" s="4">
        <v>55477</v>
      </c>
      <c r="B640" s="5" t="s">
        <v>99</v>
      </c>
      <c r="C640" s="5" t="s">
        <v>117</v>
      </c>
      <c r="G640" s="1"/>
    </row>
    <row r="641" spans="1:7" x14ac:dyDescent="0.25">
      <c r="A641" s="4">
        <v>55512</v>
      </c>
      <c r="B641" s="5" t="s">
        <v>99</v>
      </c>
      <c r="C641" s="5" t="s">
        <v>114</v>
      </c>
    </row>
    <row r="642" spans="1:7" x14ac:dyDescent="0.25">
      <c r="A642" s="6">
        <v>55519</v>
      </c>
      <c r="B642" s="7" t="s">
        <v>99</v>
      </c>
      <c r="C642" s="7" t="s">
        <v>100</v>
      </c>
    </row>
    <row r="643" spans="1:7" x14ac:dyDescent="0.25">
      <c r="A643" s="6">
        <v>55582</v>
      </c>
      <c r="B643" s="7" t="s">
        <v>99</v>
      </c>
      <c r="C643" s="7" t="s">
        <v>101</v>
      </c>
    </row>
    <row r="644" spans="1:7" x14ac:dyDescent="0.25">
      <c r="A644" s="6">
        <v>55583</v>
      </c>
      <c r="B644" s="7" t="s">
        <v>102</v>
      </c>
      <c r="C644" s="7" t="s">
        <v>101</v>
      </c>
    </row>
    <row r="645" spans="1:7" x14ac:dyDescent="0.25">
      <c r="A645" s="6">
        <v>55628</v>
      </c>
      <c r="B645" s="7" t="s">
        <v>103</v>
      </c>
      <c r="C645" s="7" t="s">
        <v>104</v>
      </c>
    </row>
    <row r="646" spans="1:7" x14ac:dyDescent="0.25">
      <c r="A646" s="6">
        <v>55630</v>
      </c>
      <c r="B646" s="7" t="s">
        <v>115</v>
      </c>
      <c r="C646" s="7" t="s">
        <v>106</v>
      </c>
    </row>
    <row r="647" spans="1:7" x14ac:dyDescent="0.25">
      <c r="A647" s="6">
        <v>55640</v>
      </c>
      <c r="B647" s="7" t="s">
        <v>116</v>
      </c>
      <c r="C647" s="7" t="s">
        <v>107</v>
      </c>
    </row>
    <row r="648" spans="1:7" x14ac:dyDescent="0.25">
      <c r="A648" s="6">
        <v>55690</v>
      </c>
      <c r="B648" s="7" t="s">
        <v>108</v>
      </c>
      <c r="C648" s="7" t="s">
        <v>109</v>
      </c>
    </row>
    <row r="649" spans="1:7" x14ac:dyDescent="0.25">
      <c r="A649" s="6">
        <v>55769</v>
      </c>
      <c r="B649" s="7" t="s">
        <v>105</v>
      </c>
      <c r="C649" s="7" t="s">
        <v>110</v>
      </c>
    </row>
    <row r="650" spans="1:7" x14ac:dyDescent="0.25">
      <c r="A650" s="6">
        <v>55804</v>
      </c>
      <c r="B650" s="7" t="s">
        <v>105</v>
      </c>
      <c r="C650" s="7" t="s">
        <v>111</v>
      </c>
    </row>
    <row r="651" spans="1:7" x14ac:dyDescent="0.25">
      <c r="A651" s="6">
        <v>55825</v>
      </c>
      <c r="B651" s="7" t="s">
        <v>105</v>
      </c>
      <c r="C651" s="7" t="s">
        <v>112</v>
      </c>
    </row>
    <row r="652" spans="1:7" x14ac:dyDescent="0.25">
      <c r="A652" s="6">
        <v>55838</v>
      </c>
      <c r="B652" s="7" t="s">
        <v>103</v>
      </c>
      <c r="C652" s="7" t="s">
        <v>113</v>
      </c>
    </row>
    <row r="653" spans="1:7" x14ac:dyDescent="0.25">
      <c r="A653" s="6">
        <v>55843</v>
      </c>
      <c r="B653" s="7" t="s">
        <v>116</v>
      </c>
      <c r="C653" s="7" t="s">
        <v>117</v>
      </c>
      <c r="G653" s="1"/>
    </row>
    <row r="654" spans="1:7" x14ac:dyDescent="0.25">
      <c r="A654" s="6">
        <v>55878</v>
      </c>
      <c r="B654" s="7" t="s">
        <v>116</v>
      </c>
      <c r="C654" s="7" t="s">
        <v>114</v>
      </c>
    </row>
    <row r="655" spans="1:7" x14ac:dyDescent="0.25">
      <c r="A655" s="4">
        <v>55885</v>
      </c>
      <c r="B655" s="5" t="s">
        <v>116</v>
      </c>
      <c r="C655" s="5" t="s">
        <v>100</v>
      </c>
    </row>
    <row r="656" spans="1:7" x14ac:dyDescent="0.25">
      <c r="A656" s="4">
        <v>55932</v>
      </c>
      <c r="B656" s="5" t="s">
        <v>99</v>
      </c>
      <c r="C656" s="5" t="s">
        <v>101</v>
      </c>
    </row>
    <row r="657" spans="1:7" x14ac:dyDescent="0.25">
      <c r="A657" s="4">
        <v>55933</v>
      </c>
      <c r="B657" s="5" t="s">
        <v>102</v>
      </c>
      <c r="C657" s="5" t="s">
        <v>101</v>
      </c>
    </row>
    <row r="658" spans="1:7" x14ac:dyDescent="0.25">
      <c r="A658" s="4">
        <v>55978</v>
      </c>
      <c r="B658" s="5" t="s">
        <v>103</v>
      </c>
      <c r="C658" s="5" t="s">
        <v>104</v>
      </c>
    </row>
    <row r="659" spans="1:7" x14ac:dyDescent="0.25">
      <c r="A659" s="4">
        <v>55995</v>
      </c>
      <c r="B659" s="5" t="s">
        <v>99</v>
      </c>
      <c r="C659" s="5" t="s">
        <v>106</v>
      </c>
    </row>
    <row r="660" spans="1:7" x14ac:dyDescent="0.25">
      <c r="A660" s="4">
        <v>56005</v>
      </c>
      <c r="B660" s="5" t="s">
        <v>108</v>
      </c>
      <c r="C660" s="5" t="s">
        <v>107</v>
      </c>
    </row>
    <row r="661" spans="1:7" x14ac:dyDescent="0.25">
      <c r="A661" s="4">
        <v>56040</v>
      </c>
      <c r="B661" s="5" t="s">
        <v>108</v>
      </c>
      <c r="C661" s="5" t="s">
        <v>109</v>
      </c>
    </row>
    <row r="662" spans="1:7" x14ac:dyDescent="0.25">
      <c r="A662" s="4">
        <v>56134</v>
      </c>
      <c r="B662" s="5" t="s">
        <v>115</v>
      </c>
      <c r="C662" s="5" t="s">
        <v>110</v>
      </c>
    </row>
    <row r="663" spans="1:7" x14ac:dyDescent="0.25">
      <c r="A663" s="4">
        <v>56169</v>
      </c>
      <c r="B663" s="5" t="s">
        <v>115</v>
      </c>
      <c r="C663" s="5" t="s">
        <v>111</v>
      </c>
    </row>
    <row r="664" spans="1:7" x14ac:dyDescent="0.25">
      <c r="A664" s="4">
        <v>56190</v>
      </c>
      <c r="B664" s="5" t="s">
        <v>115</v>
      </c>
      <c r="C664" s="5" t="s">
        <v>112</v>
      </c>
    </row>
    <row r="665" spans="1:7" x14ac:dyDescent="0.25">
      <c r="A665" s="4">
        <v>56203</v>
      </c>
      <c r="B665" s="5" t="s">
        <v>105</v>
      </c>
      <c r="C665" s="5" t="s">
        <v>113</v>
      </c>
    </row>
    <row r="666" spans="1:7" x14ac:dyDescent="0.25">
      <c r="A666" s="4">
        <v>56208</v>
      </c>
      <c r="B666" s="5" t="s">
        <v>108</v>
      </c>
      <c r="C666" s="5" t="s">
        <v>117</v>
      </c>
      <c r="G666" s="1"/>
    </row>
    <row r="667" spans="1:7" x14ac:dyDescent="0.25">
      <c r="A667" s="4">
        <v>56243</v>
      </c>
      <c r="B667" s="5" t="s">
        <v>108</v>
      </c>
      <c r="C667" s="5" t="s">
        <v>114</v>
      </c>
    </row>
    <row r="668" spans="1:7" x14ac:dyDescent="0.25">
      <c r="A668" s="6">
        <v>56250</v>
      </c>
      <c r="B668" s="7" t="s">
        <v>108</v>
      </c>
      <c r="C668" s="7" t="s">
        <v>100</v>
      </c>
    </row>
    <row r="669" spans="1:7" x14ac:dyDescent="0.25">
      <c r="A669" s="6">
        <v>56289</v>
      </c>
      <c r="B669" s="7" t="s">
        <v>99</v>
      </c>
      <c r="C669" s="7" t="s">
        <v>101</v>
      </c>
    </row>
    <row r="670" spans="1:7" x14ac:dyDescent="0.25">
      <c r="A670" s="6">
        <v>56290</v>
      </c>
      <c r="B670" s="7" t="s">
        <v>102</v>
      </c>
      <c r="C670" s="7" t="s">
        <v>101</v>
      </c>
    </row>
    <row r="671" spans="1:7" x14ac:dyDescent="0.25">
      <c r="A671" s="6">
        <v>56335</v>
      </c>
      <c r="B671" s="7" t="s">
        <v>103</v>
      </c>
      <c r="C671" s="7" t="s">
        <v>104</v>
      </c>
    </row>
    <row r="672" spans="1:7" x14ac:dyDescent="0.25">
      <c r="A672" s="6">
        <v>56360</v>
      </c>
      <c r="B672" s="7" t="s">
        <v>102</v>
      </c>
      <c r="C672" s="7" t="s">
        <v>106</v>
      </c>
    </row>
    <row r="673" spans="1:7" x14ac:dyDescent="0.25">
      <c r="A673" s="6">
        <v>56370</v>
      </c>
      <c r="B673" s="7" t="s">
        <v>103</v>
      </c>
      <c r="C673" s="7" t="s">
        <v>107</v>
      </c>
    </row>
    <row r="674" spans="1:7" x14ac:dyDescent="0.25">
      <c r="A674" s="6">
        <v>56397</v>
      </c>
      <c r="B674" s="7" t="s">
        <v>108</v>
      </c>
      <c r="C674" s="7" t="s">
        <v>109</v>
      </c>
    </row>
    <row r="675" spans="1:7" x14ac:dyDescent="0.25">
      <c r="A675" s="6">
        <v>56499</v>
      </c>
      <c r="B675" s="7" t="s">
        <v>99</v>
      </c>
      <c r="C675" s="7" t="s">
        <v>110</v>
      </c>
    </row>
    <row r="676" spans="1:7" x14ac:dyDescent="0.25">
      <c r="A676" s="6">
        <v>56534</v>
      </c>
      <c r="B676" s="7" t="s">
        <v>99</v>
      </c>
      <c r="C676" s="7" t="s">
        <v>111</v>
      </c>
    </row>
    <row r="677" spans="1:7" x14ac:dyDescent="0.25">
      <c r="A677" s="6">
        <v>56555</v>
      </c>
      <c r="B677" s="7" t="s">
        <v>99</v>
      </c>
      <c r="C677" s="7" t="s">
        <v>112</v>
      </c>
    </row>
    <row r="678" spans="1:7" x14ac:dyDescent="0.25">
      <c r="A678" s="6">
        <v>56568</v>
      </c>
      <c r="B678" s="7" t="s">
        <v>115</v>
      </c>
      <c r="C678" s="7" t="s">
        <v>113</v>
      </c>
    </row>
    <row r="679" spans="1:7" x14ac:dyDescent="0.25">
      <c r="A679" s="6">
        <v>56573</v>
      </c>
      <c r="B679" s="7" t="s">
        <v>103</v>
      </c>
      <c r="C679" s="7" t="s">
        <v>117</v>
      </c>
      <c r="G679" s="1"/>
    </row>
    <row r="680" spans="1:7" x14ac:dyDescent="0.25">
      <c r="A680" s="6">
        <v>56608</v>
      </c>
      <c r="B680" s="7" t="s">
        <v>103</v>
      </c>
      <c r="C680" s="7" t="s">
        <v>114</v>
      </c>
    </row>
    <row r="681" spans="1:7" x14ac:dyDescent="0.25">
      <c r="A681" s="4">
        <v>56615</v>
      </c>
      <c r="B681" s="5" t="s">
        <v>103</v>
      </c>
      <c r="C681" s="5" t="s">
        <v>100</v>
      </c>
    </row>
    <row r="682" spans="1:7" x14ac:dyDescent="0.25">
      <c r="A682" s="4">
        <v>56674</v>
      </c>
      <c r="B682" s="5" t="s">
        <v>99</v>
      </c>
      <c r="C682" s="5" t="s">
        <v>101</v>
      </c>
    </row>
    <row r="683" spans="1:7" x14ac:dyDescent="0.25">
      <c r="A683" s="4">
        <v>56675</v>
      </c>
      <c r="B683" s="5" t="s">
        <v>102</v>
      </c>
      <c r="C683" s="5" t="s">
        <v>101</v>
      </c>
    </row>
    <row r="684" spans="1:7" x14ac:dyDescent="0.25">
      <c r="A684" s="4">
        <v>56720</v>
      </c>
      <c r="B684" s="5" t="s">
        <v>103</v>
      </c>
      <c r="C684" s="5" t="s">
        <v>104</v>
      </c>
    </row>
    <row r="685" spans="1:7" x14ac:dyDescent="0.25">
      <c r="A685" s="4">
        <v>56725</v>
      </c>
      <c r="B685" s="5" t="s">
        <v>116</v>
      </c>
      <c r="C685" s="5" t="s">
        <v>106</v>
      </c>
    </row>
    <row r="686" spans="1:7" x14ac:dyDescent="0.25">
      <c r="A686" s="4">
        <v>56735</v>
      </c>
      <c r="B686" s="5" t="s">
        <v>105</v>
      </c>
      <c r="C686" s="5" t="s">
        <v>107</v>
      </c>
    </row>
    <row r="687" spans="1:7" x14ac:dyDescent="0.25">
      <c r="A687" s="4">
        <v>56782</v>
      </c>
      <c r="B687" s="5" t="s">
        <v>108</v>
      </c>
      <c r="C687" s="5" t="s">
        <v>109</v>
      </c>
    </row>
    <row r="688" spans="1:7" x14ac:dyDescent="0.25">
      <c r="A688" s="4">
        <v>56864</v>
      </c>
      <c r="B688" s="5" t="s">
        <v>102</v>
      </c>
      <c r="C688" s="5" t="s">
        <v>110</v>
      </c>
    </row>
    <row r="689" spans="1:7" x14ac:dyDescent="0.25">
      <c r="A689" s="4">
        <v>56899</v>
      </c>
      <c r="B689" s="5" t="s">
        <v>102</v>
      </c>
      <c r="C689" s="5" t="s">
        <v>111</v>
      </c>
    </row>
    <row r="690" spans="1:7" x14ac:dyDescent="0.25">
      <c r="A690" s="4">
        <v>56920</v>
      </c>
      <c r="B690" s="5" t="s">
        <v>102</v>
      </c>
      <c r="C690" s="5" t="s">
        <v>112</v>
      </c>
    </row>
    <row r="691" spans="1:7" x14ac:dyDescent="0.25">
      <c r="A691" s="4">
        <v>56933</v>
      </c>
      <c r="B691" s="5" t="s">
        <v>99</v>
      </c>
      <c r="C691" s="5" t="s">
        <v>113</v>
      </c>
    </row>
    <row r="692" spans="1:7" x14ac:dyDescent="0.25">
      <c r="A692" s="4">
        <v>56938</v>
      </c>
      <c r="B692" s="5" t="s">
        <v>105</v>
      </c>
      <c r="C692" s="5" t="s">
        <v>117</v>
      </c>
      <c r="G692" s="1"/>
    </row>
    <row r="693" spans="1:7" x14ac:dyDescent="0.25">
      <c r="A693" s="4">
        <v>56973</v>
      </c>
      <c r="B693" s="5" t="s">
        <v>105</v>
      </c>
      <c r="C693" s="5" t="s">
        <v>114</v>
      </c>
    </row>
    <row r="694" spans="1:7" x14ac:dyDescent="0.25">
      <c r="A694" s="6">
        <v>56980</v>
      </c>
      <c r="B694" s="7" t="s">
        <v>105</v>
      </c>
      <c r="C694" s="7" t="s">
        <v>100</v>
      </c>
    </row>
    <row r="695" spans="1:7" x14ac:dyDescent="0.25">
      <c r="A695" s="6">
        <v>57024</v>
      </c>
      <c r="B695" s="7" t="s">
        <v>99</v>
      </c>
      <c r="C695" s="7" t="s">
        <v>101</v>
      </c>
    </row>
    <row r="696" spans="1:7" x14ac:dyDescent="0.25">
      <c r="A696" s="6">
        <v>57025</v>
      </c>
      <c r="B696" s="7" t="s">
        <v>102</v>
      </c>
      <c r="C696" s="7" t="s">
        <v>101</v>
      </c>
    </row>
    <row r="697" spans="1:7" x14ac:dyDescent="0.25">
      <c r="A697" s="6">
        <v>57070</v>
      </c>
      <c r="B697" s="7" t="s">
        <v>103</v>
      </c>
      <c r="C697" s="7" t="s">
        <v>104</v>
      </c>
    </row>
    <row r="698" spans="1:7" x14ac:dyDescent="0.25">
      <c r="A698" s="6">
        <v>57091</v>
      </c>
      <c r="B698" s="7" t="s">
        <v>103</v>
      </c>
      <c r="C698" s="7" t="s">
        <v>106</v>
      </c>
    </row>
    <row r="699" spans="1:7" x14ac:dyDescent="0.25">
      <c r="A699" s="6">
        <v>57101</v>
      </c>
      <c r="B699" s="7" t="s">
        <v>99</v>
      </c>
      <c r="C699" s="7" t="s">
        <v>107</v>
      </c>
    </row>
    <row r="700" spans="1:7" x14ac:dyDescent="0.25">
      <c r="A700" s="6">
        <v>57132</v>
      </c>
      <c r="B700" s="7" t="s">
        <v>108</v>
      </c>
      <c r="C700" s="7" t="s">
        <v>109</v>
      </c>
    </row>
    <row r="701" spans="1:7" x14ac:dyDescent="0.25">
      <c r="A701" s="6">
        <v>57230</v>
      </c>
      <c r="B701" s="7" t="s">
        <v>108</v>
      </c>
      <c r="C701" s="7" t="s">
        <v>110</v>
      </c>
    </row>
    <row r="702" spans="1:7" x14ac:dyDescent="0.25">
      <c r="A702" s="6">
        <v>57265</v>
      </c>
      <c r="B702" s="7" t="s">
        <v>108</v>
      </c>
      <c r="C702" s="7" t="s">
        <v>111</v>
      </c>
    </row>
    <row r="703" spans="1:7" x14ac:dyDescent="0.25">
      <c r="A703" s="6">
        <v>57286</v>
      </c>
      <c r="B703" s="7" t="s">
        <v>108</v>
      </c>
      <c r="C703" s="7" t="s">
        <v>112</v>
      </c>
    </row>
    <row r="704" spans="1:7" x14ac:dyDescent="0.25">
      <c r="A704" s="6">
        <v>57299</v>
      </c>
      <c r="B704" s="7" t="s">
        <v>116</v>
      </c>
      <c r="C704" s="7" t="s">
        <v>113</v>
      </c>
    </row>
    <row r="705" spans="1:7" x14ac:dyDescent="0.25">
      <c r="A705" s="6">
        <v>57304</v>
      </c>
      <c r="B705" s="7" t="s">
        <v>99</v>
      </c>
      <c r="C705" s="7" t="s">
        <v>117</v>
      </c>
      <c r="G705" s="1"/>
    </row>
    <row r="706" spans="1:7" x14ac:dyDescent="0.25">
      <c r="A706" s="6">
        <v>57339</v>
      </c>
      <c r="B706" s="7" t="s">
        <v>99</v>
      </c>
      <c r="C706" s="7" t="s">
        <v>114</v>
      </c>
    </row>
    <row r="707" spans="1:7" x14ac:dyDescent="0.25">
      <c r="A707" s="4">
        <v>57346</v>
      </c>
      <c r="B707" s="5" t="s">
        <v>99</v>
      </c>
      <c r="C707" s="5" t="s">
        <v>100</v>
      </c>
    </row>
    <row r="708" spans="1:7" x14ac:dyDescent="0.25">
      <c r="A708" s="4">
        <v>57409</v>
      </c>
      <c r="B708" s="5" t="s">
        <v>99</v>
      </c>
      <c r="C708" s="5" t="s">
        <v>101</v>
      </c>
    </row>
    <row r="709" spans="1:7" x14ac:dyDescent="0.25">
      <c r="A709" s="4">
        <v>57410</v>
      </c>
      <c r="B709" s="5" t="s">
        <v>102</v>
      </c>
      <c r="C709" s="5" t="s">
        <v>101</v>
      </c>
    </row>
    <row r="710" spans="1:7" x14ac:dyDescent="0.25">
      <c r="A710" s="4">
        <v>57455</v>
      </c>
      <c r="B710" s="5" t="s">
        <v>103</v>
      </c>
      <c r="C710" s="5" t="s">
        <v>104</v>
      </c>
    </row>
    <row r="711" spans="1:7" x14ac:dyDescent="0.25">
      <c r="A711" s="4">
        <v>57456</v>
      </c>
      <c r="B711" s="5" t="s">
        <v>105</v>
      </c>
      <c r="C711" s="5" t="s">
        <v>106</v>
      </c>
    </row>
    <row r="712" spans="1:7" x14ac:dyDescent="0.25">
      <c r="A712" s="4">
        <v>57466</v>
      </c>
      <c r="B712" s="5" t="s">
        <v>102</v>
      </c>
      <c r="C712" s="5" t="s">
        <v>107</v>
      </c>
    </row>
    <row r="713" spans="1:7" x14ac:dyDescent="0.25">
      <c r="A713" s="4">
        <v>57517</v>
      </c>
      <c r="B713" s="5" t="s">
        <v>108</v>
      </c>
      <c r="C713" s="5" t="s">
        <v>109</v>
      </c>
    </row>
    <row r="714" spans="1:7" x14ac:dyDescent="0.25">
      <c r="A714" s="4">
        <v>57595</v>
      </c>
      <c r="B714" s="5" t="s">
        <v>103</v>
      </c>
      <c r="C714" s="5" t="s">
        <v>110</v>
      </c>
    </row>
    <row r="715" spans="1:7" x14ac:dyDescent="0.25">
      <c r="A715" s="4">
        <v>57630</v>
      </c>
      <c r="B715" s="5" t="s">
        <v>103</v>
      </c>
      <c r="C715" s="5" t="s">
        <v>111</v>
      </c>
    </row>
    <row r="716" spans="1:7" x14ac:dyDescent="0.25">
      <c r="A716" s="4">
        <v>57651</v>
      </c>
      <c r="B716" s="5" t="s">
        <v>103</v>
      </c>
      <c r="C716" s="5" t="s">
        <v>112</v>
      </c>
    </row>
    <row r="717" spans="1:7" x14ac:dyDescent="0.25">
      <c r="A717" s="4">
        <v>57664</v>
      </c>
      <c r="B717" s="5" t="s">
        <v>108</v>
      </c>
      <c r="C717" s="5" t="s">
        <v>113</v>
      </c>
    </row>
    <row r="718" spans="1:7" x14ac:dyDescent="0.25">
      <c r="A718" s="4">
        <v>57669</v>
      </c>
      <c r="B718" s="5" t="s">
        <v>102</v>
      </c>
      <c r="C718" s="5" t="s">
        <v>117</v>
      </c>
      <c r="G718" s="1"/>
    </row>
    <row r="719" spans="1:7" x14ac:dyDescent="0.25">
      <c r="A719" s="4">
        <v>57704</v>
      </c>
      <c r="B719" s="5" t="s">
        <v>102</v>
      </c>
      <c r="C719" s="5" t="s">
        <v>114</v>
      </c>
    </row>
    <row r="720" spans="1:7" x14ac:dyDescent="0.25">
      <c r="A720" s="6">
        <v>57711</v>
      </c>
      <c r="B720" s="7" t="s">
        <v>102</v>
      </c>
      <c r="C720" s="7" t="s">
        <v>100</v>
      </c>
    </row>
    <row r="721" spans="1:7" x14ac:dyDescent="0.25">
      <c r="A721" s="6">
        <v>57766</v>
      </c>
      <c r="B721" s="7" t="s">
        <v>99</v>
      </c>
      <c r="C721" s="7" t="s">
        <v>101</v>
      </c>
    </row>
    <row r="722" spans="1:7" x14ac:dyDescent="0.25">
      <c r="A722" s="6">
        <v>57767</v>
      </c>
      <c r="B722" s="7" t="s">
        <v>102</v>
      </c>
      <c r="C722" s="7" t="s">
        <v>101</v>
      </c>
    </row>
    <row r="723" spans="1:7" x14ac:dyDescent="0.25">
      <c r="A723" s="6">
        <v>57812</v>
      </c>
      <c r="B723" s="7" t="s">
        <v>103</v>
      </c>
      <c r="C723" s="7" t="s">
        <v>104</v>
      </c>
    </row>
    <row r="724" spans="1:7" x14ac:dyDescent="0.25">
      <c r="A724" s="6">
        <v>57821</v>
      </c>
      <c r="B724" s="7" t="s">
        <v>115</v>
      </c>
      <c r="C724" s="7" t="s">
        <v>106</v>
      </c>
    </row>
    <row r="725" spans="1:7" x14ac:dyDescent="0.25">
      <c r="A725" s="6">
        <v>57831</v>
      </c>
      <c r="B725" s="7" t="s">
        <v>116</v>
      </c>
      <c r="C725" s="7" t="s">
        <v>107</v>
      </c>
    </row>
    <row r="726" spans="1:7" x14ac:dyDescent="0.25">
      <c r="A726" s="6">
        <v>57874</v>
      </c>
      <c r="B726" s="7" t="s">
        <v>108</v>
      </c>
      <c r="C726" s="7" t="s">
        <v>109</v>
      </c>
    </row>
    <row r="727" spans="1:7" x14ac:dyDescent="0.25">
      <c r="A727" s="6">
        <v>57960</v>
      </c>
      <c r="B727" s="7" t="s">
        <v>105</v>
      </c>
      <c r="C727" s="7" t="s">
        <v>110</v>
      </c>
    </row>
    <row r="728" spans="1:7" x14ac:dyDescent="0.25">
      <c r="A728" s="6">
        <v>57995</v>
      </c>
      <c r="B728" s="7" t="s">
        <v>105</v>
      </c>
      <c r="C728" s="7" t="s">
        <v>111</v>
      </c>
    </row>
    <row r="729" spans="1:7" x14ac:dyDescent="0.25">
      <c r="A729" s="6">
        <v>58016</v>
      </c>
      <c r="B729" s="7" t="s">
        <v>105</v>
      </c>
      <c r="C729" s="7" t="s">
        <v>112</v>
      </c>
    </row>
    <row r="730" spans="1:7" x14ac:dyDescent="0.25">
      <c r="A730" s="6">
        <v>58029</v>
      </c>
      <c r="B730" s="7" t="s">
        <v>103</v>
      </c>
      <c r="C730" s="7" t="s">
        <v>113</v>
      </c>
    </row>
    <row r="731" spans="1:7" x14ac:dyDescent="0.25">
      <c r="A731" s="6">
        <v>58034</v>
      </c>
      <c r="B731" s="7" t="s">
        <v>116</v>
      </c>
      <c r="C731" s="7" t="s">
        <v>117</v>
      </c>
      <c r="G731" s="1"/>
    </row>
    <row r="732" spans="1:7" x14ac:dyDescent="0.25">
      <c r="A732" s="6">
        <v>58069</v>
      </c>
      <c r="B732" s="7" t="s">
        <v>116</v>
      </c>
      <c r="C732" s="7" t="s">
        <v>114</v>
      </c>
    </row>
    <row r="733" spans="1:7" x14ac:dyDescent="0.25">
      <c r="A733" s="4">
        <v>58076</v>
      </c>
      <c r="B733" s="5" t="s">
        <v>116</v>
      </c>
      <c r="C733" s="5" t="s">
        <v>100</v>
      </c>
    </row>
    <row r="734" spans="1:7" x14ac:dyDescent="0.25">
      <c r="A734" s="4">
        <v>58116</v>
      </c>
      <c r="B734" s="5" t="s">
        <v>99</v>
      </c>
      <c r="C734" s="5" t="s">
        <v>101</v>
      </c>
    </row>
    <row r="735" spans="1:7" x14ac:dyDescent="0.25">
      <c r="A735" s="4">
        <v>58117</v>
      </c>
      <c r="B735" s="5" t="s">
        <v>102</v>
      </c>
      <c r="C735" s="5" t="s">
        <v>101</v>
      </c>
    </row>
    <row r="736" spans="1:7" x14ac:dyDescent="0.25">
      <c r="A736" s="4">
        <v>58162</v>
      </c>
      <c r="B736" s="5" t="s">
        <v>103</v>
      </c>
      <c r="C736" s="5" t="s">
        <v>104</v>
      </c>
    </row>
    <row r="737" spans="1:7" x14ac:dyDescent="0.25">
      <c r="A737" s="4">
        <v>58186</v>
      </c>
      <c r="B737" s="5" t="s">
        <v>99</v>
      </c>
      <c r="C737" s="5" t="s">
        <v>106</v>
      </c>
    </row>
    <row r="738" spans="1:7" x14ac:dyDescent="0.25">
      <c r="A738" s="4">
        <v>58196</v>
      </c>
      <c r="B738" s="5" t="s">
        <v>108</v>
      </c>
      <c r="C738" s="5" t="s">
        <v>107</v>
      </c>
    </row>
    <row r="739" spans="1:7" x14ac:dyDescent="0.25">
      <c r="A739" s="4">
        <v>58224</v>
      </c>
      <c r="B739" s="5" t="s">
        <v>108</v>
      </c>
      <c r="C739" s="5" t="s">
        <v>109</v>
      </c>
    </row>
    <row r="740" spans="1:7" x14ac:dyDescent="0.25">
      <c r="A740" s="4">
        <v>58325</v>
      </c>
      <c r="B740" s="5" t="s">
        <v>115</v>
      </c>
      <c r="C740" s="5" t="s">
        <v>110</v>
      </c>
    </row>
    <row r="741" spans="1:7" x14ac:dyDescent="0.25">
      <c r="A741" s="4">
        <v>58360</v>
      </c>
      <c r="B741" s="5" t="s">
        <v>115</v>
      </c>
      <c r="C741" s="5" t="s">
        <v>111</v>
      </c>
    </row>
    <row r="742" spans="1:7" x14ac:dyDescent="0.25">
      <c r="A742" s="4">
        <v>58381</v>
      </c>
      <c r="B742" s="5" t="s">
        <v>115</v>
      </c>
      <c r="C742" s="5" t="s">
        <v>112</v>
      </c>
    </row>
    <row r="743" spans="1:7" x14ac:dyDescent="0.25">
      <c r="A743" s="4">
        <v>58394</v>
      </c>
      <c r="B743" s="5" t="s">
        <v>105</v>
      </c>
      <c r="C743" s="5" t="s">
        <v>113</v>
      </c>
    </row>
    <row r="744" spans="1:7" x14ac:dyDescent="0.25">
      <c r="A744" s="4">
        <v>58399</v>
      </c>
      <c r="B744" s="5" t="s">
        <v>108</v>
      </c>
      <c r="C744" s="5" t="s">
        <v>117</v>
      </c>
      <c r="G744" s="1"/>
    </row>
    <row r="745" spans="1:7" x14ac:dyDescent="0.25">
      <c r="A745" s="4">
        <v>58434</v>
      </c>
      <c r="B745" s="5" t="s">
        <v>108</v>
      </c>
      <c r="C745" s="5" t="s">
        <v>114</v>
      </c>
    </row>
    <row r="746" spans="1:7" x14ac:dyDescent="0.25">
      <c r="A746" s="6">
        <v>58441</v>
      </c>
      <c r="B746" s="7" t="s">
        <v>108</v>
      </c>
      <c r="C746" s="7" t="s">
        <v>100</v>
      </c>
    </row>
    <row r="747" spans="1:7" x14ac:dyDescent="0.25">
      <c r="A747" s="6">
        <v>58501</v>
      </c>
      <c r="B747" s="7" t="s">
        <v>99</v>
      </c>
      <c r="C747" s="7" t="s">
        <v>101</v>
      </c>
    </row>
    <row r="748" spans="1:7" x14ac:dyDescent="0.25">
      <c r="A748" s="6">
        <v>58502</v>
      </c>
      <c r="B748" s="7" t="s">
        <v>102</v>
      </c>
      <c r="C748" s="7" t="s">
        <v>101</v>
      </c>
    </row>
    <row r="749" spans="1:7" x14ac:dyDescent="0.25">
      <c r="A749" s="6">
        <v>58547</v>
      </c>
      <c r="B749" s="7" t="s">
        <v>103</v>
      </c>
      <c r="C749" s="7" t="s">
        <v>104</v>
      </c>
    </row>
    <row r="750" spans="1:7" x14ac:dyDescent="0.25">
      <c r="A750" s="6">
        <v>58552</v>
      </c>
      <c r="B750" s="7" t="s">
        <v>116</v>
      </c>
      <c r="C750" s="7" t="s">
        <v>106</v>
      </c>
    </row>
    <row r="751" spans="1:7" x14ac:dyDescent="0.25">
      <c r="A751" s="6">
        <v>58562</v>
      </c>
      <c r="B751" s="7" t="s">
        <v>105</v>
      </c>
      <c r="C751" s="7" t="s">
        <v>107</v>
      </c>
    </row>
    <row r="752" spans="1:7" x14ac:dyDescent="0.25">
      <c r="A752" s="6">
        <v>58609</v>
      </c>
      <c r="B752" s="7" t="s">
        <v>108</v>
      </c>
      <c r="C752" s="7" t="s">
        <v>109</v>
      </c>
    </row>
    <row r="753" spans="1:7" x14ac:dyDescent="0.25">
      <c r="A753" s="6">
        <v>58691</v>
      </c>
      <c r="B753" s="7" t="s">
        <v>102</v>
      </c>
      <c r="C753" s="7" t="s">
        <v>110</v>
      </c>
    </row>
    <row r="754" spans="1:7" x14ac:dyDescent="0.25">
      <c r="A754" s="6">
        <v>58726</v>
      </c>
      <c r="B754" s="7" t="s">
        <v>102</v>
      </c>
      <c r="C754" s="7" t="s">
        <v>111</v>
      </c>
    </row>
    <row r="755" spans="1:7" x14ac:dyDescent="0.25">
      <c r="A755" s="6">
        <v>58747</v>
      </c>
      <c r="B755" s="7" t="s">
        <v>102</v>
      </c>
      <c r="C755" s="7" t="s">
        <v>112</v>
      </c>
    </row>
    <row r="756" spans="1:7" x14ac:dyDescent="0.25">
      <c r="A756" s="6">
        <v>58760</v>
      </c>
      <c r="B756" s="7" t="s">
        <v>99</v>
      </c>
      <c r="C756" s="7" t="s">
        <v>113</v>
      </c>
    </row>
    <row r="757" spans="1:7" x14ac:dyDescent="0.25">
      <c r="A757" s="6">
        <v>58765</v>
      </c>
      <c r="B757" s="7" t="s">
        <v>105</v>
      </c>
      <c r="C757" s="7" t="s">
        <v>117</v>
      </c>
      <c r="G757" s="1"/>
    </row>
    <row r="758" spans="1:7" x14ac:dyDescent="0.25">
      <c r="A758" s="6">
        <v>58800</v>
      </c>
      <c r="B758" s="7" t="s">
        <v>105</v>
      </c>
      <c r="C758" s="7" t="s">
        <v>114</v>
      </c>
    </row>
    <row r="759" spans="1:7" x14ac:dyDescent="0.25">
      <c r="A759" s="4">
        <v>58807</v>
      </c>
      <c r="B759" s="5" t="s">
        <v>105</v>
      </c>
      <c r="C759" s="5" t="s">
        <v>100</v>
      </c>
    </row>
    <row r="760" spans="1:7" x14ac:dyDescent="0.25">
      <c r="A760" s="4">
        <v>58858</v>
      </c>
      <c r="B760" s="5" t="s">
        <v>99</v>
      </c>
      <c r="C760" s="5" t="s">
        <v>101</v>
      </c>
    </row>
    <row r="761" spans="1:7" x14ac:dyDescent="0.25">
      <c r="A761" s="4">
        <v>58859</v>
      </c>
      <c r="B761" s="5" t="s">
        <v>102</v>
      </c>
      <c r="C761" s="5" t="s">
        <v>101</v>
      </c>
    </row>
    <row r="762" spans="1:7" x14ac:dyDescent="0.25">
      <c r="A762" s="4">
        <v>58904</v>
      </c>
      <c r="B762" s="5" t="s">
        <v>103</v>
      </c>
      <c r="C762" s="5" t="s">
        <v>104</v>
      </c>
    </row>
    <row r="763" spans="1:7" x14ac:dyDescent="0.25">
      <c r="A763" s="4">
        <v>58917</v>
      </c>
      <c r="B763" s="5" t="s">
        <v>108</v>
      </c>
      <c r="C763" s="5" t="s">
        <v>106</v>
      </c>
    </row>
    <row r="764" spans="1:7" x14ac:dyDescent="0.25">
      <c r="A764" s="4">
        <v>58927</v>
      </c>
      <c r="B764" s="5" t="s">
        <v>115</v>
      </c>
      <c r="C764" s="5" t="s">
        <v>107</v>
      </c>
    </row>
    <row r="765" spans="1:7" x14ac:dyDescent="0.25">
      <c r="A765" s="4">
        <v>58966</v>
      </c>
      <c r="B765" s="5" t="s">
        <v>108</v>
      </c>
      <c r="C765" s="5" t="s">
        <v>109</v>
      </c>
    </row>
    <row r="766" spans="1:7" x14ac:dyDescent="0.25">
      <c r="A766" s="4">
        <v>59056</v>
      </c>
      <c r="B766" s="5" t="s">
        <v>116</v>
      </c>
      <c r="C766" s="5" t="s">
        <v>110</v>
      </c>
    </row>
    <row r="767" spans="1:7" x14ac:dyDescent="0.25">
      <c r="A767" s="4">
        <v>59091</v>
      </c>
      <c r="B767" s="5" t="s">
        <v>116</v>
      </c>
      <c r="C767" s="5" t="s">
        <v>111</v>
      </c>
    </row>
    <row r="768" spans="1:7" x14ac:dyDescent="0.25">
      <c r="A768" s="4">
        <v>59112</v>
      </c>
      <c r="B768" s="5" t="s">
        <v>116</v>
      </c>
      <c r="C768" s="5" t="s">
        <v>112</v>
      </c>
    </row>
    <row r="769" spans="1:7" x14ac:dyDescent="0.25">
      <c r="A769" s="4">
        <v>59125</v>
      </c>
      <c r="B769" s="5" t="s">
        <v>102</v>
      </c>
      <c r="C769" s="5" t="s">
        <v>113</v>
      </c>
    </row>
    <row r="770" spans="1:7" x14ac:dyDescent="0.25">
      <c r="A770" s="4">
        <v>59130</v>
      </c>
      <c r="B770" s="5" t="s">
        <v>115</v>
      </c>
      <c r="C770" s="5" t="s">
        <v>117</v>
      </c>
      <c r="G770" s="1"/>
    </row>
    <row r="771" spans="1:7" x14ac:dyDescent="0.25">
      <c r="A771" s="4">
        <v>59165</v>
      </c>
      <c r="B771" s="5" t="s">
        <v>115</v>
      </c>
      <c r="C771" s="5" t="s">
        <v>114</v>
      </c>
    </row>
    <row r="772" spans="1:7" x14ac:dyDescent="0.25">
      <c r="A772" s="6">
        <v>59172</v>
      </c>
      <c r="B772" s="7" t="s">
        <v>115</v>
      </c>
      <c r="C772" s="7" t="s">
        <v>100</v>
      </c>
    </row>
    <row r="773" spans="1:7" x14ac:dyDescent="0.25">
      <c r="A773" s="6">
        <v>59208</v>
      </c>
      <c r="B773" s="7" t="s">
        <v>99</v>
      </c>
      <c r="C773" s="7" t="s">
        <v>101</v>
      </c>
    </row>
    <row r="774" spans="1:7" x14ac:dyDescent="0.25">
      <c r="A774" s="6">
        <v>59209</v>
      </c>
      <c r="B774" s="7" t="s">
        <v>102</v>
      </c>
      <c r="C774" s="7" t="s">
        <v>101</v>
      </c>
    </row>
    <row r="775" spans="1:7" x14ac:dyDescent="0.25">
      <c r="A775" s="6">
        <v>59254</v>
      </c>
      <c r="B775" s="7" t="s">
        <v>103</v>
      </c>
      <c r="C775" s="7" t="s">
        <v>104</v>
      </c>
    </row>
    <row r="776" spans="1:7" x14ac:dyDescent="0.25">
      <c r="A776" s="6">
        <v>59282</v>
      </c>
      <c r="B776" s="7" t="s">
        <v>103</v>
      </c>
      <c r="C776" s="7" t="s">
        <v>106</v>
      </c>
    </row>
    <row r="777" spans="1:7" x14ac:dyDescent="0.25">
      <c r="A777" s="6">
        <v>59292</v>
      </c>
      <c r="B777" s="7" t="s">
        <v>99</v>
      </c>
      <c r="C777" s="7" t="s">
        <v>107</v>
      </c>
    </row>
    <row r="778" spans="1:7" x14ac:dyDescent="0.25">
      <c r="A778" s="6">
        <v>59316</v>
      </c>
      <c r="B778" s="7" t="s">
        <v>108</v>
      </c>
      <c r="C778" s="7" t="s">
        <v>109</v>
      </c>
    </row>
    <row r="779" spans="1:7" x14ac:dyDescent="0.25">
      <c r="A779" s="6">
        <v>59421</v>
      </c>
      <c r="B779" s="7" t="s">
        <v>108</v>
      </c>
      <c r="C779" s="7" t="s">
        <v>110</v>
      </c>
    </row>
    <row r="780" spans="1:7" x14ac:dyDescent="0.25">
      <c r="A780" s="6">
        <v>59456</v>
      </c>
      <c r="B780" s="7" t="s">
        <v>108</v>
      </c>
      <c r="C780" s="7" t="s">
        <v>111</v>
      </c>
    </row>
    <row r="781" spans="1:7" x14ac:dyDescent="0.25">
      <c r="A781" s="6">
        <v>59477</v>
      </c>
      <c r="B781" s="7" t="s">
        <v>108</v>
      </c>
      <c r="C781" s="7" t="s">
        <v>112</v>
      </c>
    </row>
    <row r="782" spans="1:7" x14ac:dyDescent="0.25">
      <c r="A782" s="6">
        <v>59490</v>
      </c>
      <c r="B782" s="7" t="s">
        <v>116</v>
      </c>
      <c r="C782" s="7" t="s">
        <v>113</v>
      </c>
    </row>
    <row r="783" spans="1:7" x14ac:dyDescent="0.25">
      <c r="A783" s="6">
        <v>59495</v>
      </c>
      <c r="B783" s="7" t="s">
        <v>99</v>
      </c>
      <c r="C783" s="7" t="s">
        <v>117</v>
      </c>
      <c r="G783" s="1"/>
    </row>
    <row r="784" spans="1:7" x14ac:dyDescent="0.25">
      <c r="A784" s="6">
        <v>59530</v>
      </c>
      <c r="B784" s="7" t="s">
        <v>99</v>
      </c>
      <c r="C784" s="7" t="s">
        <v>114</v>
      </c>
    </row>
    <row r="785" spans="1:7" x14ac:dyDescent="0.25">
      <c r="A785" s="4">
        <v>59537</v>
      </c>
      <c r="B785" s="5" t="s">
        <v>99</v>
      </c>
      <c r="C785" s="5" t="s">
        <v>100</v>
      </c>
    </row>
    <row r="786" spans="1:7" x14ac:dyDescent="0.25">
      <c r="A786" s="4">
        <v>59593</v>
      </c>
      <c r="B786" s="5" t="s">
        <v>99</v>
      </c>
      <c r="C786" s="5" t="s">
        <v>101</v>
      </c>
    </row>
    <row r="787" spans="1:7" x14ac:dyDescent="0.25">
      <c r="A787" s="4">
        <v>59594</v>
      </c>
      <c r="B787" s="5" t="s">
        <v>102</v>
      </c>
      <c r="C787" s="5" t="s">
        <v>101</v>
      </c>
    </row>
    <row r="788" spans="1:7" x14ac:dyDescent="0.25">
      <c r="A788" s="4">
        <v>59639</v>
      </c>
      <c r="B788" s="5" t="s">
        <v>103</v>
      </c>
      <c r="C788" s="5" t="s">
        <v>104</v>
      </c>
    </row>
    <row r="789" spans="1:7" x14ac:dyDescent="0.25">
      <c r="A789" s="4">
        <v>59647</v>
      </c>
      <c r="B789" s="5" t="s">
        <v>105</v>
      </c>
      <c r="C789" s="5" t="s">
        <v>106</v>
      </c>
    </row>
    <row r="790" spans="1:7" x14ac:dyDescent="0.25">
      <c r="A790" s="4">
        <v>59657</v>
      </c>
      <c r="B790" s="5" t="s">
        <v>102</v>
      </c>
      <c r="C790" s="5" t="s">
        <v>107</v>
      </c>
    </row>
    <row r="791" spans="1:7" x14ac:dyDescent="0.25">
      <c r="A791" s="4">
        <v>59701</v>
      </c>
      <c r="B791" s="5" t="s">
        <v>108</v>
      </c>
      <c r="C791" s="5" t="s">
        <v>109</v>
      </c>
    </row>
    <row r="792" spans="1:7" x14ac:dyDescent="0.25">
      <c r="A792" s="4">
        <v>59786</v>
      </c>
      <c r="B792" s="5" t="s">
        <v>103</v>
      </c>
      <c r="C792" s="5" t="s">
        <v>110</v>
      </c>
    </row>
    <row r="793" spans="1:7" x14ac:dyDescent="0.25">
      <c r="A793" s="4">
        <v>59821</v>
      </c>
      <c r="B793" s="5" t="s">
        <v>103</v>
      </c>
      <c r="C793" s="5" t="s">
        <v>111</v>
      </c>
    </row>
    <row r="794" spans="1:7" x14ac:dyDescent="0.25">
      <c r="A794" s="4">
        <v>59842</v>
      </c>
      <c r="B794" s="5" t="s">
        <v>103</v>
      </c>
      <c r="C794" s="5" t="s">
        <v>112</v>
      </c>
    </row>
    <row r="795" spans="1:7" x14ac:dyDescent="0.25">
      <c r="A795" s="4">
        <v>59855</v>
      </c>
      <c r="B795" s="5" t="s">
        <v>108</v>
      </c>
      <c r="C795" s="5" t="s">
        <v>113</v>
      </c>
    </row>
    <row r="796" spans="1:7" x14ac:dyDescent="0.25">
      <c r="A796" s="4">
        <v>59860</v>
      </c>
      <c r="B796" s="5" t="s">
        <v>102</v>
      </c>
      <c r="C796" s="5" t="s">
        <v>117</v>
      </c>
      <c r="G796" s="1"/>
    </row>
    <row r="797" spans="1:7" x14ac:dyDescent="0.25">
      <c r="A797" s="4">
        <v>59895</v>
      </c>
      <c r="B797" s="5" t="s">
        <v>102</v>
      </c>
      <c r="C797" s="5" t="s">
        <v>114</v>
      </c>
    </row>
    <row r="798" spans="1:7" x14ac:dyDescent="0.25">
      <c r="A798" s="6">
        <v>59902</v>
      </c>
      <c r="B798" s="7" t="s">
        <v>102</v>
      </c>
      <c r="C798" s="7" t="s">
        <v>100</v>
      </c>
    </row>
    <row r="799" spans="1:7" x14ac:dyDescent="0.25">
      <c r="A799" s="6">
        <v>59950</v>
      </c>
      <c r="B799" s="7" t="s">
        <v>99</v>
      </c>
      <c r="C799" s="7" t="s">
        <v>101</v>
      </c>
    </row>
    <row r="800" spans="1:7" x14ac:dyDescent="0.25">
      <c r="A800" s="6">
        <v>59951</v>
      </c>
      <c r="B800" s="7" t="s">
        <v>102</v>
      </c>
      <c r="C800" s="7" t="s">
        <v>101</v>
      </c>
    </row>
    <row r="801" spans="1:7" x14ac:dyDescent="0.25">
      <c r="A801" s="6">
        <v>59996</v>
      </c>
      <c r="B801" s="7" t="s">
        <v>103</v>
      </c>
      <c r="C801" s="7" t="s">
        <v>104</v>
      </c>
    </row>
    <row r="802" spans="1:7" x14ac:dyDescent="0.25">
      <c r="A802" s="6">
        <v>60013</v>
      </c>
      <c r="B802" s="7" t="s">
        <v>99</v>
      </c>
      <c r="C802" s="7" t="s">
        <v>106</v>
      </c>
    </row>
    <row r="803" spans="1:7" x14ac:dyDescent="0.25">
      <c r="A803" s="6">
        <v>60023</v>
      </c>
      <c r="B803" s="7" t="s">
        <v>108</v>
      </c>
      <c r="C803" s="7" t="s">
        <v>107</v>
      </c>
    </row>
    <row r="804" spans="1:7" x14ac:dyDescent="0.25">
      <c r="A804" s="6">
        <v>60058</v>
      </c>
      <c r="B804" s="7" t="s">
        <v>108</v>
      </c>
      <c r="C804" s="7" t="s">
        <v>109</v>
      </c>
    </row>
    <row r="805" spans="1:7" x14ac:dyDescent="0.25">
      <c r="A805" s="6">
        <v>60152</v>
      </c>
      <c r="B805" s="7" t="s">
        <v>115</v>
      </c>
      <c r="C805" s="7" t="s">
        <v>110</v>
      </c>
    </row>
    <row r="806" spans="1:7" x14ac:dyDescent="0.25">
      <c r="A806" s="6">
        <v>60187</v>
      </c>
      <c r="B806" s="7" t="s">
        <v>115</v>
      </c>
      <c r="C806" s="7" t="s">
        <v>111</v>
      </c>
    </row>
    <row r="807" spans="1:7" x14ac:dyDescent="0.25">
      <c r="A807" s="6">
        <v>60208</v>
      </c>
      <c r="B807" s="7" t="s">
        <v>115</v>
      </c>
      <c r="C807" s="7" t="s">
        <v>112</v>
      </c>
    </row>
    <row r="808" spans="1:7" x14ac:dyDescent="0.25">
      <c r="A808" s="6">
        <v>60221</v>
      </c>
      <c r="B808" s="7" t="s">
        <v>105</v>
      </c>
      <c r="C808" s="7" t="s">
        <v>113</v>
      </c>
    </row>
    <row r="809" spans="1:7" x14ac:dyDescent="0.25">
      <c r="A809" s="6">
        <v>60226</v>
      </c>
      <c r="B809" s="7" t="s">
        <v>108</v>
      </c>
      <c r="C809" s="7" t="s">
        <v>117</v>
      </c>
      <c r="G809" s="1"/>
    </row>
    <row r="810" spans="1:7" x14ac:dyDescent="0.25">
      <c r="A810" s="6">
        <v>60261</v>
      </c>
      <c r="B810" s="7" t="s">
        <v>108</v>
      </c>
      <c r="C810" s="7" t="s">
        <v>114</v>
      </c>
    </row>
    <row r="811" spans="1:7" x14ac:dyDescent="0.25">
      <c r="A811" s="4">
        <v>60268</v>
      </c>
      <c r="B811" s="5" t="s">
        <v>108</v>
      </c>
      <c r="C811" s="5" t="s">
        <v>100</v>
      </c>
    </row>
    <row r="812" spans="1:7" x14ac:dyDescent="0.25">
      <c r="A812" s="4">
        <v>60307</v>
      </c>
      <c r="B812" s="5" t="s">
        <v>99</v>
      </c>
      <c r="C812" s="5" t="s">
        <v>101</v>
      </c>
    </row>
    <row r="813" spans="1:7" x14ac:dyDescent="0.25">
      <c r="A813" s="4">
        <v>60308</v>
      </c>
      <c r="B813" s="5" t="s">
        <v>102</v>
      </c>
      <c r="C813" s="5" t="s">
        <v>101</v>
      </c>
    </row>
    <row r="814" spans="1:7" x14ac:dyDescent="0.25">
      <c r="A814" s="4">
        <v>60353</v>
      </c>
      <c r="B814" s="5" t="s">
        <v>103</v>
      </c>
      <c r="C814" s="5" t="s">
        <v>104</v>
      </c>
    </row>
    <row r="815" spans="1:7" x14ac:dyDescent="0.25">
      <c r="A815" s="4">
        <v>60378</v>
      </c>
      <c r="B815" s="5" t="s">
        <v>102</v>
      </c>
      <c r="C815" s="5" t="s">
        <v>106</v>
      </c>
    </row>
    <row r="816" spans="1:7" x14ac:dyDescent="0.25">
      <c r="A816" s="4">
        <v>60388</v>
      </c>
      <c r="B816" s="5" t="s">
        <v>103</v>
      </c>
      <c r="C816" s="5" t="s">
        <v>107</v>
      </c>
    </row>
    <row r="817" spans="1:7" x14ac:dyDescent="0.25">
      <c r="A817" s="4">
        <v>60415</v>
      </c>
      <c r="B817" s="5" t="s">
        <v>108</v>
      </c>
      <c r="C817" s="5" t="s">
        <v>109</v>
      </c>
    </row>
    <row r="818" spans="1:7" x14ac:dyDescent="0.25">
      <c r="A818" s="4">
        <v>60517</v>
      </c>
      <c r="B818" s="5" t="s">
        <v>99</v>
      </c>
      <c r="C818" s="5" t="s">
        <v>110</v>
      </c>
    </row>
    <row r="819" spans="1:7" x14ac:dyDescent="0.25">
      <c r="A819" s="4">
        <v>60552</v>
      </c>
      <c r="B819" s="5" t="s">
        <v>99</v>
      </c>
      <c r="C819" s="5" t="s">
        <v>111</v>
      </c>
    </row>
    <row r="820" spans="1:7" x14ac:dyDescent="0.25">
      <c r="A820" s="4">
        <v>60573</v>
      </c>
      <c r="B820" s="5" t="s">
        <v>99</v>
      </c>
      <c r="C820" s="5" t="s">
        <v>112</v>
      </c>
    </row>
    <row r="821" spans="1:7" x14ac:dyDescent="0.25">
      <c r="A821" s="4">
        <v>60586</v>
      </c>
      <c r="B821" s="5" t="s">
        <v>115</v>
      </c>
      <c r="C821" s="5" t="s">
        <v>113</v>
      </c>
    </row>
    <row r="822" spans="1:7" x14ac:dyDescent="0.25">
      <c r="A822" s="4">
        <v>60591</v>
      </c>
      <c r="B822" s="5" t="s">
        <v>103</v>
      </c>
      <c r="C822" s="5" t="s">
        <v>117</v>
      </c>
      <c r="G822" s="1"/>
    </row>
    <row r="823" spans="1:7" x14ac:dyDescent="0.25">
      <c r="A823" s="4">
        <v>60626</v>
      </c>
      <c r="B823" s="5" t="s">
        <v>103</v>
      </c>
      <c r="C823" s="5" t="s">
        <v>114</v>
      </c>
    </row>
    <row r="824" spans="1:7" x14ac:dyDescent="0.25">
      <c r="A824" s="6">
        <v>60633</v>
      </c>
      <c r="B824" s="7" t="s">
        <v>103</v>
      </c>
      <c r="C824" s="7" t="s">
        <v>100</v>
      </c>
    </row>
    <row r="825" spans="1:7" x14ac:dyDescent="0.25">
      <c r="A825" s="6">
        <v>60685</v>
      </c>
      <c r="B825" s="7" t="s">
        <v>99</v>
      </c>
      <c r="C825" s="7" t="s">
        <v>101</v>
      </c>
    </row>
    <row r="826" spans="1:7" x14ac:dyDescent="0.25">
      <c r="A826" s="6">
        <v>60686</v>
      </c>
      <c r="B826" s="7" t="s">
        <v>102</v>
      </c>
      <c r="C826" s="7" t="s">
        <v>101</v>
      </c>
    </row>
    <row r="827" spans="1:7" x14ac:dyDescent="0.25">
      <c r="A827" s="6">
        <v>60731</v>
      </c>
      <c r="B827" s="7" t="s">
        <v>103</v>
      </c>
      <c r="C827" s="7" t="s">
        <v>104</v>
      </c>
    </row>
    <row r="828" spans="1:7" x14ac:dyDescent="0.25">
      <c r="A828" s="6">
        <v>60743</v>
      </c>
      <c r="B828" s="7" t="s">
        <v>116</v>
      </c>
      <c r="C828" s="7" t="s">
        <v>106</v>
      </c>
    </row>
    <row r="829" spans="1:7" x14ac:dyDescent="0.25">
      <c r="A829" s="6">
        <v>60753</v>
      </c>
      <c r="B829" s="7" t="s">
        <v>105</v>
      </c>
      <c r="C829" s="7" t="s">
        <v>107</v>
      </c>
    </row>
    <row r="830" spans="1:7" x14ac:dyDescent="0.25">
      <c r="A830" s="6">
        <v>60793</v>
      </c>
      <c r="B830" s="7" t="s">
        <v>108</v>
      </c>
      <c r="C830" s="7" t="s">
        <v>109</v>
      </c>
    </row>
    <row r="831" spans="1:7" x14ac:dyDescent="0.25">
      <c r="A831" s="6">
        <v>60882</v>
      </c>
      <c r="B831" s="7" t="s">
        <v>102</v>
      </c>
      <c r="C831" s="7" t="s">
        <v>110</v>
      </c>
    </row>
    <row r="832" spans="1:7" x14ac:dyDescent="0.25">
      <c r="A832" s="6">
        <v>60917</v>
      </c>
      <c r="B832" s="7" t="s">
        <v>102</v>
      </c>
      <c r="C832" s="7" t="s">
        <v>111</v>
      </c>
    </row>
    <row r="833" spans="1:7" x14ac:dyDescent="0.25">
      <c r="A833" s="6">
        <v>60938</v>
      </c>
      <c r="B833" s="7" t="s">
        <v>102</v>
      </c>
      <c r="C833" s="7" t="s">
        <v>112</v>
      </c>
    </row>
    <row r="834" spans="1:7" x14ac:dyDescent="0.25">
      <c r="A834" s="6">
        <v>60951</v>
      </c>
      <c r="B834" s="7" t="s">
        <v>99</v>
      </c>
      <c r="C834" s="7" t="s">
        <v>113</v>
      </c>
    </row>
    <row r="835" spans="1:7" x14ac:dyDescent="0.25">
      <c r="A835" s="6">
        <v>60956</v>
      </c>
      <c r="B835" s="7" t="s">
        <v>105</v>
      </c>
      <c r="C835" s="7" t="s">
        <v>117</v>
      </c>
      <c r="G835" s="1"/>
    </row>
    <row r="836" spans="1:7" x14ac:dyDescent="0.25">
      <c r="A836" s="6">
        <v>60991</v>
      </c>
      <c r="B836" s="7" t="s">
        <v>105</v>
      </c>
      <c r="C836" s="7" t="s">
        <v>114</v>
      </c>
    </row>
    <row r="837" spans="1:7" x14ac:dyDescent="0.25">
      <c r="A837" s="4">
        <v>60998</v>
      </c>
      <c r="B837" s="5" t="s">
        <v>105</v>
      </c>
      <c r="C837" s="5" t="s">
        <v>100</v>
      </c>
    </row>
    <row r="838" spans="1:7" x14ac:dyDescent="0.25">
      <c r="A838" s="4">
        <v>61042</v>
      </c>
      <c r="B838" s="5" t="s">
        <v>99</v>
      </c>
      <c r="C838" s="5" t="s">
        <v>101</v>
      </c>
    </row>
    <row r="839" spans="1:7" x14ac:dyDescent="0.25">
      <c r="A839" s="4">
        <v>61043</v>
      </c>
      <c r="B839" s="5" t="s">
        <v>102</v>
      </c>
      <c r="C839" s="5" t="s">
        <v>101</v>
      </c>
    </row>
    <row r="840" spans="1:7" x14ac:dyDescent="0.25">
      <c r="A840" s="4">
        <v>61088</v>
      </c>
      <c r="B840" s="5" t="s">
        <v>103</v>
      </c>
      <c r="C840" s="5" t="s">
        <v>104</v>
      </c>
    </row>
    <row r="841" spans="1:7" x14ac:dyDescent="0.25">
      <c r="A841" s="4">
        <v>61108</v>
      </c>
      <c r="B841" s="5" t="s">
        <v>108</v>
      </c>
      <c r="C841" s="5" t="s">
        <v>106</v>
      </c>
    </row>
    <row r="842" spans="1:7" x14ac:dyDescent="0.25">
      <c r="A842" s="4">
        <v>61118</v>
      </c>
      <c r="B842" s="5" t="s">
        <v>115</v>
      </c>
      <c r="C842" s="5" t="s">
        <v>107</v>
      </c>
    </row>
    <row r="843" spans="1:7" x14ac:dyDescent="0.25">
      <c r="A843" s="4">
        <v>61150</v>
      </c>
      <c r="B843" s="5" t="s">
        <v>108</v>
      </c>
      <c r="C843" s="5" t="s">
        <v>109</v>
      </c>
    </row>
    <row r="844" spans="1:7" x14ac:dyDescent="0.25">
      <c r="A844" s="4">
        <v>61247</v>
      </c>
      <c r="B844" s="5" t="s">
        <v>116</v>
      </c>
      <c r="C844" s="5" t="s">
        <v>110</v>
      </c>
    </row>
    <row r="845" spans="1:7" x14ac:dyDescent="0.25">
      <c r="A845" s="4">
        <v>61282</v>
      </c>
      <c r="B845" s="5" t="s">
        <v>116</v>
      </c>
      <c r="C845" s="5" t="s">
        <v>111</v>
      </c>
    </row>
    <row r="846" spans="1:7" x14ac:dyDescent="0.25">
      <c r="A846" s="4">
        <v>61303</v>
      </c>
      <c r="B846" s="5" t="s">
        <v>116</v>
      </c>
      <c r="C846" s="5" t="s">
        <v>112</v>
      </c>
    </row>
    <row r="847" spans="1:7" x14ac:dyDescent="0.25">
      <c r="A847" s="4">
        <v>61316</v>
      </c>
      <c r="B847" s="5" t="s">
        <v>102</v>
      </c>
      <c r="C847" s="5" t="s">
        <v>113</v>
      </c>
    </row>
    <row r="848" spans="1:7" x14ac:dyDescent="0.25">
      <c r="A848" s="4">
        <v>61321</v>
      </c>
      <c r="B848" s="5" t="s">
        <v>115</v>
      </c>
      <c r="C848" s="5" t="s">
        <v>117</v>
      </c>
      <c r="G848" s="1"/>
    </row>
    <row r="849" spans="1:7" x14ac:dyDescent="0.25">
      <c r="A849" s="4">
        <v>61356</v>
      </c>
      <c r="B849" s="5" t="s">
        <v>115</v>
      </c>
      <c r="C849" s="5" t="s">
        <v>114</v>
      </c>
    </row>
    <row r="850" spans="1:7" x14ac:dyDescent="0.25">
      <c r="A850" s="6">
        <v>61363</v>
      </c>
      <c r="B850" s="7" t="s">
        <v>115</v>
      </c>
      <c r="C850" s="7" t="s">
        <v>100</v>
      </c>
    </row>
    <row r="851" spans="1:7" x14ac:dyDescent="0.25">
      <c r="A851" s="6">
        <v>61427</v>
      </c>
      <c r="B851" s="7" t="s">
        <v>99</v>
      </c>
      <c r="C851" s="7" t="s">
        <v>101</v>
      </c>
    </row>
    <row r="852" spans="1:7" x14ac:dyDescent="0.25">
      <c r="A852" s="6">
        <v>61428</v>
      </c>
      <c r="B852" s="7" t="s">
        <v>102</v>
      </c>
      <c r="C852" s="7" t="s">
        <v>101</v>
      </c>
    </row>
    <row r="853" spans="1:7" x14ac:dyDescent="0.25">
      <c r="A853" s="6">
        <v>61473</v>
      </c>
      <c r="B853" s="7" t="s">
        <v>103</v>
      </c>
      <c r="C853" s="7" t="s">
        <v>104</v>
      </c>
    </row>
    <row r="854" spans="1:7" x14ac:dyDescent="0.25">
      <c r="A854" s="6">
        <v>61474</v>
      </c>
      <c r="B854" s="7" t="s">
        <v>105</v>
      </c>
      <c r="C854" s="7" t="s">
        <v>106</v>
      </c>
    </row>
    <row r="855" spans="1:7" x14ac:dyDescent="0.25">
      <c r="A855" s="6">
        <v>61484</v>
      </c>
      <c r="B855" s="7" t="s">
        <v>102</v>
      </c>
      <c r="C855" s="7" t="s">
        <v>107</v>
      </c>
    </row>
    <row r="856" spans="1:7" x14ac:dyDescent="0.25">
      <c r="A856" s="6">
        <v>61535</v>
      </c>
      <c r="B856" s="7" t="s">
        <v>108</v>
      </c>
      <c r="C856" s="7" t="s">
        <v>109</v>
      </c>
    </row>
    <row r="857" spans="1:7" x14ac:dyDescent="0.25">
      <c r="A857" s="6">
        <v>61613</v>
      </c>
      <c r="B857" s="7" t="s">
        <v>103</v>
      </c>
      <c r="C857" s="7" t="s">
        <v>110</v>
      </c>
    </row>
    <row r="858" spans="1:7" x14ac:dyDescent="0.25">
      <c r="A858" s="6">
        <v>61648</v>
      </c>
      <c r="B858" s="7" t="s">
        <v>103</v>
      </c>
      <c r="C858" s="7" t="s">
        <v>111</v>
      </c>
    </row>
    <row r="859" spans="1:7" x14ac:dyDescent="0.25">
      <c r="A859" s="6">
        <v>61669</v>
      </c>
      <c r="B859" s="7" t="s">
        <v>103</v>
      </c>
      <c r="C859" s="7" t="s">
        <v>112</v>
      </c>
    </row>
    <row r="860" spans="1:7" x14ac:dyDescent="0.25">
      <c r="A860" s="6">
        <v>61682</v>
      </c>
      <c r="B860" s="7" t="s">
        <v>108</v>
      </c>
      <c r="C860" s="7" t="s">
        <v>113</v>
      </c>
    </row>
    <row r="861" spans="1:7" x14ac:dyDescent="0.25">
      <c r="A861" s="6">
        <v>61687</v>
      </c>
      <c r="B861" s="7" t="s">
        <v>102</v>
      </c>
      <c r="C861" s="7" t="s">
        <v>117</v>
      </c>
      <c r="G861" s="1"/>
    </row>
    <row r="862" spans="1:7" x14ac:dyDescent="0.25">
      <c r="A862" s="6">
        <v>61722</v>
      </c>
      <c r="B862" s="7" t="s">
        <v>102</v>
      </c>
      <c r="C862" s="7" t="s">
        <v>114</v>
      </c>
    </row>
    <row r="863" spans="1:7" x14ac:dyDescent="0.25">
      <c r="A863" s="4">
        <v>61729</v>
      </c>
      <c r="B863" s="5" t="s">
        <v>102</v>
      </c>
      <c r="C863" s="5" t="s">
        <v>100</v>
      </c>
    </row>
    <row r="864" spans="1:7" x14ac:dyDescent="0.25">
      <c r="A864" s="4">
        <v>61784</v>
      </c>
      <c r="B864" s="5" t="s">
        <v>99</v>
      </c>
      <c r="C864" s="5" t="s">
        <v>101</v>
      </c>
    </row>
    <row r="865" spans="1:7" x14ac:dyDescent="0.25">
      <c r="A865" s="4">
        <v>61785</v>
      </c>
      <c r="B865" s="5" t="s">
        <v>102</v>
      </c>
      <c r="C865" s="5" t="s">
        <v>101</v>
      </c>
    </row>
    <row r="866" spans="1:7" x14ac:dyDescent="0.25">
      <c r="A866" s="4">
        <v>61830</v>
      </c>
      <c r="B866" s="5" t="s">
        <v>103</v>
      </c>
      <c r="C866" s="5" t="s">
        <v>104</v>
      </c>
    </row>
    <row r="867" spans="1:7" x14ac:dyDescent="0.25">
      <c r="A867" s="4">
        <v>61839</v>
      </c>
      <c r="B867" s="5" t="s">
        <v>115</v>
      </c>
      <c r="C867" s="5" t="s">
        <v>106</v>
      </c>
    </row>
    <row r="868" spans="1:7" x14ac:dyDescent="0.25">
      <c r="A868" s="4">
        <v>61849</v>
      </c>
      <c r="B868" s="5" t="s">
        <v>116</v>
      </c>
      <c r="C868" s="5" t="s">
        <v>107</v>
      </c>
    </row>
    <row r="869" spans="1:7" x14ac:dyDescent="0.25">
      <c r="A869" s="4">
        <v>61892</v>
      </c>
      <c r="B869" s="5" t="s">
        <v>108</v>
      </c>
      <c r="C869" s="5" t="s">
        <v>109</v>
      </c>
    </row>
    <row r="870" spans="1:7" x14ac:dyDescent="0.25">
      <c r="A870" s="4">
        <v>61978</v>
      </c>
      <c r="B870" s="5" t="s">
        <v>105</v>
      </c>
      <c r="C870" s="5" t="s">
        <v>110</v>
      </c>
    </row>
    <row r="871" spans="1:7" x14ac:dyDescent="0.25">
      <c r="A871" s="4">
        <v>62013</v>
      </c>
      <c r="B871" s="5" t="s">
        <v>105</v>
      </c>
      <c r="C871" s="5" t="s">
        <v>111</v>
      </c>
    </row>
    <row r="872" spans="1:7" x14ac:dyDescent="0.25">
      <c r="A872" s="4">
        <v>62034</v>
      </c>
      <c r="B872" s="5" t="s">
        <v>105</v>
      </c>
      <c r="C872" s="5" t="s">
        <v>112</v>
      </c>
    </row>
    <row r="873" spans="1:7" x14ac:dyDescent="0.25">
      <c r="A873" s="4">
        <v>62047</v>
      </c>
      <c r="B873" s="5" t="s">
        <v>103</v>
      </c>
      <c r="C873" s="5" t="s">
        <v>113</v>
      </c>
    </row>
    <row r="874" spans="1:7" x14ac:dyDescent="0.25">
      <c r="A874" s="4">
        <v>62052</v>
      </c>
      <c r="B874" s="5" t="s">
        <v>116</v>
      </c>
      <c r="C874" s="5" t="s">
        <v>117</v>
      </c>
      <c r="G874" s="1"/>
    </row>
    <row r="875" spans="1:7" x14ac:dyDescent="0.25">
      <c r="A875" s="4">
        <v>62087</v>
      </c>
      <c r="B875" s="5" t="s">
        <v>116</v>
      </c>
      <c r="C875" s="5" t="s">
        <v>114</v>
      </c>
    </row>
    <row r="876" spans="1:7" x14ac:dyDescent="0.25">
      <c r="A876" s="6">
        <v>62094</v>
      </c>
      <c r="B876" s="7" t="s">
        <v>116</v>
      </c>
      <c r="C876" s="7" t="s">
        <v>100</v>
      </c>
    </row>
    <row r="877" spans="1:7" x14ac:dyDescent="0.25">
      <c r="A877" s="6">
        <v>62134</v>
      </c>
      <c r="B877" s="7" t="s">
        <v>99</v>
      </c>
      <c r="C877" s="7" t="s">
        <v>101</v>
      </c>
    </row>
    <row r="878" spans="1:7" x14ac:dyDescent="0.25">
      <c r="A878" s="6">
        <v>62135</v>
      </c>
      <c r="B878" s="7" t="s">
        <v>102</v>
      </c>
      <c r="C878" s="7" t="s">
        <v>101</v>
      </c>
    </row>
    <row r="879" spans="1:7" x14ac:dyDescent="0.25">
      <c r="A879" s="6">
        <v>62180</v>
      </c>
      <c r="B879" s="7" t="s">
        <v>103</v>
      </c>
      <c r="C879" s="7" t="s">
        <v>104</v>
      </c>
    </row>
    <row r="880" spans="1:7" x14ac:dyDescent="0.25">
      <c r="A880" s="6">
        <v>62204</v>
      </c>
      <c r="B880" s="7" t="s">
        <v>99</v>
      </c>
      <c r="C880" s="7" t="s">
        <v>106</v>
      </c>
    </row>
    <row r="881" spans="1:7" x14ac:dyDescent="0.25">
      <c r="A881" s="6">
        <v>62214</v>
      </c>
      <c r="B881" s="7" t="s">
        <v>108</v>
      </c>
      <c r="C881" s="7" t="s">
        <v>107</v>
      </c>
    </row>
    <row r="882" spans="1:7" x14ac:dyDescent="0.25">
      <c r="A882" s="6">
        <v>62242</v>
      </c>
      <c r="B882" s="7" t="s">
        <v>108</v>
      </c>
      <c r="C882" s="7" t="s">
        <v>109</v>
      </c>
    </row>
    <row r="883" spans="1:7" x14ac:dyDescent="0.25">
      <c r="A883" s="6">
        <v>62343</v>
      </c>
      <c r="B883" s="7" t="s">
        <v>115</v>
      </c>
      <c r="C883" s="7" t="s">
        <v>110</v>
      </c>
    </row>
    <row r="884" spans="1:7" x14ac:dyDescent="0.25">
      <c r="A884" s="6">
        <v>62378</v>
      </c>
      <c r="B884" s="7" t="s">
        <v>115</v>
      </c>
      <c r="C884" s="7" t="s">
        <v>111</v>
      </c>
    </row>
    <row r="885" spans="1:7" x14ac:dyDescent="0.25">
      <c r="A885" s="6">
        <v>62399</v>
      </c>
      <c r="B885" s="7" t="s">
        <v>115</v>
      </c>
      <c r="C885" s="7" t="s">
        <v>112</v>
      </c>
    </row>
    <row r="886" spans="1:7" x14ac:dyDescent="0.25">
      <c r="A886" s="6">
        <v>62412</v>
      </c>
      <c r="B886" s="7" t="s">
        <v>105</v>
      </c>
      <c r="C886" s="7" t="s">
        <v>113</v>
      </c>
    </row>
    <row r="887" spans="1:7" x14ac:dyDescent="0.25">
      <c r="A887" s="6">
        <v>62417</v>
      </c>
      <c r="B887" s="7" t="s">
        <v>108</v>
      </c>
      <c r="C887" s="7" t="s">
        <v>117</v>
      </c>
      <c r="G887" s="1"/>
    </row>
    <row r="888" spans="1:7" x14ac:dyDescent="0.25">
      <c r="A888" s="6">
        <v>62452</v>
      </c>
      <c r="B888" s="7" t="s">
        <v>108</v>
      </c>
      <c r="C888" s="7" t="s">
        <v>114</v>
      </c>
    </row>
    <row r="889" spans="1:7" x14ac:dyDescent="0.25">
      <c r="A889" s="4">
        <v>62459</v>
      </c>
      <c r="B889" s="5" t="s">
        <v>108</v>
      </c>
      <c r="C889" s="5" t="s">
        <v>100</v>
      </c>
    </row>
    <row r="890" spans="1:7" x14ac:dyDescent="0.25">
      <c r="A890" s="4">
        <v>62519</v>
      </c>
      <c r="B890" s="5" t="s">
        <v>99</v>
      </c>
      <c r="C890" s="5" t="s">
        <v>101</v>
      </c>
    </row>
    <row r="891" spans="1:7" x14ac:dyDescent="0.25">
      <c r="A891" s="4">
        <v>62520</v>
      </c>
      <c r="B891" s="5" t="s">
        <v>102</v>
      </c>
      <c r="C891" s="5" t="s">
        <v>101</v>
      </c>
    </row>
    <row r="892" spans="1:7" x14ac:dyDescent="0.25">
      <c r="A892" s="4">
        <v>62565</v>
      </c>
      <c r="B892" s="5" t="s">
        <v>103</v>
      </c>
      <c r="C892" s="5" t="s">
        <v>104</v>
      </c>
    </row>
    <row r="893" spans="1:7" x14ac:dyDescent="0.25">
      <c r="A893" s="4">
        <v>62569</v>
      </c>
      <c r="B893" s="5" t="s">
        <v>102</v>
      </c>
      <c r="C893" s="5" t="s">
        <v>106</v>
      </c>
    </row>
    <row r="894" spans="1:7" x14ac:dyDescent="0.25">
      <c r="A894" s="4">
        <v>62579</v>
      </c>
      <c r="B894" s="5" t="s">
        <v>103</v>
      </c>
      <c r="C894" s="5" t="s">
        <v>107</v>
      </c>
    </row>
    <row r="895" spans="1:7" x14ac:dyDescent="0.25">
      <c r="A895" s="4">
        <v>62627</v>
      </c>
      <c r="B895" s="5" t="s">
        <v>108</v>
      </c>
      <c r="C895" s="5" t="s">
        <v>109</v>
      </c>
    </row>
    <row r="896" spans="1:7" x14ac:dyDescent="0.25">
      <c r="A896" s="4">
        <v>62708</v>
      </c>
      <c r="B896" s="5" t="s">
        <v>99</v>
      </c>
      <c r="C896" s="5" t="s">
        <v>110</v>
      </c>
    </row>
    <row r="897" spans="1:7" x14ac:dyDescent="0.25">
      <c r="A897" s="4">
        <v>62743</v>
      </c>
      <c r="B897" s="5" t="s">
        <v>99</v>
      </c>
      <c r="C897" s="5" t="s">
        <v>111</v>
      </c>
    </row>
    <row r="898" spans="1:7" x14ac:dyDescent="0.25">
      <c r="A898" s="4">
        <v>62764</v>
      </c>
      <c r="B898" s="5" t="s">
        <v>99</v>
      </c>
      <c r="C898" s="5" t="s">
        <v>112</v>
      </c>
    </row>
    <row r="899" spans="1:7" x14ac:dyDescent="0.25">
      <c r="A899" s="4">
        <v>62777</v>
      </c>
      <c r="B899" s="5" t="s">
        <v>115</v>
      </c>
      <c r="C899" s="5" t="s">
        <v>113</v>
      </c>
    </row>
    <row r="900" spans="1:7" x14ac:dyDescent="0.25">
      <c r="A900" s="4">
        <v>62782</v>
      </c>
      <c r="B900" s="5" t="s">
        <v>103</v>
      </c>
      <c r="C900" s="5" t="s">
        <v>117</v>
      </c>
      <c r="G900" s="1"/>
    </row>
    <row r="901" spans="1:7" x14ac:dyDescent="0.25">
      <c r="A901" s="4">
        <v>62817</v>
      </c>
      <c r="B901" s="5" t="s">
        <v>103</v>
      </c>
      <c r="C901" s="5" t="s">
        <v>114</v>
      </c>
    </row>
    <row r="902" spans="1:7" x14ac:dyDescent="0.25">
      <c r="A902" s="6">
        <v>62824</v>
      </c>
      <c r="B902" s="7" t="s">
        <v>103</v>
      </c>
      <c r="C902" s="7" t="s">
        <v>100</v>
      </c>
    </row>
    <row r="903" spans="1:7" x14ac:dyDescent="0.25">
      <c r="A903" s="6">
        <v>62876</v>
      </c>
      <c r="B903" s="7" t="s">
        <v>99</v>
      </c>
      <c r="C903" s="7" t="s">
        <v>101</v>
      </c>
    </row>
    <row r="904" spans="1:7" x14ac:dyDescent="0.25">
      <c r="A904" s="6">
        <v>62877</v>
      </c>
      <c r="B904" s="7" t="s">
        <v>102</v>
      </c>
      <c r="C904" s="7" t="s">
        <v>101</v>
      </c>
    </row>
    <row r="905" spans="1:7" x14ac:dyDescent="0.25">
      <c r="A905" s="6">
        <v>62922</v>
      </c>
      <c r="B905" s="7" t="s">
        <v>103</v>
      </c>
      <c r="C905" s="7" t="s">
        <v>104</v>
      </c>
    </row>
    <row r="906" spans="1:7" x14ac:dyDescent="0.25">
      <c r="A906" s="6">
        <v>62935</v>
      </c>
      <c r="B906" s="7" t="s">
        <v>108</v>
      </c>
      <c r="C906" s="7" t="s">
        <v>106</v>
      </c>
    </row>
    <row r="907" spans="1:7" x14ac:dyDescent="0.25">
      <c r="A907" s="6">
        <v>62945</v>
      </c>
      <c r="B907" s="7" t="s">
        <v>115</v>
      </c>
      <c r="C907" s="7" t="s">
        <v>107</v>
      </c>
    </row>
    <row r="908" spans="1:7" x14ac:dyDescent="0.25">
      <c r="A908" s="6">
        <v>62984</v>
      </c>
      <c r="B908" s="7" t="s">
        <v>108</v>
      </c>
      <c r="C908" s="7" t="s">
        <v>109</v>
      </c>
    </row>
    <row r="909" spans="1:7" x14ac:dyDescent="0.25">
      <c r="A909" s="6">
        <v>63074</v>
      </c>
      <c r="B909" s="7" t="s">
        <v>116</v>
      </c>
      <c r="C909" s="7" t="s">
        <v>110</v>
      </c>
    </row>
    <row r="910" spans="1:7" x14ac:dyDescent="0.25">
      <c r="A910" s="6">
        <v>63109</v>
      </c>
      <c r="B910" s="7" t="s">
        <v>116</v>
      </c>
      <c r="C910" s="7" t="s">
        <v>111</v>
      </c>
    </row>
    <row r="911" spans="1:7" x14ac:dyDescent="0.25">
      <c r="A911" s="6">
        <v>63130</v>
      </c>
      <c r="B911" s="7" t="s">
        <v>116</v>
      </c>
      <c r="C911" s="7" t="s">
        <v>112</v>
      </c>
    </row>
    <row r="912" spans="1:7" x14ac:dyDescent="0.25">
      <c r="A912" s="6">
        <v>63143</v>
      </c>
      <c r="B912" s="7" t="s">
        <v>102</v>
      </c>
      <c r="C912" s="7" t="s">
        <v>113</v>
      </c>
    </row>
    <row r="913" spans="1:7" x14ac:dyDescent="0.25">
      <c r="A913" s="6">
        <v>63148</v>
      </c>
      <c r="B913" s="7" t="s">
        <v>115</v>
      </c>
      <c r="C913" s="7" t="s">
        <v>117</v>
      </c>
      <c r="G913" s="1"/>
    </row>
    <row r="914" spans="1:7" x14ac:dyDescent="0.25">
      <c r="A914" s="6">
        <v>63183</v>
      </c>
      <c r="B914" s="7" t="s">
        <v>115</v>
      </c>
      <c r="C914" s="7" t="s">
        <v>114</v>
      </c>
    </row>
    <row r="915" spans="1:7" x14ac:dyDescent="0.25">
      <c r="A915" s="4">
        <v>63190</v>
      </c>
      <c r="B915" s="5" t="s">
        <v>115</v>
      </c>
      <c r="C915" s="5" t="s">
        <v>100</v>
      </c>
    </row>
    <row r="916" spans="1:7" x14ac:dyDescent="0.25">
      <c r="A916" s="4">
        <v>63226</v>
      </c>
      <c r="B916" s="5" t="s">
        <v>99</v>
      </c>
      <c r="C916" s="5" t="s">
        <v>101</v>
      </c>
    </row>
    <row r="917" spans="1:7" x14ac:dyDescent="0.25">
      <c r="A917" s="4">
        <v>63227</v>
      </c>
      <c r="B917" s="5" t="s">
        <v>102</v>
      </c>
      <c r="C917" s="5" t="s">
        <v>101</v>
      </c>
    </row>
    <row r="918" spans="1:7" x14ac:dyDescent="0.25">
      <c r="A918" s="4">
        <v>63272</v>
      </c>
      <c r="B918" s="5" t="s">
        <v>103</v>
      </c>
      <c r="C918" s="5" t="s">
        <v>104</v>
      </c>
    </row>
    <row r="919" spans="1:7" x14ac:dyDescent="0.25">
      <c r="A919" s="4">
        <v>63300</v>
      </c>
      <c r="B919" s="5" t="s">
        <v>103</v>
      </c>
      <c r="C919" s="5" t="s">
        <v>106</v>
      </c>
    </row>
    <row r="920" spans="1:7" x14ac:dyDescent="0.25">
      <c r="A920" s="4">
        <v>63310</v>
      </c>
      <c r="B920" s="5" t="s">
        <v>99</v>
      </c>
      <c r="C920" s="5" t="s">
        <v>107</v>
      </c>
    </row>
    <row r="921" spans="1:7" x14ac:dyDescent="0.25">
      <c r="A921" s="4">
        <v>63334</v>
      </c>
      <c r="B921" s="5" t="s">
        <v>108</v>
      </c>
      <c r="C921" s="5" t="s">
        <v>109</v>
      </c>
    </row>
    <row r="922" spans="1:7" x14ac:dyDescent="0.25">
      <c r="A922" s="4">
        <v>63439</v>
      </c>
      <c r="B922" s="5" t="s">
        <v>108</v>
      </c>
      <c r="C922" s="5" t="s">
        <v>110</v>
      </c>
    </row>
    <row r="923" spans="1:7" x14ac:dyDescent="0.25">
      <c r="A923" s="4">
        <v>63474</v>
      </c>
      <c r="B923" s="5" t="s">
        <v>108</v>
      </c>
      <c r="C923" s="5" t="s">
        <v>111</v>
      </c>
    </row>
    <row r="924" spans="1:7" x14ac:dyDescent="0.25">
      <c r="A924" s="4">
        <v>63495</v>
      </c>
      <c r="B924" s="5" t="s">
        <v>108</v>
      </c>
      <c r="C924" s="5" t="s">
        <v>112</v>
      </c>
    </row>
    <row r="925" spans="1:7" x14ac:dyDescent="0.25">
      <c r="A925" s="4">
        <v>63508</v>
      </c>
      <c r="B925" s="5" t="s">
        <v>116</v>
      </c>
      <c r="C925" s="5" t="s">
        <v>113</v>
      </c>
    </row>
    <row r="926" spans="1:7" x14ac:dyDescent="0.25">
      <c r="A926" s="4">
        <v>63513</v>
      </c>
      <c r="B926" s="5" t="s">
        <v>99</v>
      </c>
      <c r="C926" s="5" t="s">
        <v>117</v>
      </c>
      <c r="G926" s="1"/>
    </row>
    <row r="927" spans="1:7" x14ac:dyDescent="0.25">
      <c r="A927" s="4">
        <v>63548</v>
      </c>
      <c r="B927" s="5" t="s">
        <v>99</v>
      </c>
      <c r="C927" s="5" t="s">
        <v>114</v>
      </c>
    </row>
    <row r="928" spans="1:7" x14ac:dyDescent="0.25">
      <c r="A928" s="6">
        <v>63555</v>
      </c>
      <c r="B928" s="7" t="s">
        <v>99</v>
      </c>
      <c r="C928" s="7" t="s">
        <v>100</v>
      </c>
    </row>
    <row r="929" spans="1:7" x14ac:dyDescent="0.25">
      <c r="A929" s="6">
        <v>63611</v>
      </c>
      <c r="B929" s="7" t="s">
        <v>99</v>
      </c>
      <c r="C929" s="7" t="s">
        <v>101</v>
      </c>
    </row>
    <row r="930" spans="1:7" x14ac:dyDescent="0.25">
      <c r="A930" s="6">
        <v>63612</v>
      </c>
      <c r="B930" s="7" t="s">
        <v>102</v>
      </c>
      <c r="C930" s="7" t="s">
        <v>101</v>
      </c>
    </row>
    <row r="931" spans="1:7" x14ac:dyDescent="0.25">
      <c r="A931" s="6">
        <v>63657</v>
      </c>
      <c r="B931" s="7" t="s">
        <v>103</v>
      </c>
      <c r="C931" s="7" t="s">
        <v>104</v>
      </c>
    </row>
    <row r="932" spans="1:7" x14ac:dyDescent="0.25">
      <c r="A932" s="6">
        <v>63665</v>
      </c>
      <c r="B932" s="7" t="s">
        <v>105</v>
      </c>
      <c r="C932" s="7" t="s">
        <v>106</v>
      </c>
    </row>
    <row r="933" spans="1:7" x14ac:dyDescent="0.25">
      <c r="A933" s="6">
        <v>63675</v>
      </c>
      <c r="B933" s="7" t="s">
        <v>102</v>
      </c>
      <c r="C933" s="7" t="s">
        <v>107</v>
      </c>
    </row>
    <row r="934" spans="1:7" x14ac:dyDescent="0.25">
      <c r="A934" s="6">
        <v>63719</v>
      </c>
      <c r="B934" s="7" t="s">
        <v>108</v>
      </c>
      <c r="C934" s="7" t="s">
        <v>109</v>
      </c>
    </row>
    <row r="935" spans="1:7" x14ac:dyDescent="0.25">
      <c r="A935" s="6">
        <v>63804</v>
      </c>
      <c r="B935" s="7" t="s">
        <v>103</v>
      </c>
      <c r="C935" s="7" t="s">
        <v>110</v>
      </c>
    </row>
    <row r="936" spans="1:7" x14ac:dyDescent="0.25">
      <c r="A936" s="6">
        <v>63839</v>
      </c>
      <c r="B936" s="7" t="s">
        <v>103</v>
      </c>
      <c r="C936" s="7" t="s">
        <v>111</v>
      </c>
    </row>
    <row r="937" spans="1:7" x14ac:dyDescent="0.25">
      <c r="A937" s="6">
        <v>63860</v>
      </c>
      <c r="B937" s="7" t="s">
        <v>103</v>
      </c>
      <c r="C937" s="7" t="s">
        <v>112</v>
      </c>
    </row>
    <row r="938" spans="1:7" x14ac:dyDescent="0.25">
      <c r="A938" s="6">
        <v>63873</v>
      </c>
      <c r="B938" s="7" t="s">
        <v>108</v>
      </c>
      <c r="C938" s="7" t="s">
        <v>113</v>
      </c>
    </row>
    <row r="939" spans="1:7" x14ac:dyDescent="0.25">
      <c r="A939" s="6">
        <v>63878</v>
      </c>
      <c r="B939" s="7" t="s">
        <v>102</v>
      </c>
      <c r="C939" s="7" t="s">
        <v>117</v>
      </c>
      <c r="G939" s="1"/>
    </row>
    <row r="940" spans="1:7" x14ac:dyDescent="0.25">
      <c r="A940" s="6">
        <v>63913</v>
      </c>
      <c r="B940" s="7" t="s">
        <v>102</v>
      </c>
      <c r="C940" s="7" t="s">
        <v>114</v>
      </c>
    </row>
    <row r="941" spans="1:7" x14ac:dyDescent="0.25">
      <c r="A941" s="4">
        <v>63920</v>
      </c>
      <c r="B941" s="5" t="s">
        <v>102</v>
      </c>
      <c r="C941" s="5" t="s">
        <v>100</v>
      </c>
    </row>
    <row r="942" spans="1:7" x14ac:dyDescent="0.25">
      <c r="A942" s="4">
        <v>63968</v>
      </c>
      <c r="B942" s="5" t="s">
        <v>99</v>
      </c>
      <c r="C942" s="5" t="s">
        <v>101</v>
      </c>
    </row>
    <row r="943" spans="1:7" x14ac:dyDescent="0.25">
      <c r="A943" s="4">
        <v>63969</v>
      </c>
      <c r="B943" s="5" t="s">
        <v>102</v>
      </c>
      <c r="C943" s="5" t="s">
        <v>101</v>
      </c>
    </row>
    <row r="944" spans="1:7" x14ac:dyDescent="0.25">
      <c r="A944" s="4">
        <v>64014</v>
      </c>
      <c r="B944" s="5" t="s">
        <v>103</v>
      </c>
      <c r="C944" s="5" t="s">
        <v>104</v>
      </c>
    </row>
    <row r="945" spans="1:7" x14ac:dyDescent="0.25">
      <c r="A945" s="4">
        <v>64030</v>
      </c>
      <c r="B945" s="5" t="s">
        <v>115</v>
      </c>
      <c r="C945" s="5" t="s">
        <v>106</v>
      </c>
    </row>
    <row r="946" spans="1:7" x14ac:dyDescent="0.25">
      <c r="A946" s="4">
        <v>64040</v>
      </c>
      <c r="B946" s="5" t="s">
        <v>116</v>
      </c>
      <c r="C946" s="5" t="s">
        <v>107</v>
      </c>
    </row>
    <row r="947" spans="1:7" x14ac:dyDescent="0.25">
      <c r="A947" s="4">
        <v>64076</v>
      </c>
      <c r="B947" s="5" t="s">
        <v>108</v>
      </c>
      <c r="C947" s="5" t="s">
        <v>109</v>
      </c>
    </row>
    <row r="948" spans="1:7" x14ac:dyDescent="0.25">
      <c r="A948" s="4">
        <v>64169</v>
      </c>
      <c r="B948" s="5" t="s">
        <v>105</v>
      </c>
      <c r="C948" s="5" t="s">
        <v>110</v>
      </c>
    </row>
    <row r="949" spans="1:7" x14ac:dyDescent="0.25">
      <c r="A949" s="4">
        <v>64204</v>
      </c>
      <c r="B949" s="5" t="s">
        <v>105</v>
      </c>
      <c r="C949" s="5" t="s">
        <v>111</v>
      </c>
    </row>
    <row r="950" spans="1:7" x14ac:dyDescent="0.25">
      <c r="A950" s="4">
        <v>64225</v>
      </c>
      <c r="B950" s="5" t="s">
        <v>105</v>
      </c>
      <c r="C950" s="5" t="s">
        <v>112</v>
      </c>
    </row>
    <row r="951" spans="1:7" x14ac:dyDescent="0.25">
      <c r="A951" s="4">
        <v>64238</v>
      </c>
      <c r="B951" s="5" t="s">
        <v>103</v>
      </c>
      <c r="C951" s="5" t="s">
        <v>113</v>
      </c>
    </row>
    <row r="952" spans="1:7" x14ac:dyDescent="0.25">
      <c r="A952" s="4">
        <v>64243</v>
      </c>
      <c r="B952" s="5" t="s">
        <v>116</v>
      </c>
      <c r="C952" s="5" t="s">
        <v>117</v>
      </c>
      <c r="G952" s="1"/>
    </row>
    <row r="953" spans="1:7" x14ac:dyDescent="0.25">
      <c r="A953" s="4">
        <v>64278</v>
      </c>
      <c r="B953" s="5" t="s">
        <v>116</v>
      </c>
      <c r="C953" s="5" t="s">
        <v>114</v>
      </c>
    </row>
    <row r="954" spans="1:7" x14ac:dyDescent="0.25">
      <c r="A954" s="6">
        <v>64285</v>
      </c>
      <c r="B954" s="7" t="s">
        <v>116</v>
      </c>
      <c r="C954" s="7" t="s">
        <v>100</v>
      </c>
    </row>
    <row r="955" spans="1:7" x14ac:dyDescent="0.25">
      <c r="A955" s="6">
        <v>64346</v>
      </c>
      <c r="B955" s="7" t="s">
        <v>99</v>
      </c>
      <c r="C955" s="7" t="s">
        <v>101</v>
      </c>
    </row>
    <row r="956" spans="1:7" x14ac:dyDescent="0.25">
      <c r="A956" s="6">
        <v>64347</v>
      </c>
      <c r="B956" s="7" t="s">
        <v>102</v>
      </c>
      <c r="C956" s="7" t="s">
        <v>101</v>
      </c>
    </row>
    <row r="957" spans="1:7" x14ac:dyDescent="0.25">
      <c r="A957" s="6">
        <v>64392</v>
      </c>
      <c r="B957" s="7" t="s">
        <v>103</v>
      </c>
      <c r="C957" s="7" t="s">
        <v>104</v>
      </c>
    </row>
    <row r="958" spans="1:7" x14ac:dyDescent="0.25">
      <c r="A958" s="6">
        <v>64396</v>
      </c>
      <c r="B958" s="7" t="s">
        <v>102</v>
      </c>
      <c r="C958" s="7" t="s">
        <v>106</v>
      </c>
    </row>
    <row r="959" spans="1:7" x14ac:dyDescent="0.25">
      <c r="A959" s="6">
        <v>64406</v>
      </c>
      <c r="B959" s="7" t="s">
        <v>103</v>
      </c>
      <c r="C959" s="7" t="s">
        <v>107</v>
      </c>
    </row>
    <row r="960" spans="1:7" x14ac:dyDescent="0.25">
      <c r="A960" s="6">
        <v>64454</v>
      </c>
      <c r="B960" s="7" t="s">
        <v>108</v>
      </c>
      <c r="C960" s="7" t="s">
        <v>109</v>
      </c>
    </row>
    <row r="961" spans="1:7" x14ac:dyDescent="0.25">
      <c r="A961" s="6">
        <v>64535</v>
      </c>
      <c r="B961" s="7" t="s">
        <v>99</v>
      </c>
      <c r="C961" s="7" t="s">
        <v>110</v>
      </c>
    </row>
    <row r="962" spans="1:7" x14ac:dyDescent="0.25">
      <c r="A962" s="6">
        <v>64570</v>
      </c>
      <c r="B962" s="7" t="s">
        <v>99</v>
      </c>
      <c r="C962" s="7" t="s">
        <v>111</v>
      </c>
    </row>
    <row r="963" spans="1:7" x14ac:dyDescent="0.25">
      <c r="A963" s="6">
        <v>64591</v>
      </c>
      <c r="B963" s="7" t="s">
        <v>99</v>
      </c>
      <c r="C963" s="7" t="s">
        <v>112</v>
      </c>
    </row>
    <row r="964" spans="1:7" x14ac:dyDescent="0.25">
      <c r="A964" s="6">
        <v>64604</v>
      </c>
      <c r="B964" s="7" t="s">
        <v>115</v>
      </c>
      <c r="C964" s="7" t="s">
        <v>113</v>
      </c>
    </row>
    <row r="965" spans="1:7" x14ac:dyDescent="0.25">
      <c r="A965" s="6">
        <v>64609</v>
      </c>
      <c r="B965" s="7" t="s">
        <v>103</v>
      </c>
      <c r="C965" s="7" t="s">
        <v>117</v>
      </c>
      <c r="G965" s="1"/>
    </row>
    <row r="966" spans="1:7" x14ac:dyDescent="0.25">
      <c r="A966" s="6">
        <v>64644</v>
      </c>
      <c r="B966" s="7" t="s">
        <v>103</v>
      </c>
      <c r="C966" s="7" t="s">
        <v>114</v>
      </c>
    </row>
    <row r="967" spans="1:7" x14ac:dyDescent="0.25">
      <c r="A967" s="4">
        <v>64651</v>
      </c>
      <c r="B967" s="5" t="s">
        <v>103</v>
      </c>
      <c r="C967" s="5" t="s">
        <v>100</v>
      </c>
    </row>
    <row r="968" spans="1:7" x14ac:dyDescent="0.25">
      <c r="A968" s="4">
        <v>64703</v>
      </c>
      <c r="B968" s="5" t="s">
        <v>99</v>
      </c>
      <c r="C968" s="5" t="s">
        <v>101</v>
      </c>
    </row>
    <row r="969" spans="1:7" x14ac:dyDescent="0.25">
      <c r="A969" s="4">
        <v>64704</v>
      </c>
      <c r="B969" s="5" t="s">
        <v>102</v>
      </c>
      <c r="C969" s="5" t="s">
        <v>101</v>
      </c>
    </row>
    <row r="970" spans="1:7" x14ac:dyDescent="0.25">
      <c r="A970" s="4">
        <v>64749</v>
      </c>
      <c r="B970" s="5" t="s">
        <v>103</v>
      </c>
      <c r="C970" s="5" t="s">
        <v>104</v>
      </c>
    </row>
    <row r="971" spans="1:7" x14ac:dyDescent="0.25">
      <c r="A971" s="4">
        <v>64761</v>
      </c>
      <c r="B971" s="5" t="s">
        <v>116</v>
      </c>
      <c r="C971" s="5" t="s">
        <v>106</v>
      </c>
    </row>
    <row r="972" spans="1:7" x14ac:dyDescent="0.25">
      <c r="A972" s="4">
        <v>64771</v>
      </c>
      <c r="B972" s="5" t="s">
        <v>105</v>
      </c>
      <c r="C972" s="5" t="s">
        <v>107</v>
      </c>
    </row>
    <row r="973" spans="1:7" x14ac:dyDescent="0.25">
      <c r="A973" s="4">
        <v>64811</v>
      </c>
      <c r="B973" s="5" t="s">
        <v>108</v>
      </c>
      <c r="C973" s="5" t="s">
        <v>109</v>
      </c>
    </row>
    <row r="974" spans="1:7" x14ac:dyDescent="0.25">
      <c r="A974" s="4">
        <v>64900</v>
      </c>
      <c r="B974" s="5" t="s">
        <v>102</v>
      </c>
      <c r="C974" s="5" t="s">
        <v>110</v>
      </c>
    </row>
    <row r="975" spans="1:7" x14ac:dyDescent="0.25">
      <c r="A975" s="4">
        <v>64935</v>
      </c>
      <c r="B975" s="5" t="s">
        <v>102</v>
      </c>
      <c r="C975" s="5" t="s">
        <v>111</v>
      </c>
    </row>
    <row r="976" spans="1:7" x14ac:dyDescent="0.25">
      <c r="A976" s="4">
        <v>64956</v>
      </c>
      <c r="B976" s="5" t="s">
        <v>102</v>
      </c>
      <c r="C976" s="5" t="s">
        <v>112</v>
      </c>
    </row>
    <row r="977" spans="1:7" x14ac:dyDescent="0.25">
      <c r="A977" s="4">
        <v>64969</v>
      </c>
      <c r="B977" s="5" t="s">
        <v>99</v>
      </c>
      <c r="C977" s="5" t="s">
        <v>113</v>
      </c>
    </row>
    <row r="978" spans="1:7" x14ac:dyDescent="0.25">
      <c r="A978" s="4">
        <v>64974</v>
      </c>
      <c r="B978" s="5" t="s">
        <v>105</v>
      </c>
      <c r="C978" s="5" t="s">
        <v>117</v>
      </c>
      <c r="G978" s="1"/>
    </row>
    <row r="979" spans="1:7" x14ac:dyDescent="0.25">
      <c r="A979" s="4">
        <v>65009</v>
      </c>
      <c r="B979" s="5" t="s">
        <v>105</v>
      </c>
      <c r="C979" s="5" t="s">
        <v>114</v>
      </c>
    </row>
    <row r="980" spans="1:7" x14ac:dyDescent="0.25">
      <c r="A980" s="6">
        <v>65016</v>
      </c>
      <c r="B980" s="7" t="s">
        <v>105</v>
      </c>
      <c r="C980" s="7" t="s">
        <v>100</v>
      </c>
    </row>
    <row r="981" spans="1:7" x14ac:dyDescent="0.25">
      <c r="A981" s="6">
        <v>65060</v>
      </c>
      <c r="B981" s="7" t="s">
        <v>99</v>
      </c>
      <c r="C981" s="7" t="s">
        <v>101</v>
      </c>
    </row>
    <row r="982" spans="1:7" x14ac:dyDescent="0.25">
      <c r="A982" s="6">
        <v>65061</v>
      </c>
      <c r="B982" s="7" t="s">
        <v>102</v>
      </c>
      <c r="C982" s="7" t="s">
        <v>101</v>
      </c>
    </row>
    <row r="983" spans="1:7" x14ac:dyDescent="0.25">
      <c r="A983" s="6">
        <v>65106</v>
      </c>
      <c r="B983" s="7" t="s">
        <v>103</v>
      </c>
      <c r="C983" s="7" t="s">
        <v>104</v>
      </c>
    </row>
    <row r="984" spans="1:7" x14ac:dyDescent="0.25">
      <c r="A984" s="6">
        <v>65126</v>
      </c>
      <c r="B984" s="7" t="s">
        <v>108</v>
      </c>
      <c r="C984" s="7" t="s">
        <v>106</v>
      </c>
    </row>
    <row r="985" spans="1:7" x14ac:dyDescent="0.25">
      <c r="A985" s="6">
        <v>65136</v>
      </c>
      <c r="B985" s="7" t="s">
        <v>115</v>
      </c>
      <c r="C985" s="7" t="s">
        <v>107</v>
      </c>
    </row>
    <row r="986" spans="1:7" x14ac:dyDescent="0.25">
      <c r="A986" s="6">
        <v>65168</v>
      </c>
      <c r="B986" s="7" t="s">
        <v>108</v>
      </c>
      <c r="C986" s="7" t="s">
        <v>109</v>
      </c>
    </row>
    <row r="987" spans="1:7" x14ac:dyDescent="0.25">
      <c r="A987" s="6">
        <v>65265</v>
      </c>
      <c r="B987" s="7" t="s">
        <v>116</v>
      </c>
      <c r="C987" s="7" t="s">
        <v>110</v>
      </c>
    </row>
    <row r="988" spans="1:7" x14ac:dyDescent="0.25">
      <c r="A988" s="6">
        <v>65300</v>
      </c>
      <c r="B988" s="7" t="s">
        <v>116</v>
      </c>
      <c r="C988" s="7" t="s">
        <v>111</v>
      </c>
    </row>
    <row r="989" spans="1:7" x14ac:dyDescent="0.25">
      <c r="A989" s="6">
        <v>65321</v>
      </c>
      <c r="B989" s="7" t="s">
        <v>116</v>
      </c>
      <c r="C989" s="7" t="s">
        <v>112</v>
      </c>
    </row>
    <row r="990" spans="1:7" x14ac:dyDescent="0.25">
      <c r="A990" s="6">
        <v>65334</v>
      </c>
      <c r="B990" s="7" t="s">
        <v>102</v>
      </c>
      <c r="C990" s="7" t="s">
        <v>113</v>
      </c>
    </row>
    <row r="991" spans="1:7" x14ac:dyDescent="0.25">
      <c r="A991" s="6">
        <v>65339</v>
      </c>
      <c r="B991" s="7" t="s">
        <v>115</v>
      </c>
      <c r="C991" s="7" t="s">
        <v>117</v>
      </c>
      <c r="G991" s="1"/>
    </row>
    <row r="992" spans="1:7" x14ac:dyDescent="0.25">
      <c r="A992" s="6">
        <v>65374</v>
      </c>
      <c r="B992" s="7" t="s">
        <v>115</v>
      </c>
      <c r="C992" s="7" t="s">
        <v>114</v>
      </c>
    </row>
    <row r="993" spans="1:7" x14ac:dyDescent="0.25">
      <c r="A993" s="4">
        <v>65381</v>
      </c>
      <c r="B993" s="5" t="s">
        <v>115</v>
      </c>
      <c r="C993" s="5" t="s">
        <v>100</v>
      </c>
    </row>
    <row r="994" spans="1:7" x14ac:dyDescent="0.25">
      <c r="A994" s="4">
        <v>65445</v>
      </c>
      <c r="B994" s="5" t="s">
        <v>99</v>
      </c>
      <c r="C994" s="5" t="s">
        <v>101</v>
      </c>
    </row>
    <row r="995" spans="1:7" x14ac:dyDescent="0.25">
      <c r="A995" s="4">
        <v>65446</v>
      </c>
      <c r="B995" s="5" t="s">
        <v>102</v>
      </c>
      <c r="C995" s="5" t="s">
        <v>101</v>
      </c>
    </row>
    <row r="996" spans="1:7" x14ac:dyDescent="0.25">
      <c r="A996" s="4">
        <v>65491</v>
      </c>
      <c r="B996" s="5" t="s">
        <v>103</v>
      </c>
      <c r="C996" s="5" t="s">
        <v>104</v>
      </c>
    </row>
    <row r="997" spans="1:7" x14ac:dyDescent="0.25">
      <c r="A997" s="4">
        <v>65491</v>
      </c>
      <c r="B997" s="5" t="s">
        <v>103</v>
      </c>
      <c r="C997" s="5" t="s">
        <v>106</v>
      </c>
    </row>
    <row r="998" spans="1:7" x14ac:dyDescent="0.25">
      <c r="A998" s="4">
        <v>65501</v>
      </c>
      <c r="B998" s="5" t="s">
        <v>99</v>
      </c>
      <c r="C998" s="5" t="s">
        <v>107</v>
      </c>
    </row>
    <row r="999" spans="1:7" x14ac:dyDescent="0.25">
      <c r="A999" s="4">
        <v>65553</v>
      </c>
      <c r="B999" s="5" t="s">
        <v>108</v>
      </c>
      <c r="C999" s="5" t="s">
        <v>109</v>
      </c>
    </row>
    <row r="1000" spans="1:7" x14ac:dyDescent="0.25">
      <c r="A1000" s="4">
        <v>65630</v>
      </c>
      <c r="B1000" s="5" t="s">
        <v>108</v>
      </c>
      <c r="C1000" s="5" t="s">
        <v>110</v>
      </c>
    </row>
    <row r="1001" spans="1:7" x14ac:dyDescent="0.25">
      <c r="A1001" s="4">
        <v>65665</v>
      </c>
      <c r="B1001" s="5" t="s">
        <v>108</v>
      </c>
      <c r="C1001" s="5" t="s">
        <v>111</v>
      </c>
    </row>
    <row r="1002" spans="1:7" x14ac:dyDescent="0.25">
      <c r="A1002" s="4">
        <v>65686</v>
      </c>
      <c r="B1002" s="5" t="s">
        <v>108</v>
      </c>
      <c r="C1002" s="5" t="s">
        <v>112</v>
      </c>
    </row>
    <row r="1003" spans="1:7" x14ac:dyDescent="0.25">
      <c r="A1003" s="4">
        <v>65699</v>
      </c>
      <c r="B1003" s="5" t="s">
        <v>116</v>
      </c>
      <c r="C1003" s="5" t="s">
        <v>113</v>
      </c>
    </row>
    <row r="1004" spans="1:7" x14ac:dyDescent="0.25">
      <c r="A1004" s="4">
        <v>65704</v>
      </c>
      <c r="B1004" s="5" t="s">
        <v>99</v>
      </c>
      <c r="C1004" s="5" t="s">
        <v>117</v>
      </c>
      <c r="G1004" s="1"/>
    </row>
    <row r="1005" spans="1:7" x14ac:dyDescent="0.25">
      <c r="A1005" s="4">
        <v>65739</v>
      </c>
      <c r="B1005" s="5" t="s">
        <v>99</v>
      </c>
      <c r="C1005" s="5" t="s">
        <v>114</v>
      </c>
    </row>
    <row r="1006" spans="1:7" x14ac:dyDescent="0.25">
      <c r="A1006" s="6">
        <v>65746</v>
      </c>
      <c r="B1006" s="7" t="s">
        <v>99</v>
      </c>
      <c r="C1006" s="7" t="s">
        <v>100</v>
      </c>
    </row>
    <row r="1007" spans="1:7" x14ac:dyDescent="0.25">
      <c r="A1007" s="6">
        <v>65795</v>
      </c>
      <c r="B1007" s="7" t="s">
        <v>99</v>
      </c>
      <c r="C1007" s="7" t="s">
        <v>101</v>
      </c>
    </row>
    <row r="1008" spans="1:7" x14ac:dyDescent="0.25">
      <c r="A1008" s="6">
        <v>65796</v>
      </c>
      <c r="B1008" s="7" t="s">
        <v>102</v>
      </c>
      <c r="C1008" s="7" t="s">
        <v>101</v>
      </c>
    </row>
    <row r="1009" spans="1:7" x14ac:dyDescent="0.25">
      <c r="A1009" s="6">
        <v>65841</v>
      </c>
      <c r="B1009" s="7" t="s">
        <v>103</v>
      </c>
      <c r="C1009" s="7" t="s">
        <v>104</v>
      </c>
    </row>
    <row r="1010" spans="1:7" x14ac:dyDescent="0.25">
      <c r="A1010" s="6">
        <v>65857</v>
      </c>
      <c r="B1010" s="7" t="s">
        <v>115</v>
      </c>
      <c r="C1010" s="7" t="s">
        <v>106</v>
      </c>
    </row>
    <row r="1011" spans="1:7" x14ac:dyDescent="0.25">
      <c r="A1011" s="6">
        <v>65867</v>
      </c>
      <c r="B1011" s="7" t="s">
        <v>116</v>
      </c>
      <c r="C1011" s="7" t="s">
        <v>107</v>
      </c>
    </row>
    <row r="1012" spans="1:7" x14ac:dyDescent="0.25">
      <c r="A1012" s="6">
        <v>65903</v>
      </c>
      <c r="B1012" s="7" t="s">
        <v>108</v>
      </c>
      <c r="C1012" s="7" t="s">
        <v>109</v>
      </c>
    </row>
    <row r="1013" spans="1:7" x14ac:dyDescent="0.25">
      <c r="A1013" s="6">
        <v>65996</v>
      </c>
      <c r="B1013" s="7" t="s">
        <v>105</v>
      </c>
      <c r="C1013" s="7" t="s">
        <v>110</v>
      </c>
    </row>
    <row r="1014" spans="1:7" x14ac:dyDescent="0.25">
      <c r="A1014" s="6">
        <v>66031</v>
      </c>
      <c r="B1014" s="7" t="s">
        <v>105</v>
      </c>
      <c r="C1014" s="7" t="s">
        <v>111</v>
      </c>
    </row>
    <row r="1015" spans="1:7" x14ac:dyDescent="0.25">
      <c r="A1015" s="6">
        <v>66052</v>
      </c>
      <c r="B1015" s="7" t="s">
        <v>105</v>
      </c>
      <c r="C1015" s="7" t="s">
        <v>112</v>
      </c>
    </row>
    <row r="1016" spans="1:7" x14ac:dyDescent="0.25">
      <c r="A1016" s="6">
        <v>66065</v>
      </c>
      <c r="B1016" s="7" t="s">
        <v>103</v>
      </c>
      <c r="C1016" s="7" t="s">
        <v>113</v>
      </c>
    </row>
    <row r="1017" spans="1:7" x14ac:dyDescent="0.25">
      <c r="A1017" s="6">
        <v>66070</v>
      </c>
      <c r="B1017" s="7" t="s">
        <v>116</v>
      </c>
      <c r="C1017" s="7" t="s">
        <v>117</v>
      </c>
      <c r="G1017" s="1"/>
    </row>
    <row r="1018" spans="1:7" x14ac:dyDescent="0.25">
      <c r="A1018" s="6">
        <v>66105</v>
      </c>
      <c r="B1018" s="7" t="s">
        <v>116</v>
      </c>
      <c r="C1018" s="7" t="s">
        <v>114</v>
      </c>
    </row>
    <row r="1019" spans="1:7" x14ac:dyDescent="0.25">
      <c r="A1019" s="4">
        <v>66112</v>
      </c>
      <c r="B1019" s="5" t="s">
        <v>116</v>
      </c>
      <c r="C1019" s="5" t="s">
        <v>100</v>
      </c>
    </row>
    <row r="1020" spans="1:7" x14ac:dyDescent="0.25">
      <c r="A1020" s="4">
        <v>66152</v>
      </c>
      <c r="B1020" s="5" t="s">
        <v>99</v>
      </c>
      <c r="C1020" s="5" t="s">
        <v>101</v>
      </c>
    </row>
    <row r="1021" spans="1:7" x14ac:dyDescent="0.25">
      <c r="A1021" s="4">
        <v>66153</v>
      </c>
      <c r="B1021" s="5" t="s">
        <v>102</v>
      </c>
      <c r="C1021" s="5" t="s">
        <v>101</v>
      </c>
    </row>
    <row r="1022" spans="1:7" x14ac:dyDescent="0.25">
      <c r="A1022" s="4">
        <v>66198</v>
      </c>
      <c r="B1022" s="5" t="s">
        <v>103</v>
      </c>
      <c r="C1022" s="5" t="s">
        <v>104</v>
      </c>
    </row>
    <row r="1023" spans="1:7" x14ac:dyDescent="0.25">
      <c r="A1023" s="4">
        <v>66222</v>
      </c>
      <c r="B1023" s="5" t="s">
        <v>99</v>
      </c>
      <c r="C1023" s="5" t="s">
        <v>106</v>
      </c>
    </row>
    <row r="1024" spans="1:7" x14ac:dyDescent="0.25">
      <c r="A1024" s="4">
        <v>66232</v>
      </c>
      <c r="B1024" s="5" t="s">
        <v>108</v>
      </c>
      <c r="C1024" s="5" t="s">
        <v>107</v>
      </c>
    </row>
    <row r="1025" spans="1:7" x14ac:dyDescent="0.25">
      <c r="A1025" s="4">
        <v>66260</v>
      </c>
      <c r="B1025" s="5" t="s">
        <v>108</v>
      </c>
      <c r="C1025" s="5" t="s">
        <v>109</v>
      </c>
    </row>
    <row r="1026" spans="1:7" x14ac:dyDescent="0.25">
      <c r="A1026" s="4">
        <v>66361</v>
      </c>
      <c r="B1026" s="5" t="s">
        <v>115</v>
      </c>
      <c r="C1026" s="5" t="s">
        <v>110</v>
      </c>
    </row>
    <row r="1027" spans="1:7" x14ac:dyDescent="0.25">
      <c r="A1027" s="4">
        <v>66396</v>
      </c>
      <c r="B1027" s="5" t="s">
        <v>115</v>
      </c>
      <c r="C1027" s="5" t="s">
        <v>111</v>
      </c>
    </row>
    <row r="1028" spans="1:7" x14ac:dyDescent="0.25">
      <c r="A1028" s="4">
        <v>66417</v>
      </c>
      <c r="B1028" s="5" t="s">
        <v>115</v>
      </c>
      <c r="C1028" s="5" t="s">
        <v>112</v>
      </c>
    </row>
    <row r="1029" spans="1:7" x14ac:dyDescent="0.25">
      <c r="A1029" s="4">
        <v>66430</v>
      </c>
      <c r="B1029" s="5" t="s">
        <v>105</v>
      </c>
      <c r="C1029" s="5" t="s">
        <v>113</v>
      </c>
    </row>
    <row r="1030" spans="1:7" x14ac:dyDescent="0.25">
      <c r="A1030" s="4">
        <v>66435</v>
      </c>
      <c r="B1030" s="5" t="s">
        <v>108</v>
      </c>
      <c r="C1030" s="5" t="s">
        <v>117</v>
      </c>
      <c r="G1030" s="1"/>
    </row>
    <row r="1031" spans="1:7" x14ac:dyDescent="0.25">
      <c r="A1031" s="4">
        <v>66470</v>
      </c>
      <c r="B1031" s="5" t="s">
        <v>108</v>
      </c>
      <c r="C1031" s="5" t="s">
        <v>114</v>
      </c>
    </row>
    <row r="1032" spans="1:7" x14ac:dyDescent="0.25">
      <c r="A1032" s="6">
        <v>66477</v>
      </c>
      <c r="B1032" s="7" t="s">
        <v>108</v>
      </c>
      <c r="C1032" s="7" t="s">
        <v>100</v>
      </c>
    </row>
    <row r="1033" spans="1:7" x14ac:dyDescent="0.25">
      <c r="A1033" s="6">
        <v>66537</v>
      </c>
      <c r="B1033" s="7" t="s">
        <v>99</v>
      </c>
      <c r="C1033" s="7" t="s">
        <v>101</v>
      </c>
    </row>
    <row r="1034" spans="1:7" x14ac:dyDescent="0.25">
      <c r="A1034" s="6">
        <v>66538</v>
      </c>
      <c r="B1034" s="7" t="s">
        <v>102</v>
      </c>
      <c r="C1034" s="7" t="s">
        <v>101</v>
      </c>
    </row>
    <row r="1035" spans="1:7" x14ac:dyDescent="0.25">
      <c r="A1035" s="6">
        <v>66583</v>
      </c>
      <c r="B1035" s="7" t="s">
        <v>103</v>
      </c>
      <c r="C1035" s="7" t="s">
        <v>104</v>
      </c>
    </row>
    <row r="1036" spans="1:7" x14ac:dyDescent="0.25">
      <c r="A1036" s="6">
        <v>66587</v>
      </c>
      <c r="B1036" s="7" t="s">
        <v>102</v>
      </c>
      <c r="C1036" s="7" t="s">
        <v>106</v>
      </c>
    </row>
    <row r="1037" spans="1:7" x14ac:dyDescent="0.25">
      <c r="A1037" s="6">
        <v>66597</v>
      </c>
      <c r="B1037" s="7" t="s">
        <v>103</v>
      </c>
      <c r="C1037" s="7" t="s">
        <v>107</v>
      </c>
    </row>
    <row r="1038" spans="1:7" x14ac:dyDescent="0.25">
      <c r="A1038" s="6">
        <v>66645</v>
      </c>
      <c r="B1038" s="7" t="s">
        <v>108</v>
      </c>
      <c r="C1038" s="7" t="s">
        <v>109</v>
      </c>
    </row>
    <row r="1039" spans="1:7" x14ac:dyDescent="0.25">
      <c r="A1039" s="6">
        <v>66726</v>
      </c>
      <c r="B1039" s="7" t="s">
        <v>99</v>
      </c>
      <c r="C1039" s="7" t="s">
        <v>110</v>
      </c>
    </row>
    <row r="1040" spans="1:7" x14ac:dyDescent="0.25">
      <c r="A1040" s="6">
        <v>66761</v>
      </c>
      <c r="B1040" s="7" t="s">
        <v>99</v>
      </c>
      <c r="C1040" s="7" t="s">
        <v>111</v>
      </c>
    </row>
    <row r="1041" spans="1:7" x14ac:dyDescent="0.25">
      <c r="A1041" s="6">
        <v>66782</v>
      </c>
      <c r="B1041" s="7" t="s">
        <v>99</v>
      </c>
      <c r="C1041" s="7" t="s">
        <v>112</v>
      </c>
    </row>
    <row r="1042" spans="1:7" x14ac:dyDescent="0.25">
      <c r="A1042" s="6">
        <v>66795</v>
      </c>
      <c r="B1042" s="7" t="s">
        <v>115</v>
      </c>
      <c r="C1042" s="7" t="s">
        <v>113</v>
      </c>
    </row>
    <row r="1043" spans="1:7" x14ac:dyDescent="0.25">
      <c r="A1043" s="6">
        <v>66800</v>
      </c>
      <c r="B1043" s="7" t="s">
        <v>103</v>
      </c>
      <c r="C1043" s="7" t="s">
        <v>117</v>
      </c>
      <c r="G1043" s="1"/>
    </row>
    <row r="1044" spans="1:7" x14ac:dyDescent="0.25">
      <c r="A1044" s="6">
        <v>66835</v>
      </c>
      <c r="B1044" s="7" t="s">
        <v>103</v>
      </c>
      <c r="C1044" s="7" t="s">
        <v>114</v>
      </c>
    </row>
    <row r="1045" spans="1:7" x14ac:dyDescent="0.25">
      <c r="A1045" s="4">
        <v>66842</v>
      </c>
      <c r="B1045" s="5" t="s">
        <v>103</v>
      </c>
      <c r="C1045" s="5" t="s">
        <v>100</v>
      </c>
    </row>
    <row r="1046" spans="1:7" x14ac:dyDescent="0.25">
      <c r="A1046" s="4">
        <v>66887</v>
      </c>
      <c r="B1046" s="5" t="s">
        <v>99</v>
      </c>
      <c r="C1046" s="5" t="s">
        <v>101</v>
      </c>
    </row>
    <row r="1047" spans="1:7" x14ac:dyDescent="0.25">
      <c r="A1047" s="4">
        <v>66888</v>
      </c>
      <c r="B1047" s="5" t="s">
        <v>102</v>
      </c>
      <c r="C1047" s="5" t="s">
        <v>101</v>
      </c>
    </row>
    <row r="1048" spans="1:7" x14ac:dyDescent="0.25">
      <c r="A1048" s="4">
        <v>66933</v>
      </c>
      <c r="B1048" s="5" t="s">
        <v>103</v>
      </c>
      <c r="C1048" s="5" t="s">
        <v>104</v>
      </c>
    </row>
    <row r="1049" spans="1:7" x14ac:dyDescent="0.25">
      <c r="A1049" s="4">
        <v>66952</v>
      </c>
      <c r="B1049" s="5" t="s">
        <v>116</v>
      </c>
      <c r="C1049" s="5" t="s">
        <v>106</v>
      </c>
    </row>
    <row r="1050" spans="1:7" x14ac:dyDescent="0.25">
      <c r="A1050" s="4">
        <v>66962</v>
      </c>
      <c r="B1050" s="5" t="s">
        <v>105</v>
      </c>
      <c r="C1050" s="5" t="s">
        <v>107</v>
      </c>
    </row>
    <row r="1051" spans="1:7" x14ac:dyDescent="0.25">
      <c r="A1051" s="4">
        <v>66995</v>
      </c>
      <c r="B1051" s="5" t="s">
        <v>108</v>
      </c>
      <c r="C1051" s="5" t="s">
        <v>109</v>
      </c>
    </row>
    <row r="1052" spans="1:7" x14ac:dyDescent="0.25">
      <c r="A1052" s="4">
        <v>67091</v>
      </c>
      <c r="B1052" s="5" t="s">
        <v>102</v>
      </c>
      <c r="C1052" s="5" t="s">
        <v>110</v>
      </c>
    </row>
    <row r="1053" spans="1:7" x14ac:dyDescent="0.25">
      <c r="A1053" s="4">
        <v>67126</v>
      </c>
      <c r="B1053" s="5" t="s">
        <v>102</v>
      </c>
      <c r="C1053" s="5" t="s">
        <v>111</v>
      </c>
    </row>
    <row r="1054" spans="1:7" x14ac:dyDescent="0.25">
      <c r="A1054" s="4">
        <v>67147</v>
      </c>
      <c r="B1054" s="5" t="s">
        <v>102</v>
      </c>
      <c r="C1054" s="5" t="s">
        <v>112</v>
      </c>
    </row>
    <row r="1055" spans="1:7" x14ac:dyDescent="0.25">
      <c r="A1055" s="4">
        <v>67160</v>
      </c>
      <c r="B1055" s="5" t="s">
        <v>99</v>
      </c>
      <c r="C1055" s="5" t="s">
        <v>113</v>
      </c>
    </row>
    <row r="1056" spans="1:7" x14ac:dyDescent="0.25">
      <c r="A1056" s="4">
        <v>67165</v>
      </c>
      <c r="B1056" s="5" t="s">
        <v>105</v>
      </c>
      <c r="C1056" s="5" t="s">
        <v>117</v>
      </c>
      <c r="G1056" s="1"/>
    </row>
    <row r="1057" spans="1:7" x14ac:dyDescent="0.25">
      <c r="A1057" s="4">
        <v>67200</v>
      </c>
      <c r="B1057" s="5" t="s">
        <v>105</v>
      </c>
      <c r="C1057" s="5" t="s">
        <v>114</v>
      </c>
    </row>
    <row r="1058" spans="1:7" x14ac:dyDescent="0.25">
      <c r="A1058" s="6">
        <v>67207</v>
      </c>
      <c r="B1058" s="7" t="s">
        <v>105</v>
      </c>
      <c r="C1058" s="7" t="s">
        <v>100</v>
      </c>
    </row>
    <row r="1059" spans="1:7" x14ac:dyDescent="0.25">
      <c r="A1059" s="6">
        <v>67244</v>
      </c>
      <c r="B1059" s="7" t="s">
        <v>99</v>
      </c>
      <c r="C1059" s="7" t="s">
        <v>101</v>
      </c>
    </row>
    <row r="1060" spans="1:7" x14ac:dyDescent="0.25">
      <c r="A1060" s="6">
        <v>67245</v>
      </c>
      <c r="B1060" s="7" t="s">
        <v>102</v>
      </c>
      <c r="C1060" s="7" t="s">
        <v>101</v>
      </c>
    </row>
    <row r="1061" spans="1:7" x14ac:dyDescent="0.25">
      <c r="A1061" s="6">
        <v>67290</v>
      </c>
      <c r="B1061" s="7" t="s">
        <v>103</v>
      </c>
      <c r="C1061" s="7" t="s">
        <v>104</v>
      </c>
    </row>
    <row r="1062" spans="1:7" x14ac:dyDescent="0.25">
      <c r="A1062" s="6">
        <v>67318</v>
      </c>
      <c r="B1062" s="7" t="s">
        <v>103</v>
      </c>
      <c r="C1062" s="7" t="s">
        <v>106</v>
      </c>
    </row>
    <row r="1063" spans="1:7" x14ac:dyDescent="0.25">
      <c r="A1063" s="6">
        <v>67328</v>
      </c>
      <c r="B1063" s="7" t="s">
        <v>99</v>
      </c>
      <c r="C1063" s="7" t="s">
        <v>107</v>
      </c>
    </row>
    <row r="1064" spans="1:7" x14ac:dyDescent="0.25">
      <c r="A1064" s="6">
        <v>67352</v>
      </c>
      <c r="B1064" s="7" t="s">
        <v>108</v>
      </c>
      <c r="C1064" s="7" t="s">
        <v>109</v>
      </c>
    </row>
    <row r="1065" spans="1:7" x14ac:dyDescent="0.25">
      <c r="A1065" s="6">
        <v>67457</v>
      </c>
      <c r="B1065" s="7" t="s">
        <v>108</v>
      </c>
      <c r="C1065" s="7" t="s">
        <v>110</v>
      </c>
    </row>
    <row r="1066" spans="1:7" x14ac:dyDescent="0.25">
      <c r="A1066" s="6">
        <v>67492</v>
      </c>
      <c r="B1066" s="7" t="s">
        <v>108</v>
      </c>
      <c r="C1066" s="7" t="s">
        <v>111</v>
      </c>
    </row>
    <row r="1067" spans="1:7" x14ac:dyDescent="0.25">
      <c r="A1067" s="6">
        <v>67513</v>
      </c>
      <c r="B1067" s="7" t="s">
        <v>108</v>
      </c>
      <c r="C1067" s="7" t="s">
        <v>112</v>
      </c>
    </row>
    <row r="1068" spans="1:7" x14ac:dyDescent="0.25">
      <c r="A1068" s="6">
        <v>67526</v>
      </c>
      <c r="B1068" s="7" t="s">
        <v>116</v>
      </c>
      <c r="C1068" s="7" t="s">
        <v>113</v>
      </c>
    </row>
    <row r="1069" spans="1:7" x14ac:dyDescent="0.25">
      <c r="A1069" s="6">
        <v>67531</v>
      </c>
      <c r="B1069" s="7" t="s">
        <v>99</v>
      </c>
      <c r="C1069" s="7" t="s">
        <v>117</v>
      </c>
      <c r="G1069" s="1"/>
    </row>
    <row r="1070" spans="1:7" x14ac:dyDescent="0.25">
      <c r="A1070" s="6">
        <v>67566</v>
      </c>
      <c r="B1070" s="7" t="s">
        <v>99</v>
      </c>
      <c r="C1070" s="7" t="s">
        <v>114</v>
      </c>
    </row>
    <row r="1071" spans="1:7" x14ac:dyDescent="0.25">
      <c r="A1071" s="4">
        <v>67573</v>
      </c>
      <c r="B1071" s="5" t="s">
        <v>99</v>
      </c>
      <c r="C1071" s="5" t="s">
        <v>100</v>
      </c>
    </row>
    <row r="1072" spans="1:7" x14ac:dyDescent="0.25">
      <c r="A1072" s="4">
        <v>67629</v>
      </c>
      <c r="B1072" s="5" t="s">
        <v>99</v>
      </c>
      <c r="C1072" s="5" t="s">
        <v>101</v>
      </c>
    </row>
    <row r="1073" spans="1:7" x14ac:dyDescent="0.25">
      <c r="A1073" s="4">
        <v>67630</v>
      </c>
      <c r="B1073" s="5" t="s">
        <v>102</v>
      </c>
      <c r="C1073" s="5" t="s">
        <v>101</v>
      </c>
    </row>
    <row r="1074" spans="1:7" x14ac:dyDescent="0.25">
      <c r="A1074" s="4">
        <v>67675</v>
      </c>
      <c r="B1074" s="5" t="s">
        <v>103</v>
      </c>
      <c r="C1074" s="5" t="s">
        <v>104</v>
      </c>
    </row>
    <row r="1075" spans="1:7" x14ac:dyDescent="0.25">
      <c r="A1075" s="4">
        <v>67683</v>
      </c>
      <c r="B1075" s="5" t="s">
        <v>105</v>
      </c>
      <c r="C1075" s="5" t="s">
        <v>106</v>
      </c>
    </row>
    <row r="1076" spans="1:7" x14ac:dyDescent="0.25">
      <c r="A1076" s="4">
        <v>67693</v>
      </c>
      <c r="B1076" s="5" t="s">
        <v>102</v>
      </c>
      <c r="C1076" s="5" t="s">
        <v>107</v>
      </c>
    </row>
    <row r="1077" spans="1:7" x14ac:dyDescent="0.25">
      <c r="A1077" s="4">
        <v>67737</v>
      </c>
      <c r="B1077" s="5" t="s">
        <v>108</v>
      </c>
      <c r="C1077" s="5" t="s">
        <v>109</v>
      </c>
    </row>
    <row r="1078" spans="1:7" x14ac:dyDescent="0.25">
      <c r="A1078" s="4">
        <v>67822</v>
      </c>
      <c r="B1078" s="5" t="s">
        <v>103</v>
      </c>
      <c r="C1078" s="5" t="s">
        <v>110</v>
      </c>
    </row>
    <row r="1079" spans="1:7" x14ac:dyDescent="0.25">
      <c r="A1079" s="4">
        <v>67857</v>
      </c>
      <c r="B1079" s="5" t="s">
        <v>103</v>
      </c>
      <c r="C1079" s="5" t="s">
        <v>111</v>
      </c>
    </row>
    <row r="1080" spans="1:7" x14ac:dyDescent="0.25">
      <c r="A1080" s="4">
        <v>67878</v>
      </c>
      <c r="B1080" s="5" t="s">
        <v>103</v>
      </c>
      <c r="C1080" s="5" t="s">
        <v>112</v>
      </c>
    </row>
    <row r="1081" spans="1:7" x14ac:dyDescent="0.25">
      <c r="A1081" s="4">
        <v>67891</v>
      </c>
      <c r="B1081" s="5" t="s">
        <v>108</v>
      </c>
      <c r="C1081" s="5" t="s">
        <v>113</v>
      </c>
    </row>
    <row r="1082" spans="1:7" x14ac:dyDescent="0.25">
      <c r="A1082" s="4">
        <v>67896</v>
      </c>
      <c r="B1082" s="5" t="s">
        <v>102</v>
      </c>
      <c r="C1082" s="5" t="s">
        <v>117</v>
      </c>
      <c r="G1082" s="1"/>
    </row>
    <row r="1083" spans="1:7" x14ac:dyDescent="0.25">
      <c r="A1083" s="4">
        <v>67931</v>
      </c>
      <c r="B1083" s="5" t="s">
        <v>102</v>
      </c>
      <c r="C1083" s="5" t="s">
        <v>114</v>
      </c>
    </row>
    <row r="1084" spans="1:7" x14ac:dyDescent="0.25">
      <c r="A1084" s="6">
        <v>67938</v>
      </c>
      <c r="B1084" s="7" t="s">
        <v>102</v>
      </c>
      <c r="C1084" s="7" t="s">
        <v>100</v>
      </c>
    </row>
    <row r="1085" spans="1:7" x14ac:dyDescent="0.25">
      <c r="A1085" s="6">
        <v>67979</v>
      </c>
      <c r="B1085" s="7" t="s">
        <v>99</v>
      </c>
      <c r="C1085" s="7" t="s">
        <v>101</v>
      </c>
    </row>
    <row r="1086" spans="1:7" x14ac:dyDescent="0.25">
      <c r="A1086" s="6">
        <v>67980</v>
      </c>
      <c r="B1086" s="7" t="s">
        <v>102</v>
      </c>
      <c r="C1086" s="7" t="s">
        <v>101</v>
      </c>
    </row>
    <row r="1087" spans="1:7" x14ac:dyDescent="0.25">
      <c r="A1087" s="6">
        <v>68025</v>
      </c>
      <c r="B1087" s="7" t="s">
        <v>103</v>
      </c>
      <c r="C1087" s="7" t="s">
        <v>104</v>
      </c>
    </row>
    <row r="1088" spans="1:7" x14ac:dyDescent="0.25">
      <c r="A1088" s="6">
        <v>68048</v>
      </c>
      <c r="B1088" s="7" t="s">
        <v>115</v>
      </c>
      <c r="C1088" s="7" t="s">
        <v>106</v>
      </c>
    </row>
    <row r="1089" spans="1:7" x14ac:dyDescent="0.25">
      <c r="A1089" s="6">
        <v>68058</v>
      </c>
      <c r="B1089" s="7" t="s">
        <v>116</v>
      </c>
      <c r="C1089" s="7" t="s">
        <v>107</v>
      </c>
    </row>
    <row r="1090" spans="1:7" x14ac:dyDescent="0.25">
      <c r="A1090" s="6">
        <v>68087</v>
      </c>
      <c r="B1090" s="7" t="s">
        <v>108</v>
      </c>
      <c r="C1090" s="7" t="s">
        <v>109</v>
      </c>
    </row>
    <row r="1091" spans="1:7" x14ac:dyDescent="0.25">
      <c r="A1091" s="6">
        <v>68187</v>
      </c>
      <c r="B1091" s="7" t="s">
        <v>105</v>
      </c>
      <c r="C1091" s="7" t="s">
        <v>110</v>
      </c>
    </row>
    <row r="1092" spans="1:7" x14ac:dyDescent="0.25">
      <c r="A1092" s="6">
        <v>68222</v>
      </c>
      <c r="B1092" s="7" t="s">
        <v>105</v>
      </c>
      <c r="C1092" s="7" t="s">
        <v>111</v>
      </c>
    </row>
    <row r="1093" spans="1:7" x14ac:dyDescent="0.25">
      <c r="A1093" s="6">
        <v>68243</v>
      </c>
      <c r="B1093" s="7" t="s">
        <v>105</v>
      </c>
      <c r="C1093" s="7" t="s">
        <v>112</v>
      </c>
    </row>
    <row r="1094" spans="1:7" x14ac:dyDescent="0.25">
      <c r="A1094" s="6">
        <v>68256</v>
      </c>
      <c r="B1094" s="7" t="s">
        <v>103</v>
      </c>
      <c r="C1094" s="7" t="s">
        <v>113</v>
      </c>
    </row>
    <row r="1095" spans="1:7" x14ac:dyDescent="0.25">
      <c r="A1095" s="6">
        <v>68261</v>
      </c>
      <c r="B1095" s="7" t="s">
        <v>116</v>
      </c>
      <c r="C1095" s="7" t="s">
        <v>117</v>
      </c>
      <c r="G1095" s="1"/>
    </row>
    <row r="1096" spans="1:7" x14ac:dyDescent="0.25">
      <c r="A1096" s="6">
        <v>68296</v>
      </c>
      <c r="B1096" s="7" t="s">
        <v>116</v>
      </c>
      <c r="C1096" s="7" t="s">
        <v>114</v>
      </c>
    </row>
    <row r="1097" spans="1:7" x14ac:dyDescent="0.25">
      <c r="A1097" s="4">
        <v>68303</v>
      </c>
      <c r="B1097" s="5" t="s">
        <v>116</v>
      </c>
      <c r="C1097" s="5" t="s">
        <v>100</v>
      </c>
    </row>
    <row r="1098" spans="1:7" x14ac:dyDescent="0.25">
      <c r="A1098" s="4">
        <v>68364</v>
      </c>
      <c r="B1098" s="5" t="s">
        <v>99</v>
      </c>
      <c r="C1098" s="5" t="s">
        <v>101</v>
      </c>
    </row>
    <row r="1099" spans="1:7" x14ac:dyDescent="0.25">
      <c r="A1099" s="4">
        <v>68365</v>
      </c>
      <c r="B1099" s="5" t="s">
        <v>102</v>
      </c>
      <c r="C1099" s="5" t="s">
        <v>101</v>
      </c>
    </row>
    <row r="1100" spans="1:7" x14ac:dyDescent="0.25">
      <c r="A1100" s="4">
        <v>68410</v>
      </c>
      <c r="B1100" s="5" t="s">
        <v>103</v>
      </c>
      <c r="C1100" s="5" t="s">
        <v>104</v>
      </c>
    </row>
    <row r="1101" spans="1:7" x14ac:dyDescent="0.25">
      <c r="A1101" s="4">
        <v>68413</v>
      </c>
      <c r="B1101" s="5" t="s">
        <v>99</v>
      </c>
      <c r="C1101" s="5" t="s">
        <v>106</v>
      </c>
    </row>
    <row r="1102" spans="1:7" x14ac:dyDescent="0.25">
      <c r="A1102" s="4">
        <v>68423</v>
      </c>
      <c r="B1102" s="5" t="s">
        <v>108</v>
      </c>
      <c r="C1102" s="5" t="s">
        <v>107</v>
      </c>
    </row>
    <row r="1103" spans="1:7" x14ac:dyDescent="0.25">
      <c r="A1103" s="4">
        <v>68472</v>
      </c>
      <c r="B1103" s="5" t="s">
        <v>108</v>
      </c>
      <c r="C1103" s="5" t="s">
        <v>109</v>
      </c>
    </row>
    <row r="1104" spans="1:7" x14ac:dyDescent="0.25">
      <c r="A1104" s="4">
        <v>68552</v>
      </c>
      <c r="B1104" s="5" t="s">
        <v>115</v>
      </c>
      <c r="C1104" s="5" t="s">
        <v>110</v>
      </c>
    </row>
    <row r="1105" spans="1:7" x14ac:dyDescent="0.25">
      <c r="A1105" s="4">
        <v>68587</v>
      </c>
      <c r="B1105" s="5" t="s">
        <v>115</v>
      </c>
      <c r="C1105" s="5" t="s">
        <v>111</v>
      </c>
    </row>
    <row r="1106" spans="1:7" x14ac:dyDescent="0.25">
      <c r="A1106" s="4">
        <v>68608</v>
      </c>
      <c r="B1106" s="5" t="s">
        <v>115</v>
      </c>
      <c r="C1106" s="5" t="s">
        <v>112</v>
      </c>
    </row>
    <row r="1107" spans="1:7" x14ac:dyDescent="0.25">
      <c r="A1107" s="4">
        <v>68621</v>
      </c>
      <c r="B1107" s="5" t="s">
        <v>105</v>
      </c>
      <c r="C1107" s="5" t="s">
        <v>113</v>
      </c>
    </row>
    <row r="1108" spans="1:7" x14ac:dyDescent="0.25">
      <c r="A1108" s="4">
        <v>68626</v>
      </c>
      <c r="B1108" s="5" t="s">
        <v>108</v>
      </c>
      <c r="C1108" s="5" t="s">
        <v>117</v>
      </c>
      <c r="G1108" s="1"/>
    </row>
    <row r="1109" spans="1:7" x14ac:dyDescent="0.25">
      <c r="A1109" s="4">
        <v>68661</v>
      </c>
      <c r="B1109" s="5" t="s">
        <v>108</v>
      </c>
      <c r="C1109" s="5" t="s">
        <v>114</v>
      </c>
    </row>
    <row r="1110" spans="1:7" x14ac:dyDescent="0.25">
      <c r="A1110" s="6">
        <v>68668</v>
      </c>
      <c r="B1110" s="7" t="s">
        <v>108</v>
      </c>
      <c r="C1110" s="7" t="s">
        <v>100</v>
      </c>
    </row>
    <row r="1111" spans="1:7" x14ac:dyDescent="0.25">
      <c r="A1111" s="6">
        <v>68721</v>
      </c>
      <c r="B1111" s="7" t="s">
        <v>99</v>
      </c>
      <c r="C1111" s="7" t="s">
        <v>101</v>
      </c>
    </row>
    <row r="1112" spans="1:7" x14ac:dyDescent="0.25">
      <c r="A1112" s="6">
        <v>68722</v>
      </c>
      <c r="B1112" s="7" t="s">
        <v>102</v>
      </c>
      <c r="C1112" s="7" t="s">
        <v>101</v>
      </c>
    </row>
    <row r="1113" spans="1:7" x14ac:dyDescent="0.25">
      <c r="A1113" s="6">
        <v>68767</v>
      </c>
      <c r="B1113" s="7" t="s">
        <v>103</v>
      </c>
      <c r="C1113" s="7" t="s">
        <v>104</v>
      </c>
    </row>
    <row r="1114" spans="1:7" x14ac:dyDescent="0.25">
      <c r="A1114" s="6">
        <v>68779</v>
      </c>
      <c r="B1114" s="7" t="s">
        <v>116</v>
      </c>
      <c r="C1114" s="7" t="s">
        <v>106</v>
      </c>
    </row>
    <row r="1115" spans="1:7" x14ac:dyDescent="0.25">
      <c r="A1115" s="6">
        <v>68789</v>
      </c>
      <c r="B1115" s="7" t="s">
        <v>105</v>
      </c>
      <c r="C1115" s="7" t="s">
        <v>107</v>
      </c>
    </row>
    <row r="1116" spans="1:7" x14ac:dyDescent="0.25">
      <c r="A1116" s="6">
        <v>68829</v>
      </c>
      <c r="B1116" s="7" t="s">
        <v>108</v>
      </c>
      <c r="C1116" s="7" t="s">
        <v>109</v>
      </c>
    </row>
    <row r="1117" spans="1:7" x14ac:dyDescent="0.25">
      <c r="A1117" s="6">
        <v>68918</v>
      </c>
      <c r="B1117" s="7" t="s">
        <v>102</v>
      </c>
      <c r="C1117" s="7" t="s">
        <v>110</v>
      </c>
    </row>
    <row r="1118" spans="1:7" x14ac:dyDescent="0.25">
      <c r="A1118" s="6">
        <v>68953</v>
      </c>
      <c r="B1118" s="7" t="s">
        <v>102</v>
      </c>
      <c r="C1118" s="7" t="s">
        <v>111</v>
      </c>
    </row>
    <row r="1119" spans="1:7" x14ac:dyDescent="0.25">
      <c r="A1119" s="6">
        <v>68974</v>
      </c>
      <c r="B1119" s="7" t="s">
        <v>102</v>
      </c>
      <c r="C1119" s="7" t="s">
        <v>112</v>
      </c>
    </row>
    <row r="1120" spans="1:7" x14ac:dyDescent="0.25">
      <c r="A1120" s="6">
        <v>68987</v>
      </c>
      <c r="B1120" s="7" t="s">
        <v>99</v>
      </c>
      <c r="C1120" s="7" t="s">
        <v>113</v>
      </c>
    </row>
    <row r="1121" spans="1:7" x14ac:dyDescent="0.25">
      <c r="A1121" s="6">
        <v>68992</v>
      </c>
      <c r="B1121" s="7" t="s">
        <v>105</v>
      </c>
      <c r="C1121" s="7" t="s">
        <v>117</v>
      </c>
      <c r="G1121" s="1"/>
    </row>
    <row r="1122" spans="1:7" x14ac:dyDescent="0.25">
      <c r="A1122" s="6">
        <v>69027</v>
      </c>
      <c r="B1122" s="7" t="s">
        <v>105</v>
      </c>
      <c r="C1122" s="7" t="s">
        <v>114</v>
      </c>
    </row>
    <row r="1123" spans="1:7" x14ac:dyDescent="0.25">
      <c r="A1123" s="4">
        <v>69034</v>
      </c>
      <c r="B1123" s="5" t="s">
        <v>105</v>
      </c>
      <c r="C1123" s="5" t="s">
        <v>100</v>
      </c>
    </row>
    <row r="1124" spans="1:7" x14ac:dyDescent="0.25">
      <c r="A1124" s="4">
        <v>69078</v>
      </c>
      <c r="B1124" s="5" t="s">
        <v>99</v>
      </c>
      <c r="C1124" s="5" t="s">
        <v>101</v>
      </c>
    </row>
    <row r="1125" spans="1:7" x14ac:dyDescent="0.25">
      <c r="A1125" s="4">
        <v>69079</v>
      </c>
      <c r="B1125" s="5" t="s">
        <v>102</v>
      </c>
      <c r="C1125" s="5" t="s">
        <v>101</v>
      </c>
    </row>
    <row r="1126" spans="1:7" x14ac:dyDescent="0.25">
      <c r="A1126" s="4">
        <v>69124</v>
      </c>
      <c r="B1126" s="5" t="s">
        <v>103</v>
      </c>
      <c r="C1126" s="5" t="s">
        <v>104</v>
      </c>
    </row>
    <row r="1127" spans="1:7" x14ac:dyDescent="0.25">
      <c r="A1127" s="4">
        <v>69144</v>
      </c>
      <c r="B1127" s="5" t="s">
        <v>108</v>
      </c>
      <c r="C1127" s="5" t="s">
        <v>106</v>
      </c>
    </row>
    <row r="1128" spans="1:7" x14ac:dyDescent="0.25">
      <c r="A1128" s="4">
        <v>69154</v>
      </c>
      <c r="B1128" s="5" t="s">
        <v>115</v>
      </c>
      <c r="C1128" s="5" t="s">
        <v>107</v>
      </c>
    </row>
    <row r="1129" spans="1:7" x14ac:dyDescent="0.25">
      <c r="A1129" s="4">
        <v>69186</v>
      </c>
      <c r="B1129" s="5" t="s">
        <v>108</v>
      </c>
      <c r="C1129" s="5" t="s">
        <v>109</v>
      </c>
    </row>
    <row r="1130" spans="1:7" x14ac:dyDescent="0.25">
      <c r="A1130" s="4">
        <v>69283</v>
      </c>
      <c r="B1130" s="5" t="s">
        <v>116</v>
      </c>
      <c r="C1130" s="5" t="s">
        <v>110</v>
      </c>
    </row>
    <row r="1131" spans="1:7" x14ac:dyDescent="0.25">
      <c r="A1131" s="4">
        <v>69318</v>
      </c>
      <c r="B1131" s="5" t="s">
        <v>116</v>
      </c>
      <c r="C1131" s="5" t="s">
        <v>111</v>
      </c>
    </row>
    <row r="1132" spans="1:7" x14ac:dyDescent="0.25">
      <c r="A1132" s="4">
        <v>69339</v>
      </c>
      <c r="B1132" s="5" t="s">
        <v>116</v>
      </c>
      <c r="C1132" s="5" t="s">
        <v>112</v>
      </c>
    </row>
    <row r="1133" spans="1:7" x14ac:dyDescent="0.25">
      <c r="A1133" s="4">
        <v>69352</v>
      </c>
      <c r="B1133" s="5" t="s">
        <v>102</v>
      </c>
      <c r="C1133" s="5" t="s">
        <v>113</v>
      </c>
    </row>
    <row r="1134" spans="1:7" x14ac:dyDescent="0.25">
      <c r="A1134" s="4">
        <v>69357</v>
      </c>
      <c r="B1134" s="5" t="s">
        <v>115</v>
      </c>
      <c r="C1134" s="5" t="s">
        <v>117</v>
      </c>
      <c r="G1134" s="1"/>
    </row>
    <row r="1135" spans="1:7" x14ac:dyDescent="0.25">
      <c r="A1135" s="4">
        <v>69392</v>
      </c>
      <c r="B1135" s="5" t="s">
        <v>115</v>
      </c>
      <c r="C1135" s="5" t="s">
        <v>114</v>
      </c>
    </row>
    <row r="1136" spans="1:7" x14ac:dyDescent="0.25">
      <c r="A1136" s="6">
        <v>69399</v>
      </c>
      <c r="B1136" s="7" t="s">
        <v>115</v>
      </c>
      <c r="C1136" s="7" t="s">
        <v>100</v>
      </c>
    </row>
    <row r="1137" spans="1:7" x14ac:dyDescent="0.25">
      <c r="A1137" s="6">
        <v>69456</v>
      </c>
      <c r="B1137" s="7" t="s">
        <v>99</v>
      </c>
      <c r="C1137" s="7" t="s">
        <v>101</v>
      </c>
    </row>
    <row r="1138" spans="1:7" x14ac:dyDescent="0.25">
      <c r="A1138" s="6">
        <v>69457</v>
      </c>
      <c r="B1138" s="7" t="s">
        <v>102</v>
      </c>
      <c r="C1138" s="7" t="s">
        <v>101</v>
      </c>
    </row>
    <row r="1139" spans="1:7" x14ac:dyDescent="0.25">
      <c r="A1139" s="6">
        <v>69502</v>
      </c>
      <c r="B1139" s="7" t="s">
        <v>103</v>
      </c>
      <c r="C1139" s="7" t="s">
        <v>104</v>
      </c>
    </row>
    <row r="1140" spans="1:7" x14ac:dyDescent="0.25">
      <c r="A1140" s="6">
        <v>69509</v>
      </c>
      <c r="B1140" s="7" t="s">
        <v>103</v>
      </c>
      <c r="C1140" s="7" t="s">
        <v>106</v>
      </c>
    </row>
    <row r="1141" spans="1:7" x14ac:dyDescent="0.25">
      <c r="A1141" s="6">
        <v>69519</v>
      </c>
      <c r="B1141" s="7" t="s">
        <v>99</v>
      </c>
      <c r="C1141" s="7" t="s">
        <v>107</v>
      </c>
    </row>
    <row r="1142" spans="1:7" x14ac:dyDescent="0.25">
      <c r="A1142" s="6">
        <v>69564</v>
      </c>
      <c r="B1142" s="7" t="s">
        <v>108</v>
      </c>
      <c r="C1142" s="7" t="s">
        <v>109</v>
      </c>
    </row>
    <row r="1143" spans="1:7" x14ac:dyDescent="0.25">
      <c r="A1143" s="6">
        <v>69648</v>
      </c>
      <c r="B1143" s="7" t="s">
        <v>108</v>
      </c>
      <c r="C1143" s="7" t="s">
        <v>110</v>
      </c>
    </row>
    <row r="1144" spans="1:7" x14ac:dyDescent="0.25">
      <c r="A1144" s="6">
        <v>69683</v>
      </c>
      <c r="B1144" s="7" t="s">
        <v>108</v>
      </c>
      <c r="C1144" s="7" t="s">
        <v>111</v>
      </c>
    </row>
    <row r="1145" spans="1:7" x14ac:dyDescent="0.25">
      <c r="A1145" s="6">
        <v>69704</v>
      </c>
      <c r="B1145" s="7" t="s">
        <v>108</v>
      </c>
      <c r="C1145" s="7" t="s">
        <v>112</v>
      </c>
    </row>
    <row r="1146" spans="1:7" x14ac:dyDescent="0.25">
      <c r="A1146" s="6">
        <v>69717</v>
      </c>
      <c r="B1146" s="7" t="s">
        <v>116</v>
      </c>
      <c r="C1146" s="7" t="s">
        <v>113</v>
      </c>
    </row>
    <row r="1147" spans="1:7" x14ac:dyDescent="0.25">
      <c r="A1147" s="6">
        <v>69722</v>
      </c>
      <c r="B1147" s="7" t="s">
        <v>99</v>
      </c>
      <c r="C1147" s="7" t="s">
        <v>117</v>
      </c>
      <c r="G1147" s="1"/>
    </row>
    <row r="1148" spans="1:7" x14ac:dyDescent="0.25">
      <c r="A1148" s="6">
        <v>69757</v>
      </c>
      <c r="B1148" s="7" t="s">
        <v>99</v>
      </c>
      <c r="C1148" s="7" t="s">
        <v>114</v>
      </c>
    </row>
    <row r="1149" spans="1:7" x14ac:dyDescent="0.25">
      <c r="A1149" s="4">
        <v>69764</v>
      </c>
      <c r="B1149" s="5" t="s">
        <v>99</v>
      </c>
      <c r="C1149" s="5" t="s">
        <v>100</v>
      </c>
    </row>
    <row r="1150" spans="1:7" x14ac:dyDescent="0.25">
      <c r="A1150" s="4">
        <v>69813</v>
      </c>
      <c r="B1150" s="5" t="s">
        <v>99</v>
      </c>
      <c r="C1150" s="5" t="s">
        <v>101</v>
      </c>
    </row>
    <row r="1151" spans="1:7" x14ac:dyDescent="0.25">
      <c r="A1151" s="4">
        <v>69814</v>
      </c>
      <c r="B1151" s="5" t="s">
        <v>102</v>
      </c>
      <c r="C1151" s="5" t="s">
        <v>101</v>
      </c>
    </row>
    <row r="1152" spans="1:7" x14ac:dyDescent="0.25">
      <c r="A1152" s="4">
        <v>69859</v>
      </c>
      <c r="B1152" s="5" t="s">
        <v>103</v>
      </c>
      <c r="C1152" s="5" t="s">
        <v>104</v>
      </c>
    </row>
    <row r="1153" spans="1:7" x14ac:dyDescent="0.25">
      <c r="A1153" s="4">
        <v>69874</v>
      </c>
      <c r="B1153" s="5" t="s">
        <v>105</v>
      </c>
      <c r="C1153" s="5" t="s">
        <v>106</v>
      </c>
    </row>
    <row r="1154" spans="1:7" x14ac:dyDescent="0.25">
      <c r="A1154" s="4">
        <v>69884</v>
      </c>
      <c r="B1154" s="5" t="s">
        <v>102</v>
      </c>
      <c r="C1154" s="5" t="s">
        <v>107</v>
      </c>
    </row>
    <row r="1155" spans="1:7" x14ac:dyDescent="0.25">
      <c r="A1155" s="4">
        <v>69921</v>
      </c>
      <c r="B1155" s="5" t="s">
        <v>108</v>
      </c>
      <c r="C1155" s="5" t="s">
        <v>109</v>
      </c>
    </row>
    <row r="1156" spans="1:7" x14ac:dyDescent="0.25">
      <c r="A1156" s="4">
        <v>70013</v>
      </c>
      <c r="B1156" s="5" t="s">
        <v>103</v>
      </c>
      <c r="C1156" s="5" t="s">
        <v>110</v>
      </c>
    </row>
    <row r="1157" spans="1:7" x14ac:dyDescent="0.25">
      <c r="A1157" s="4">
        <v>70048</v>
      </c>
      <c r="B1157" s="5" t="s">
        <v>103</v>
      </c>
      <c r="C1157" s="5" t="s">
        <v>111</v>
      </c>
    </row>
    <row r="1158" spans="1:7" x14ac:dyDescent="0.25">
      <c r="A1158" s="4">
        <v>70069</v>
      </c>
      <c r="B1158" s="5" t="s">
        <v>103</v>
      </c>
      <c r="C1158" s="5" t="s">
        <v>112</v>
      </c>
    </row>
    <row r="1159" spans="1:7" x14ac:dyDescent="0.25">
      <c r="A1159" s="4">
        <v>70082</v>
      </c>
      <c r="B1159" s="5" t="s">
        <v>108</v>
      </c>
      <c r="C1159" s="5" t="s">
        <v>113</v>
      </c>
    </row>
    <row r="1160" spans="1:7" x14ac:dyDescent="0.25">
      <c r="A1160" s="4">
        <v>70087</v>
      </c>
      <c r="B1160" s="5" t="s">
        <v>102</v>
      </c>
      <c r="C1160" s="5" t="s">
        <v>117</v>
      </c>
      <c r="G1160" s="1"/>
    </row>
    <row r="1161" spans="1:7" x14ac:dyDescent="0.25">
      <c r="A1161" s="4">
        <v>70122</v>
      </c>
      <c r="B1161" s="5" t="s">
        <v>102</v>
      </c>
      <c r="C1161" s="5" t="s">
        <v>114</v>
      </c>
    </row>
    <row r="1162" spans="1:7" x14ac:dyDescent="0.25">
      <c r="A1162" s="6">
        <v>70129</v>
      </c>
      <c r="B1162" s="7" t="s">
        <v>102</v>
      </c>
      <c r="C1162" s="7" t="s">
        <v>100</v>
      </c>
    </row>
    <row r="1163" spans="1:7" x14ac:dyDescent="0.25">
      <c r="A1163" s="6">
        <v>70170</v>
      </c>
      <c r="B1163" s="7" t="s">
        <v>99</v>
      </c>
      <c r="C1163" s="7" t="s">
        <v>101</v>
      </c>
    </row>
    <row r="1164" spans="1:7" x14ac:dyDescent="0.25">
      <c r="A1164" s="6">
        <v>70171</v>
      </c>
      <c r="B1164" s="7" t="s">
        <v>102</v>
      </c>
      <c r="C1164" s="7" t="s">
        <v>101</v>
      </c>
    </row>
    <row r="1165" spans="1:7" x14ac:dyDescent="0.25">
      <c r="A1165" s="6">
        <v>70216</v>
      </c>
      <c r="B1165" s="7" t="s">
        <v>103</v>
      </c>
      <c r="C1165" s="7" t="s">
        <v>104</v>
      </c>
    </row>
    <row r="1166" spans="1:7" x14ac:dyDescent="0.25">
      <c r="A1166" s="6">
        <v>70240</v>
      </c>
      <c r="B1166" s="7" t="s">
        <v>99</v>
      </c>
      <c r="C1166" s="7" t="s">
        <v>106</v>
      </c>
    </row>
    <row r="1167" spans="1:7" x14ac:dyDescent="0.25">
      <c r="A1167" s="6">
        <v>70250</v>
      </c>
      <c r="B1167" s="7" t="s">
        <v>108</v>
      </c>
      <c r="C1167" s="7" t="s">
        <v>107</v>
      </c>
    </row>
    <row r="1168" spans="1:7" x14ac:dyDescent="0.25">
      <c r="A1168" s="6">
        <v>70278</v>
      </c>
      <c r="B1168" s="7" t="s">
        <v>108</v>
      </c>
      <c r="C1168" s="7" t="s">
        <v>109</v>
      </c>
    </row>
    <row r="1169" spans="1:7" x14ac:dyDescent="0.25">
      <c r="A1169" s="6">
        <v>70379</v>
      </c>
      <c r="B1169" s="7" t="s">
        <v>115</v>
      </c>
      <c r="C1169" s="7" t="s">
        <v>110</v>
      </c>
    </row>
    <row r="1170" spans="1:7" x14ac:dyDescent="0.25">
      <c r="A1170" s="6">
        <v>70414</v>
      </c>
      <c r="B1170" s="7" t="s">
        <v>115</v>
      </c>
      <c r="C1170" s="7" t="s">
        <v>111</v>
      </c>
    </row>
    <row r="1171" spans="1:7" x14ac:dyDescent="0.25">
      <c r="A1171" s="6">
        <v>70435</v>
      </c>
      <c r="B1171" s="7" t="s">
        <v>115</v>
      </c>
      <c r="C1171" s="7" t="s">
        <v>112</v>
      </c>
    </row>
    <row r="1172" spans="1:7" x14ac:dyDescent="0.25">
      <c r="A1172" s="6">
        <v>70448</v>
      </c>
      <c r="B1172" s="7" t="s">
        <v>105</v>
      </c>
      <c r="C1172" s="7" t="s">
        <v>113</v>
      </c>
    </row>
    <row r="1173" spans="1:7" x14ac:dyDescent="0.25">
      <c r="A1173" s="6">
        <v>70453</v>
      </c>
      <c r="B1173" s="7" t="s">
        <v>108</v>
      </c>
      <c r="C1173" s="7" t="s">
        <v>117</v>
      </c>
      <c r="G1173" s="1"/>
    </row>
    <row r="1174" spans="1:7" x14ac:dyDescent="0.25">
      <c r="A1174" s="6">
        <v>70488</v>
      </c>
      <c r="B1174" s="7" t="s">
        <v>108</v>
      </c>
      <c r="C1174" s="7" t="s">
        <v>114</v>
      </c>
    </row>
    <row r="1175" spans="1:7" x14ac:dyDescent="0.25">
      <c r="A1175" s="4">
        <v>70495</v>
      </c>
      <c r="B1175" s="5" t="s">
        <v>108</v>
      </c>
      <c r="C1175" s="5" t="s">
        <v>100</v>
      </c>
    </row>
    <row r="1176" spans="1:7" x14ac:dyDescent="0.25">
      <c r="A1176" s="4">
        <v>70548</v>
      </c>
      <c r="B1176" s="5" t="s">
        <v>99</v>
      </c>
      <c r="C1176" s="5" t="s">
        <v>101</v>
      </c>
    </row>
    <row r="1177" spans="1:7" x14ac:dyDescent="0.25">
      <c r="A1177" s="4">
        <v>70549</v>
      </c>
      <c r="B1177" s="5" t="s">
        <v>102</v>
      </c>
      <c r="C1177" s="5" t="s">
        <v>101</v>
      </c>
    </row>
    <row r="1178" spans="1:7" x14ac:dyDescent="0.25">
      <c r="A1178" s="4">
        <v>70594</v>
      </c>
      <c r="B1178" s="5" t="s">
        <v>103</v>
      </c>
      <c r="C1178" s="5" t="s">
        <v>104</v>
      </c>
    </row>
    <row r="1179" spans="1:7" x14ac:dyDescent="0.25">
      <c r="A1179" s="4">
        <v>70605</v>
      </c>
      <c r="B1179" s="5" t="s">
        <v>102</v>
      </c>
      <c r="C1179" s="5" t="s">
        <v>106</v>
      </c>
    </row>
    <row r="1180" spans="1:7" x14ac:dyDescent="0.25">
      <c r="A1180" s="4">
        <v>70615</v>
      </c>
      <c r="B1180" s="5" t="s">
        <v>103</v>
      </c>
      <c r="C1180" s="5" t="s">
        <v>107</v>
      </c>
    </row>
    <row r="1181" spans="1:7" x14ac:dyDescent="0.25">
      <c r="A1181" s="4">
        <v>70656</v>
      </c>
      <c r="B1181" s="5" t="s">
        <v>108</v>
      </c>
      <c r="C1181" s="5" t="s">
        <v>109</v>
      </c>
    </row>
    <row r="1182" spans="1:7" x14ac:dyDescent="0.25">
      <c r="A1182" s="4">
        <v>70744</v>
      </c>
      <c r="B1182" s="5" t="s">
        <v>99</v>
      </c>
      <c r="C1182" s="5" t="s">
        <v>110</v>
      </c>
    </row>
    <row r="1183" spans="1:7" x14ac:dyDescent="0.25">
      <c r="A1183" s="4">
        <v>70779</v>
      </c>
      <c r="B1183" s="5" t="s">
        <v>99</v>
      </c>
      <c r="C1183" s="5" t="s">
        <v>111</v>
      </c>
    </row>
    <row r="1184" spans="1:7" x14ac:dyDescent="0.25">
      <c r="A1184" s="4">
        <v>70800</v>
      </c>
      <c r="B1184" s="5" t="s">
        <v>99</v>
      </c>
      <c r="C1184" s="5" t="s">
        <v>112</v>
      </c>
    </row>
    <row r="1185" spans="1:7" x14ac:dyDescent="0.25">
      <c r="A1185" s="4">
        <v>70813</v>
      </c>
      <c r="B1185" s="5" t="s">
        <v>115</v>
      </c>
      <c r="C1185" s="5" t="s">
        <v>113</v>
      </c>
    </row>
    <row r="1186" spans="1:7" x14ac:dyDescent="0.25">
      <c r="A1186" s="4">
        <v>70818</v>
      </c>
      <c r="B1186" s="5" t="s">
        <v>103</v>
      </c>
      <c r="C1186" s="5" t="s">
        <v>117</v>
      </c>
      <c r="G1186" s="1"/>
    </row>
    <row r="1187" spans="1:7" x14ac:dyDescent="0.25">
      <c r="A1187" s="4">
        <v>70853</v>
      </c>
      <c r="B1187" s="5" t="s">
        <v>103</v>
      </c>
      <c r="C1187" s="5" t="s">
        <v>114</v>
      </c>
    </row>
    <row r="1188" spans="1:7" x14ac:dyDescent="0.25">
      <c r="A1188" s="6">
        <v>70860</v>
      </c>
      <c r="B1188" s="7" t="s">
        <v>103</v>
      </c>
      <c r="C1188" s="7" t="s">
        <v>100</v>
      </c>
    </row>
    <row r="1189" spans="1:7" x14ac:dyDescent="0.25">
      <c r="A1189" s="6">
        <v>70905</v>
      </c>
      <c r="B1189" s="7" t="s">
        <v>99</v>
      </c>
      <c r="C1189" s="7" t="s">
        <v>101</v>
      </c>
    </row>
    <row r="1190" spans="1:7" x14ac:dyDescent="0.25">
      <c r="A1190" s="6">
        <v>70906</v>
      </c>
      <c r="B1190" s="7" t="s">
        <v>102</v>
      </c>
      <c r="C1190" s="7" t="s">
        <v>101</v>
      </c>
    </row>
    <row r="1191" spans="1:7" x14ac:dyDescent="0.25">
      <c r="A1191" s="6">
        <v>70951</v>
      </c>
      <c r="B1191" s="7" t="s">
        <v>103</v>
      </c>
      <c r="C1191" s="7" t="s">
        <v>104</v>
      </c>
    </row>
    <row r="1192" spans="1:7" x14ac:dyDescent="0.25">
      <c r="A1192" s="6">
        <v>70970</v>
      </c>
      <c r="B1192" s="7" t="s">
        <v>116</v>
      </c>
      <c r="C1192" s="7" t="s">
        <v>106</v>
      </c>
    </row>
    <row r="1193" spans="1:7" x14ac:dyDescent="0.25">
      <c r="A1193" s="6">
        <v>70980</v>
      </c>
      <c r="B1193" s="7" t="s">
        <v>105</v>
      </c>
      <c r="C1193" s="7" t="s">
        <v>107</v>
      </c>
    </row>
    <row r="1194" spans="1:7" x14ac:dyDescent="0.25">
      <c r="A1194" s="6">
        <v>71013</v>
      </c>
      <c r="B1194" s="7" t="s">
        <v>108</v>
      </c>
      <c r="C1194" s="7" t="s">
        <v>109</v>
      </c>
    </row>
    <row r="1195" spans="1:7" x14ac:dyDescent="0.25">
      <c r="A1195" s="6">
        <v>71109</v>
      </c>
      <c r="B1195" s="7" t="s">
        <v>102</v>
      </c>
      <c r="C1195" s="7" t="s">
        <v>110</v>
      </c>
    </row>
    <row r="1196" spans="1:7" x14ac:dyDescent="0.25">
      <c r="A1196" s="6">
        <v>71144</v>
      </c>
      <c r="B1196" s="7" t="s">
        <v>102</v>
      </c>
      <c r="C1196" s="7" t="s">
        <v>111</v>
      </c>
    </row>
    <row r="1197" spans="1:7" x14ac:dyDescent="0.25">
      <c r="A1197" s="6">
        <v>71165</v>
      </c>
      <c r="B1197" s="7" t="s">
        <v>102</v>
      </c>
      <c r="C1197" s="7" t="s">
        <v>112</v>
      </c>
    </row>
    <row r="1198" spans="1:7" x14ac:dyDescent="0.25">
      <c r="A1198" s="6">
        <v>71178</v>
      </c>
      <c r="B1198" s="7" t="s">
        <v>99</v>
      </c>
      <c r="C1198" s="7" t="s">
        <v>113</v>
      </c>
    </row>
    <row r="1199" spans="1:7" x14ac:dyDescent="0.25">
      <c r="A1199" s="6">
        <v>71183</v>
      </c>
      <c r="B1199" s="7" t="s">
        <v>105</v>
      </c>
      <c r="C1199" s="7" t="s">
        <v>117</v>
      </c>
      <c r="G1199" s="1"/>
    </row>
    <row r="1200" spans="1:7" x14ac:dyDescent="0.25">
      <c r="A1200" s="6">
        <v>71218</v>
      </c>
      <c r="B1200" s="7" t="s">
        <v>105</v>
      </c>
      <c r="C1200" s="7" t="s">
        <v>114</v>
      </c>
    </row>
    <row r="1201" spans="1:7" x14ac:dyDescent="0.25">
      <c r="A1201" s="4">
        <v>71225</v>
      </c>
      <c r="B1201" s="5" t="s">
        <v>105</v>
      </c>
      <c r="C1201" s="5" t="s">
        <v>100</v>
      </c>
    </row>
    <row r="1202" spans="1:7" x14ac:dyDescent="0.25">
      <c r="A1202" s="4">
        <v>71290</v>
      </c>
      <c r="B1202" s="5" t="s">
        <v>99</v>
      </c>
      <c r="C1202" s="5" t="s">
        <v>101</v>
      </c>
    </row>
    <row r="1203" spans="1:7" x14ac:dyDescent="0.25">
      <c r="A1203" s="4">
        <v>71291</v>
      </c>
      <c r="B1203" s="5" t="s">
        <v>102</v>
      </c>
      <c r="C1203" s="5" t="s">
        <v>101</v>
      </c>
    </row>
    <row r="1204" spans="1:7" x14ac:dyDescent="0.25">
      <c r="A1204" s="4">
        <v>71335</v>
      </c>
      <c r="B1204" s="5" t="s">
        <v>108</v>
      </c>
      <c r="C1204" s="5" t="s">
        <v>106</v>
      </c>
    </row>
    <row r="1205" spans="1:7" x14ac:dyDescent="0.25">
      <c r="A1205" s="4">
        <v>71336</v>
      </c>
      <c r="B1205" s="5" t="s">
        <v>103</v>
      </c>
      <c r="C1205" s="5" t="s">
        <v>104</v>
      </c>
    </row>
    <row r="1206" spans="1:7" x14ac:dyDescent="0.25">
      <c r="A1206" s="4">
        <v>71345</v>
      </c>
      <c r="B1206" s="5" t="s">
        <v>115</v>
      </c>
      <c r="C1206" s="5" t="s">
        <v>107</v>
      </c>
    </row>
    <row r="1207" spans="1:7" x14ac:dyDescent="0.25">
      <c r="A1207" s="4">
        <v>71398</v>
      </c>
      <c r="B1207" s="5" t="s">
        <v>108</v>
      </c>
      <c r="C1207" s="5" t="s">
        <v>109</v>
      </c>
    </row>
    <row r="1208" spans="1:7" x14ac:dyDescent="0.25">
      <c r="A1208" s="4">
        <v>71474</v>
      </c>
      <c r="B1208" s="5" t="s">
        <v>116</v>
      </c>
      <c r="C1208" s="5" t="s">
        <v>110</v>
      </c>
    </row>
    <row r="1209" spans="1:7" x14ac:dyDescent="0.25">
      <c r="A1209" s="4">
        <v>71509</v>
      </c>
      <c r="B1209" s="5" t="s">
        <v>116</v>
      </c>
      <c r="C1209" s="5" t="s">
        <v>111</v>
      </c>
    </row>
    <row r="1210" spans="1:7" x14ac:dyDescent="0.25">
      <c r="A1210" s="4">
        <v>71530</v>
      </c>
      <c r="B1210" s="5" t="s">
        <v>116</v>
      </c>
      <c r="C1210" s="5" t="s">
        <v>112</v>
      </c>
    </row>
    <row r="1211" spans="1:7" x14ac:dyDescent="0.25">
      <c r="A1211" s="4">
        <v>71543</v>
      </c>
      <c r="B1211" s="5" t="s">
        <v>102</v>
      </c>
      <c r="C1211" s="5" t="s">
        <v>113</v>
      </c>
    </row>
    <row r="1212" spans="1:7" x14ac:dyDescent="0.25">
      <c r="A1212" s="4">
        <v>71548</v>
      </c>
      <c r="B1212" s="5" t="s">
        <v>115</v>
      </c>
      <c r="C1212" s="5" t="s">
        <v>117</v>
      </c>
      <c r="G1212" s="1"/>
    </row>
    <row r="1213" spans="1:7" x14ac:dyDescent="0.25">
      <c r="A1213" s="4">
        <v>71583</v>
      </c>
      <c r="B1213" s="5" t="s">
        <v>115</v>
      </c>
      <c r="C1213" s="5" t="s">
        <v>114</v>
      </c>
    </row>
    <row r="1214" spans="1:7" x14ac:dyDescent="0.25">
      <c r="A1214" s="6">
        <v>71590</v>
      </c>
      <c r="B1214" s="7" t="s">
        <v>115</v>
      </c>
      <c r="C1214" s="7" t="s">
        <v>100</v>
      </c>
    </row>
    <row r="1215" spans="1:7" x14ac:dyDescent="0.25">
      <c r="A1215" s="6">
        <v>71647</v>
      </c>
      <c r="B1215" s="7" t="s">
        <v>99</v>
      </c>
      <c r="C1215" s="7" t="s">
        <v>101</v>
      </c>
    </row>
    <row r="1216" spans="1:7" x14ac:dyDescent="0.25">
      <c r="A1216" s="6">
        <v>71648</v>
      </c>
      <c r="B1216" s="7" t="s">
        <v>102</v>
      </c>
      <c r="C1216" s="7" t="s">
        <v>101</v>
      </c>
    </row>
    <row r="1217" spans="1:7" x14ac:dyDescent="0.25">
      <c r="A1217" s="6">
        <v>71693</v>
      </c>
      <c r="B1217" s="7" t="s">
        <v>103</v>
      </c>
      <c r="C1217" s="7" t="s">
        <v>104</v>
      </c>
    </row>
    <row r="1218" spans="1:7" x14ac:dyDescent="0.25">
      <c r="A1218" s="6">
        <v>71701</v>
      </c>
      <c r="B1218" s="7" t="s">
        <v>105</v>
      </c>
      <c r="C1218" s="7" t="s">
        <v>106</v>
      </c>
    </row>
    <row r="1219" spans="1:7" x14ac:dyDescent="0.25">
      <c r="A1219" s="6">
        <v>71711</v>
      </c>
      <c r="B1219" s="7" t="s">
        <v>102</v>
      </c>
      <c r="C1219" s="7" t="s">
        <v>107</v>
      </c>
    </row>
    <row r="1220" spans="1:7" x14ac:dyDescent="0.25">
      <c r="A1220" s="6">
        <v>71755</v>
      </c>
      <c r="B1220" s="7" t="s">
        <v>108</v>
      </c>
      <c r="C1220" s="7" t="s">
        <v>109</v>
      </c>
    </row>
    <row r="1221" spans="1:7" x14ac:dyDescent="0.25">
      <c r="A1221" s="6">
        <v>71840</v>
      </c>
      <c r="B1221" s="7" t="s">
        <v>103</v>
      </c>
      <c r="C1221" s="7" t="s">
        <v>110</v>
      </c>
    </row>
    <row r="1222" spans="1:7" x14ac:dyDescent="0.25">
      <c r="A1222" s="6">
        <v>71875</v>
      </c>
      <c r="B1222" s="7" t="s">
        <v>103</v>
      </c>
      <c r="C1222" s="7" t="s">
        <v>111</v>
      </c>
    </row>
    <row r="1223" spans="1:7" x14ac:dyDescent="0.25">
      <c r="A1223" s="6">
        <v>71896</v>
      </c>
      <c r="B1223" s="7" t="s">
        <v>103</v>
      </c>
      <c r="C1223" s="7" t="s">
        <v>112</v>
      </c>
    </row>
    <row r="1224" spans="1:7" x14ac:dyDescent="0.25">
      <c r="A1224" s="6">
        <v>71909</v>
      </c>
      <c r="B1224" s="7" t="s">
        <v>108</v>
      </c>
      <c r="C1224" s="7" t="s">
        <v>113</v>
      </c>
    </row>
    <row r="1225" spans="1:7" x14ac:dyDescent="0.25">
      <c r="A1225" s="6">
        <v>71914</v>
      </c>
      <c r="B1225" s="7" t="s">
        <v>102</v>
      </c>
      <c r="C1225" s="7" t="s">
        <v>117</v>
      </c>
      <c r="G1225" s="1"/>
    </row>
    <row r="1226" spans="1:7" x14ac:dyDescent="0.25">
      <c r="A1226" s="6">
        <v>71949</v>
      </c>
      <c r="B1226" s="7" t="s">
        <v>102</v>
      </c>
      <c r="C1226" s="7" t="s">
        <v>114</v>
      </c>
    </row>
    <row r="1227" spans="1:7" x14ac:dyDescent="0.25">
      <c r="A1227" s="4">
        <v>71956</v>
      </c>
      <c r="B1227" s="5" t="s">
        <v>102</v>
      </c>
      <c r="C1227" s="5" t="s">
        <v>100</v>
      </c>
    </row>
    <row r="1228" spans="1:7" x14ac:dyDescent="0.25">
      <c r="A1228" s="4">
        <v>71997</v>
      </c>
      <c r="B1228" s="5" t="s">
        <v>99</v>
      </c>
      <c r="C1228" s="5" t="s">
        <v>101</v>
      </c>
    </row>
    <row r="1229" spans="1:7" x14ac:dyDescent="0.25">
      <c r="A1229" s="4">
        <v>71998</v>
      </c>
      <c r="B1229" s="5" t="s">
        <v>102</v>
      </c>
      <c r="C1229" s="5" t="s">
        <v>101</v>
      </c>
    </row>
    <row r="1230" spans="1:7" x14ac:dyDescent="0.25">
      <c r="A1230" s="4">
        <v>72043</v>
      </c>
      <c r="B1230" s="5" t="s">
        <v>103</v>
      </c>
      <c r="C1230" s="5" t="s">
        <v>104</v>
      </c>
    </row>
    <row r="1231" spans="1:7" x14ac:dyDescent="0.25">
      <c r="A1231" s="4">
        <v>72066</v>
      </c>
      <c r="B1231" s="5" t="s">
        <v>115</v>
      </c>
      <c r="C1231" s="5" t="s">
        <v>106</v>
      </c>
    </row>
    <row r="1232" spans="1:7" x14ac:dyDescent="0.25">
      <c r="A1232" s="4">
        <v>72076</v>
      </c>
      <c r="B1232" s="5" t="s">
        <v>116</v>
      </c>
      <c r="C1232" s="5" t="s">
        <v>107</v>
      </c>
    </row>
    <row r="1233" spans="1:7" x14ac:dyDescent="0.25">
      <c r="A1233" s="4">
        <v>72105</v>
      </c>
      <c r="B1233" s="5" t="s">
        <v>108</v>
      </c>
      <c r="C1233" s="5" t="s">
        <v>109</v>
      </c>
    </row>
    <row r="1234" spans="1:7" x14ac:dyDescent="0.25">
      <c r="A1234" s="4">
        <v>72205</v>
      </c>
      <c r="B1234" s="5" t="s">
        <v>105</v>
      </c>
      <c r="C1234" s="5" t="s">
        <v>110</v>
      </c>
    </row>
    <row r="1235" spans="1:7" x14ac:dyDescent="0.25">
      <c r="A1235" s="4">
        <v>72240</v>
      </c>
      <c r="B1235" s="5" t="s">
        <v>105</v>
      </c>
      <c r="C1235" s="5" t="s">
        <v>111</v>
      </c>
    </row>
    <row r="1236" spans="1:7" x14ac:dyDescent="0.25">
      <c r="A1236" s="4">
        <v>72261</v>
      </c>
      <c r="B1236" s="5" t="s">
        <v>105</v>
      </c>
      <c r="C1236" s="5" t="s">
        <v>112</v>
      </c>
    </row>
    <row r="1237" spans="1:7" x14ac:dyDescent="0.25">
      <c r="A1237" s="4">
        <v>72274</v>
      </c>
      <c r="B1237" s="5" t="s">
        <v>103</v>
      </c>
      <c r="C1237" s="5" t="s">
        <v>113</v>
      </c>
    </row>
    <row r="1238" spans="1:7" x14ac:dyDescent="0.25">
      <c r="A1238" s="4">
        <v>72279</v>
      </c>
      <c r="B1238" s="5" t="s">
        <v>116</v>
      </c>
      <c r="C1238" s="5" t="s">
        <v>117</v>
      </c>
      <c r="G1238" s="1"/>
    </row>
    <row r="1239" spans="1:7" x14ac:dyDescent="0.25">
      <c r="A1239" s="4">
        <v>72314</v>
      </c>
      <c r="B1239" s="5" t="s">
        <v>116</v>
      </c>
      <c r="C1239" s="5" t="s">
        <v>114</v>
      </c>
    </row>
    <row r="1240" spans="1:7" x14ac:dyDescent="0.25">
      <c r="A1240" s="6">
        <v>72321</v>
      </c>
      <c r="B1240" s="7" t="s">
        <v>116</v>
      </c>
      <c r="C1240" s="7" t="s">
        <v>100</v>
      </c>
    </row>
    <row r="1241" spans="1:7" x14ac:dyDescent="0.25">
      <c r="A1241" s="6">
        <v>72382</v>
      </c>
      <c r="B1241" s="7" t="s">
        <v>99</v>
      </c>
      <c r="C1241" s="7" t="s">
        <v>101</v>
      </c>
    </row>
    <row r="1242" spans="1:7" x14ac:dyDescent="0.25">
      <c r="A1242" s="6">
        <v>72383</v>
      </c>
      <c r="B1242" s="7" t="s">
        <v>102</v>
      </c>
      <c r="C1242" s="7" t="s">
        <v>101</v>
      </c>
    </row>
    <row r="1243" spans="1:7" x14ac:dyDescent="0.25">
      <c r="A1243" s="6">
        <v>72428</v>
      </c>
      <c r="B1243" s="7" t="s">
        <v>103</v>
      </c>
      <c r="C1243" s="7" t="s">
        <v>104</v>
      </c>
    </row>
    <row r="1244" spans="1:7" x14ac:dyDescent="0.25">
      <c r="A1244" s="6">
        <v>72431</v>
      </c>
      <c r="B1244" s="7" t="s">
        <v>99</v>
      </c>
      <c r="C1244" s="7" t="s">
        <v>106</v>
      </c>
    </row>
    <row r="1245" spans="1:7" x14ac:dyDescent="0.25">
      <c r="A1245" s="6">
        <v>72441</v>
      </c>
      <c r="B1245" s="7" t="s">
        <v>108</v>
      </c>
      <c r="C1245" s="7" t="s">
        <v>107</v>
      </c>
    </row>
    <row r="1246" spans="1:7" x14ac:dyDescent="0.25">
      <c r="A1246" s="6">
        <v>72490</v>
      </c>
      <c r="B1246" s="7" t="s">
        <v>108</v>
      </c>
      <c r="C1246" s="7" t="s">
        <v>109</v>
      </c>
    </row>
    <row r="1247" spans="1:7" x14ac:dyDescent="0.25">
      <c r="A1247" s="6">
        <v>72570</v>
      </c>
      <c r="B1247" s="7" t="s">
        <v>115</v>
      </c>
      <c r="C1247" s="7" t="s">
        <v>110</v>
      </c>
    </row>
    <row r="1248" spans="1:7" x14ac:dyDescent="0.25">
      <c r="A1248" s="6">
        <v>72605</v>
      </c>
      <c r="B1248" s="7" t="s">
        <v>115</v>
      </c>
      <c r="C1248" s="7" t="s">
        <v>111</v>
      </c>
    </row>
    <row r="1249" spans="1:7" x14ac:dyDescent="0.25">
      <c r="A1249" s="6">
        <v>72626</v>
      </c>
      <c r="B1249" s="7" t="s">
        <v>115</v>
      </c>
      <c r="C1249" s="7" t="s">
        <v>112</v>
      </c>
    </row>
    <row r="1250" spans="1:7" x14ac:dyDescent="0.25">
      <c r="A1250" s="6">
        <v>72639</v>
      </c>
      <c r="B1250" s="7" t="s">
        <v>105</v>
      </c>
      <c r="C1250" s="7" t="s">
        <v>113</v>
      </c>
    </row>
    <row r="1251" spans="1:7" x14ac:dyDescent="0.25">
      <c r="A1251" s="6">
        <v>72644</v>
      </c>
      <c r="B1251" s="7" t="s">
        <v>108</v>
      </c>
      <c r="C1251" s="7" t="s">
        <v>117</v>
      </c>
      <c r="G1251" s="1"/>
    </row>
    <row r="1252" spans="1:7" x14ac:dyDescent="0.25">
      <c r="A1252" s="6">
        <v>72679</v>
      </c>
      <c r="B1252" s="7" t="s">
        <v>108</v>
      </c>
      <c r="C1252" s="7" t="s">
        <v>114</v>
      </c>
    </row>
    <row r="1253" spans="1:7" x14ac:dyDescent="0.25">
      <c r="A1253" s="4">
        <v>72686</v>
      </c>
      <c r="B1253" s="5" t="s">
        <v>108</v>
      </c>
      <c r="C1253" s="5" t="s">
        <v>118</v>
      </c>
    </row>
    <row r="1254" spans="1:7" x14ac:dyDescent="0.25">
      <c r="A1254" s="4">
        <v>72739</v>
      </c>
      <c r="B1254" s="5" t="s">
        <v>99</v>
      </c>
      <c r="C1254" s="5" t="s">
        <v>101</v>
      </c>
    </row>
    <row r="1255" spans="1:7" x14ac:dyDescent="0.25">
      <c r="A1255" s="4">
        <v>72740</v>
      </c>
      <c r="B1255" s="5" t="s">
        <v>102</v>
      </c>
      <c r="C1255" s="5" t="s">
        <v>101</v>
      </c>
    </row>
    <row r="1256" spans="1:7" x14ac:dyDescent="0.25">
      <c r="A1256" s="4">
        <v>72785</v>
      </c>
      <c r="B1256" s="5" t="s">
        <v>103</v>
      </c>
      <c r="C1256" s="5" t="s">
        <v>104</v>
      </c>
    </row>
    <row r="1257" spans="1:7" x14ac:dyDescent="0.25">
      <c r="A1257" s="4">
        <v>72796</v>
      </c>
      <c r="B1257" s="5" t="s">
        <v>102</v>
      </c>
      <c r="C1257" s="5" t="s">
        <v>106</v>
      </c>
    </row>
    <row r="1258" spans="1:7" x14ac:dyDescent="0.25">
      <c r="A1258" s="4">
        <v>72806</v>
      </c>
      <c r="B1258" s="5" t="s">
        <v>103</v>
      </c>
      <c r="C1258" s="5" t="s">
        <v>107</v>
      </c>
    </row>
    <row r="1259" spans="1:7" x14ac:dyDescent="0.25">
      <c r="A1259" s="4">
        <v>72847</v>
      </c>
      <c r="B1259" s="5" t="s">
        <v>108</v>
      </c>
      <c r="C1259" s="5" t="s">
        <v>109</v>
      </c>
    </row>
    <row r="1260" spans="1:7" x14ac:dyDescent="0.25">
      <c r="A1260" s="4">
        <v>72935</v>
      </c>
      <c r="B1260" s="5" t="s">
        <v>99</v>
      </c>
      <c r="C1260" s="5" t="s">
        <v>110</v>
      </c>
    </row>
    <row r="1261" spans="1:7" x14ac:dyDescent="0.25">
      <c r="A1261" s="4">
        <v>72970</v>
      </c>
      <c r="B1261" s="5" t="s">
        <v>99</v>
      </c>
      <c r="C1261" s="5" t="s">
        <v>111</v>
      </c>
    </row>
    <row r="1262" spans="1:7" x14ac:dyDescent="0.25">
      <c r="A1262" s="4">
        <v>72991</v>
      </c>
      <c r="B1262" s="5" t="s">
        <v>99</v>
      </c>
      <c r="C1262" s="5" t="s">
        <v>112</v>
      </c>
    </row>
    <row r="1263" spans="1:7" x14ac:dyDescent="0.25">
      <c r="A1263" s="4">
        <v>73004</v>
      </c>
      <c r="B1263" s="5" t="s">
        <v>115</v>
      </c>
      <c r="C1263" s="5" t="s">
        <v>113</v>
      </c>
    </row>
    <row r="1264" spans="1:7" x14ac:dyDescent="0.25">
      <c r="A1264" s="4">
        <v>73009</v>
      </c>
      <c r="B1264" s="5" t="s">
        <v>103</v>
      </c>
      <c r="C1264" s="5" t="s">
        <v>117</v>
      </c>
    </row>
    <row r="1265" spans="1:3" x14ac:dyDescent="0.25">
      <c r="A1265" s="4">
        <v>73044</v>
      </c>
      <c r="B1265" s="5" t="s">
        <v>103</v>
      </c>
      <c r="C1265" s="5" t="s">
        <v>114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4CCCB-E30C-4362-B83E-3815E97F4724}">
  <dimension ref="A1:B2"/>
  <sheetViews>
    <sheetView workbookViewId="0">
      <selection activeCell="F36" sqref="F36"/>
    </sheetView>
  </sheetViews>
  <sheetFormatPr defaultRowHeight="15" x14ac:dyDescent="0.25"/>
  <sheetData>
    <row r="1" spans="1:2" x14ac:dyDescent="0.25">
      <c r="A1" t="s">
        <v>11</v>
      </c>
      <c r="B1">
        <v>252</v>
      </c>
    </row>
    <row r="2" spans="1:2" x14ac:dyDescent="0.25">
      <c r="A2" t="s">
        <v>12</v>
      </c>
      <c r="B2">
        <v>360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4041E-B9FE-4E7D-A344-B0BD56B14014}">
  <dimension ref="A1:BA31"/>
  <sheetViews>
    <sheetView workbookViewId="0">
      <selection activeCell="D35" sqref="D35"/>
    </sheetView>
  </sheetViews>
  <sheetFormatPr defaultRowHeight="15" x14ac:dyDescent="0.25"/>
  <cols>
    <col min="2" max="2" width="10.42578125" bestFit="1" customWidth="1"/>
  </cols>
  <sheetData>
    <row r="1" spans="1:53" x14ac:dyDescent="0.25">
      <c r="A1" t="s">
        <v>14</v>
      </c>
      <c r="B1" t="s">
        <v>15</v>
      </c>
      <c r="C1" t="s">
        <v>16</v>
      </c>
      <c r="D1" t="s">
        <v>17</v>
      </c>
      <c r="E1" t="s">
        <v>18</v>
      </c>
      <c r="F1" t="s">
        <v>19</v>
      </c>
      <c r="G1" t="s">
        <v>20</v>
      </c>
      <c r="H1" t="s">
        <v>21</v>
      </c>
      <c r="I1" t="s">
        <v>22</v>
      </c>
      <c r="J1" t="s">
        <v>23</v>
      </c>
      <c r="K1" t="s">
        <v>24</v>
      </c>
      <c r="L1" t="s">
        <v>25</v>
      </c>
      <c r="M1" t="s">
        <v>26</v>
      </c>
      <c r="N1" t="s">
        <v>27</v>
      </c>
      <c r="O1" t="s">
        <v>28</v>
      </c>
      <c r="P1" t="s">
        <v>29</v>
      </c>
      <c r="Q1" t="s">
        <v>30</v>
      </c>
      <c r="R1" t="s">
        <v>31</v>
      </c>
      <c r="S1" t="s">
        <v>32</v>
      </c>
      <c r="T1" t="s">
        <v>33</v>
      </c>
      <c r="U1" t="s">
        <v>34</v>
      </c>
      <c r="V1" t="s">
        <v>35</v>
      </c>
      <c r="W1" t="s">
        <v>36</v>
      </c>
      <c r="X1" t="s">
        <v>37</v>
      </c>
      <c r="Y1" t="s">
        <v>38</v>
      </c>
      <c r="Z1" t="s">
        <v>39</v>
      </c>
      <c r="AA1" t="s">
        <v>40</v>
      </c>
      <c r="AB1" t="s">
        <v>41</v>
      </c>
      <c r="AC1" t="s">
        <v>42</v>
      </c>
      <c r="AD1" t="s">
        <v>43</v>
      </c>
      <c r="AE1" t="s">
        <v>44</v>
      </c>
      <c r="AF1" t="s">
        <v>45</v>
      </c>
      <c r="AG1" t="s">
        <v>46</v>
      </c>
      <c r="AH1" t="s">
        <v>47</v>
      </c>
      <c r="AI1" t="s">
        <v>0</v>
      </c>
      <c r="AJ1" t="s">
        <v>48</v>
      </c>
      <c r="AK1" t="s">
        <v>49</v>
      </c>
      <c r="AL1" t="s">
        <v>50</v>
      </c>
      <c r="AM1" t="s">
        <v>51</v>
      </c>
      <c r="AN1" t="s">
        <v>52</v>
      </c>
      <c r="AO1" t="s">
        <v>53</v>
      </c>
      <c r="AP1" t="s">
        <v>54</v>
      </c>
      <c r="AQ1" t="s">
        <v>55</v>
      </c>
      <c r="AR1" t="s">
        <v>56</v>
      </c>
      <c r="AS1" t="s">
        <v>57</v>
      </c>
      <c r="AT1" t="s">
        <v>58</v>
      </c>
      <c r="AU1" t="s">
        <v>59</v>
      </c>
      <c r="AV1" t="s">
        <v>60</v>
      </c>
      <c r="AW1" t="s">
        <v>61</v>
      </c>
      <c r="AX1" t="s">
        <v>62</v>
      </c>
      <c r="AY1" t="s">
        <v>63</v>
      </c>
      <c r="AZ1" t="s">
        <v>64</v>
      </c>
      <c r="BA1" t="s">
        <v>65</v>
      </c>
    </row>
    <row r="2" spans="1:53" x14ac:dyDescent="0.25">
      <c r="A2" t="s">
        <v>66</v>
      </c>
      <c r="B2" t="str" cm="1">
        <f t="array" ref="B2">[2]!INDFUT.DAT</f>
        <v>12/09/2024</v>
      </c>
      <c r="C2" t="str" cm="1">
        <f t="array" ref="C2">[2]!INDFUT.HOR</f>
        <v>17:00:50</v>
      </c>
      <c r="D2" cm="1">
        <f t="array" ref="D2">[2]!INDFUT.ULT</f>
        <v>135300</v>
      </c>
      <c r="E2" cm="1">
        <f t="array" ref="E2">[2]!INDFUT.ABE</f>
        <v>136200</v>
      </c>
      <c r="F2" cm="1">
        <f t="array" ref="F2">[2]!INDFUT.MAX</f>
        <v>136345</v>
      </c>
      <c r="G2" cm="1">
        <f t="array" ref="G2">[2]!INDFUT.MIN</f>
        <v>134705</v>
      </c>
      <c r="H2" cm="1">
        <f t="array" ref="H2">[2]!INDFUT.FEC</f>
        <v>135750</v>
      </c>
      <c r="I2" cm="1">
        <f t="array" ref="I2">[2]!INDFUT.PEX</f>
        <v>0</v>
      </c>
      <c r="J2" cm="1">
        <f t="array" ref="J2">[2]!INDFUT.VAR</f>
        <v>-0.33149171270717659</v>
      </c>
      <c r="K2" cm="1">
        <f t="array" ref="K2">[2]!INDFUT.VARPTS</f>
        <v>-450</v>
      </c>
      <c r="L2" cm="1">
        <f t="array" ref="L2">[2]!INDFUT.MED</f>
        <v>135281.29517341743</v>
      </c>
      <c r="M2" t="s">
        <v>67</v>
      </c>
      <c r="N2" cm="1">
        <f t="array" ref="N2">[2]!INDFUT.NEG</f>
        <v>9946</v>
      </c>
      <c r="O2" cm="1">
        <f t="array" ref="O2">[2]!INDFUT.QUL</f>
        <v>5</v>
      </c>
      <c r="P2" cm="1">
        <f t="array" ref="P2">[2]!INDFUT.QTT</f>
        <v>61845</v>
      </c>
      <c r="Q2" cm="1">
        <f t="array" ref="Q2">[2]!INDFUT.VOL</f>
        <v>8366471700</v>
      </c>
      <c r="R2" cm="1">
        <f t="array" ref="R2">[2]!INDFUT.OCP</f>
        <v>135285</v>
      </c>
      <c r="S2" cm="1">
        <f t="array" ref="S2">[2]!INDFUT.OVD</f>
        <v>135300</v>
      </c>
      <c r="T2" cm="1">
        <f t="array" ref="T2">[2]!INDFUT.VOC</f>
        <v>25</v>
      </c>
      <c r="U2" cm="1">
        <f t="array" ref="U2">[2]!INDFUT.VOV</f>
        <v>20</v>
      </c>
      <c r="V2" cm="1">
        <f t="array" ref="V2">[2]!INDFUT.AJU</f>
        <v>0</v>
      </c>
      <c r="W2" cm="1">
        <f t="array" ref="W2">[2]!INDFUT.AJA</f>
        <v>136022</v>
      </c>
      <c r="X2" cm="1">
        <f t="array" ref="X2">[2]!INDFUT.PRT</f>
        <v>0</v>
      </c>
      <c r="Y2" cm="1">
        <f t="array" ref="Y2">[2]!INDFUT.QTE</f>
        <v>0</v>
      </c>
      <c r="Z2" cm="1">
        <f t="array" ref="Z2">[2]!INDFUT.VPJ</f>
        <v>8348441385.6185617</v>
      </c>
      <c r="AA2" cm="1">
        <f t="array" ref="AA2">[2]!INDFUT.SEM</f>
        <v>-0.43417470012510112</v>
      </c>
      <c r="AB2" cm="1">
        <f t="array" ref="AB2">[2]!INDFUT.MES</f>
        <v>-1.9920318725099602</v>
      </c>
      <c r="AC2" cm="1">
        <f t="array" ref="AC2">[2]!INDFUT.3M</f>
        <v>9.4267107932101979</v>
      </c>
      <c r="AD2" cm="1">
        <f t="array" ref="AD2">[2]!INDFUT.6M</f>
        <v>-0.28317955594398148</v>
      </c>
      <c r="AE2" cm="1">
        <f t="array" ref="AE2">[2]!INDFUT.12M</f>
        <v>3.3225650296416593</v>
      </c>
      <c r="AF2" cm="1">
        <f t="array" ref="AF2">[2]!INDFUT.ANO</f>
        <v>-6.5992754782231016</v>
      </c>
      <c r="AG2" cm="1">
        <f t="array" ref="AG2">[2]!INDFUT.TRIM</f>
        <v>6.2558046061773478</v>
      </c>
      <c r="AH2" cm="1">
        <f t="array" ref="AH2">[2]!INDFUT.SEMES</f>
        <v>6.2558046061773478</v>
      </c>
      <c r="AI2" t="str" cm="1">
        <f t="array" ref="AI2">[2]!INDFUT.VEN</f>
        <v>16/10/2024</v>
      </c>
      <c r="AJ2" t="str" cm="1">
        <f t="array" ref="AJ2">[2]!INDFUT.VAL</f>
        <v>16/10/2024</v>
      </c>
      <c r="AK2" cm="1">
        <f t="array" ref="AK2">[2]!INDFUT.CAB</f>
        <v>322147</v>
      </c>
      <c r="AL2" t="str" cm="1">
        <f t="array" ref="AL2">[2]!INDFUT.EST</f>
        <v>Aberto</v>
      </c>
      <c r="AM2" cm="1">
        <f t="array" ref="AM2">[2]!INDFUT.BLACK</f>
        <v>0</v>
      </c>
      <c r="AN2" cm="1">
        <f t="array" ref="AN2">[2]!INDFUT.IMPVT</f>
        <v>0</v>
      </c>
      <c r="AO2" cm="1">
        <f t="array" ref="AO2">[2]!INDFUT.DELTA</f>
        <v>0</v>
      </c>
      <c r="AP2" cm="1">
        <f t="array" ref="AP2">[2]!INDFUT.GAMA</f>
        <v>0</v>
      </c>
      <c r="AQ2" cm="1">
        <f t="array" ref="AQ2">[2]!INDFUT.THETA</f>
        <v>0</v>
      </c>
      <c r="AR2" cm="1">
        <f t="array" ref="AR2">[2]!INDFUT.RHO</f>
        <v>0</v>
      </c>
      <c r="AS2" cm="1">
        <f t="array" ref="AS2">[2]!INDFUT.VEGA</f>
        <v>0</v>
      </c>
      <c r="AT2" cm="1">
        <f t="array" ref="AT2">[2]!INDFUT.VIA</f>
        <v>0</v>
      </c>
      <c r="AU2" cm="1">
        <f t="array" ref="AU2">[2]!INDFUT.VIB</f>
        <v>0</v>
      </c>
      <c r="AV2" cm="1">
        <f t="array" ref="AV2">[2]!INDFUT.DOBRAR</f>
        <v>0</v>
      </c>
      <c r="AW2" cm="1">
        <f t="array" ref="AW2">[2]!INDFUT.VIVH</f>
        <v>0</v>
      </c>
      <c r="AX2" cm="1">
        <f t="array" ref="AX2">[2]!INDFUT.VINT</f>
        <v>0</v>
      </c>
      <c r="AY2" cm="1">
        <f t="array" ref="AY2">[2]!INDFUT.VEXT</f>
        <v>0</v>
      </c>
      <c r="AZ2" t="str" cm="1">
        <f t="array" ref="AZ2">[2]!INDFUT.3</f>
        <v>136.510,00</v>
      </c>
      <c r="BA2" t="str" cm="1">
        <f t="array" ref="BA2">[2]!INDFUT.103</f>
        <v>-3.860,00</v>
      </c>
    </row>
    <row r="3" spans="1:53" x14ac:dyDescent="0.25">
      <c r="A3" t="s">
        <v>68</v>
      </c>
      <c r="B3" t="str" cm="1">
        <f t="array" ref="B3">[2]!DOLFUT.DAT</f>
        <v>12/09/2024</v>
      </c>
      <c r="C3" t="str" cm="1">
        <f t="array" ref="C3">[2]!DOLFUT.HOR</f>
        <v>17:01:02</v>
      </c>
      <c r="D3" cm="1">
        <f t="array" ref="D3">[2]!DOLFUT.ULT</f>
        <v>5630</v>
      </c>
      <c r="E3" cm="1">
        <f t="array" ref="E3">[2]!DOLFUT.ABE</f>
        <v>5659.5</v>
      </c>
      <c r="F3" cm="1">
        <f t="array" ref="F3">[2]!DOLFUT.MAX</f>
        <v>5688.5</v>
      </c>
      <c r="G3" cm="1">
        <f t="array" ref="G3">[2]!DOLFUT.MIN</f>
        <v>5626</v>
      </c>
      <c r="H3" cm="1">
        <f t="array" ref="H3">[2]!DOLFUT.FEC</f>
        <v>5678.5000000000009</v>
      </c>
      <c r="I3" cm="1">
        <f t="array" ref="I3">[2]!DOLFUT.PEX</f>
        <v>0</v>
      </c>
      <c r="J3" cm="1">
        <f t="array" ref="J3">[2]!DOLFUT.VAR</f>
        <v>-0.85409879369552755</v>
      </c>
      <c r="K3" cm="1">
        <f t="array" ref="K3">[2]!DOLFUT.VARPTS</f>
        <v>-48.500000000000909</v>
      </c>
      <c r="L3" cm="1">
        <f t="array" ref="L3">[2]!DOLFUT.MED</f>
        <v>5657.7301617368494</v>
      </c>
      <c r="M3" t="s">
        <v>69</v>
      </c>
      <c r="N3" cm="1">
        <f t="array" ref="N3">[2]!DOLFUT.NEG</f>
        <v>20605</v>
      </c>
      <c r="O3" cm="1">
        <f t="array" ref="O3">[2]!DOLFUT.QUL</f>
        <v>5</v>
      </c>
      <c r="P3" cm="1">
        <f t="array" ref="P3">[2]!DOLFUT.QTT</f>
        <v>171575</v>
      </c>
      <c r="Q3" cm="1">
        <f t="array" ref="Q3">[2]!DOLFUT.VOL</f>
        <v>48536252625</v>
      </c>
      <c r="R3" cm="1">
        <f t="array" ref="R3">[2]!DOLFUT.OCP</f>
        <v>5630.5</v>
      </c>
      <c r="S3" cm="1">
        <f t="array" ref="S3">[2]!DOLFUT.OVD</f>
        <v>5631</v>
      </c>
      <c r="T3" cm="1">
        <f t="array" ref="T3">[2]!DOLFUT.VOC</f>
        <v>15</v>
      </c>
      <c r="U3" cm="1">
        <f t="array" ref="U3">[2]!DOLFUT.VOV</f>
        <v>10</v>
      </c>
      <c r="V3" cm="1">
        <f t="array" ref="V3">[2]!DOLFUT.AJU</f>
        <v>5639.4489999999996</v>
      </c>
      <c r="W3" cm="1">
        <f t="array" ref="W3">[2]!DOLFUT.AJA</f>
        <v>5657.808</v>
      </c>
      <c r="X3" cm="1">
        <f t="array" ref="X3">[2]!DOLFUT.PRT</f>
        <v>0</v>
      </c>
      <c r="Y3" cm="1">
        <f t="array" ref="Y3">[2]!DOLFUT.QTE</f>
        <v>0</v>
      </c>
      <c r="Z3" cm="1">
        <f t="array" ref="Z3">[2]!DOLFUT.VPJ</f>
        <v>53171323954.498657</v>
      </c>
      <c r="AA3" cm="1">
        <f t="array" ref="AA3">[2]!DOLFUT.SEM</f>
        <v>0.24928774928773306</v>
      </c>
      <c r="AB3" cm="1">
        <f t="array" ref="AB3">[2]!DOLFUT.MES</f>
        <v>0.11558637858982998</v>
      </c>
      <c r="AC3" cm="1">
        <f t="array" ref="AC3">[2]!DOLFUT.3M</f>
        <v>2.8799263673565427</v>
      </c>
      <c r="AD3" cm="1">
        <f t="array" ref="AD3">[2]!DOLFUT.6M</f>
        <v>11.027064696813564</v>
      </c>
      <c r="AE3" cm="1">
        <f t="array" ref="AE3">[2]!DOLFUT.12M</f>
        <v>8.6926756952041337</v>
      </c>
      <c r="AF3" cm="1">
        <f t="array" ref="AF3">[2]!DOLFUT.ANO</f>
        <v>12.705093442251522</v>
      </c>
      <c r="AG3" cm="1">
        <f t="array" ref="AG3">[2]!DOLFUT.TRIM</f>
        <v>-0.33637182598451099</v>
      </c>
      <c r="AH3" cm="1">
        <f t="array" ref="AH3">[2]!DOLFUT.SEMES</f>
        <v>-0.33637182598451099</v>
      </c>
      <c r="AI3" t="str" cm="1">
        <f t="array" ref="AI3">[2]!DOLFUT.VEN</f>
        <v>01/10/2024</v>
      </c>
      <c r="AJ3" t="str" cm="1">
        <f t="array" ref="AJ3">[2]!DOLFUT.VAL</f>
        <v>30/09/2024</v>
      </c>
      <c r="AK3" cm="1">
        <f t="array" ref="AK3">[2]!DOLFUT.CAB</f>
        <v>786401</v>
      </c>
      <c r="AL3" t="str" cm="1">
        <f t="array" ref="AL3">[2]!DOLFUT.EST</f>
        <v>Aberto</v>
      </c>
      <c r="AM3" cm="1">
        <f t="array" ref="AM3">[2]!DOLFUT.BLACK</f>
        <v>0</v>
      </c>
      <c r="AN3" cm="1">
        <f t="array" ref="AN3">[2]!DOLFUT.IMPVT</f>
        <v>0</v>
      </c>
      <c r="AO3" cm="1">
        <f t="array" ref="AO3">[2]!DOLFUT.DELTA</f>
        <v>0</v>
      </c>
      <c r="AP3" cm="1">
        <f t="array" ref="AP3">[2]!DOLFUT.GAMA</f>
        <v>0</v>
      </c>
      <c r="AQ3" cm="1">
        <f t="array" ref="AQ3">[2]!DOLFUT.THETA</f>
        <v>0</v>
      </c>
      <c r="AR3" cm="1">
        <f t="array" ref="AR3">[2]!DOLFUT.RHO</f>
        <v>0</v>
      </c>
      <c r="AS3" cm="1">
        <f t="array" ref="AS3">[2]!DOLFUT.VEGA</f>
        <v>0</v>
      </c>
      <c r="AT3" cm="1">
        <f t="array" ref="AT3">[2]!DOLFUT.VIA</f>
        <v>0</v>
      </c>
      <c r="AU3" cm="1">
        <f t="array" ref="AU3">[2]!DOLFUT.VIB</f>
        <v>0</v>
      </c>
      <c r="AV3" cm="1">
        <f t="array" ref="AV3">[2]!DOLFUT.DOBRAR</f>
        <v>0</v>
      </c>
      <c r="AW3" cm="1">
        <f t="array" ref="AW3">[2]!DOLFUT.VIVH</f>
        <v>0</v>
      </c>
      <c r="AX3" cm="1">
        <f t="array" ref="AX3">[2]!DOLFUT.VINT</f>
        <v>0</v>
      </c>
      <c r="AY3" cm="1">
        <f t="array" ref="AY3">[2]!DOLFUT.VEXT</f>
        <v>0</v>
      </c>
      <c r="AZ3" t="str" cm="1">
        <f t="array" ref="AZ3">[2]!DOLFUT.3</f>
        <v>5.636,70</v>
      </c>
      <c r="BA3" t="str" cm="1">
        <f t="array" ref="BA3">[2]!DOLFUT.103</f>
        <v>650,00</v>
      </c>
    </row>
    <row r="4" spans="1:53" x14ac:dyDescent="0.25">
      <c r="A4" t="s">
        <v>70</v>
      </c>
      <c r="B4" t="str" cm="1">
        <f t="array" ref="B4">[2]!'USD/BRL.DAT'</f>
        <v>12/09/2024</v>
      </c>
      <c r="C4" t="str" cm="1">
        <f t="array" ref="C4">[2]!'USD/BRL.HOR'</f>
        <v>20:01:02</v>
      </c>
      <c r="D4" cm="1">
        <f t="array" ref="D4">[2]!'USD/BRL.ULT'</f>
        <v>5.6185</v>
      </c>
      <c r="E4" cm="1">
        <f t="array" ref="E4">[2]!'USD/BRL.ABE'</f>
        <v>5.6688999999999998</v>
      </c>
      <c r="F4" cm="1">
        <f t="array" ref="F4">[2]!'USD/BRL.MAX'</f>
        <v>5.676202</v>
      </c>
      <c r="G4" cm="1">
        <f t="array" ref="G4">[2]!'USD/BRL.MIN'</f>
        <v>5.6148999999999996</v>
      </c>
      <c r="H4" cm="1">
        <f t="array" ref="H4">[2]!'USD/BRL.FEC'</f>
        <v>5.6688999999999998</v>
      </c>
      <c r="I4" cm="1">
        <f t="array" ref="I4">[2]!'USD/BRL.PEX'</f>
        <v>0</v>
      </c>
      <c r="J4" cm="1">
        <f t="array" ref="J4">[2]!'USD/BRL.VAR'</f>
        <v>-0.88906136993067264</v>
      </c>
      <c r="K4" cm="1">
        <f t="array" ref="K4">[2]!'USD/BRL.VARPTS'</f>
        <v>-5.0399999999999778E-2</v>
      </c>
      <c r="L4" cm="1">
        <f t="array" ref="L4">[2]!'USD/BRL.MED'</f>
        <v>5.6446255000000001</v>
      </c>
      <c r="M4" t="s">
        <v>71</v>
      </c>
      <c r="N4" cm="1">
        <f t="array" ref="N4">[2]!'USD/BRL.NEG'</f>
        <v>4831</v>
      </c>
      <c r="O4" cm="1">
        <f t="array" ref="O4">[2]!'USD/BRL.QUL'</f>
        <v>1</v>
      </c>
      <c r="P4" cm="1">
        <f t="array" ref="P4">[2]!'USD/BRL.QTT'</f>
        <v>4831</v>
      </c>
      <c r="Q4" cm="1">
        <f t="array" ref="Q4">[2]!'USD/BRL.VOL'</f>
        <v>27273.568071000002</v>
      </c>
      <c r="R4" cm="1">
        <f t="array" ref="R4">[2]!'USD/BRL.OCP'</f>
        <v>0</v>
      </c>
      <c r="S4" cm="1">
        <f t="array" ref="S4">[2]!'USD/BRL.OVD'</f>
        <v>0</v>
      </c>
      <c r="T4" cm="1">
        <f t="array" ref="T4">[2]!'USD/BRL.VOC'</f>
        <v>0</v>
      </c>
      <c r="U4" cm="1">
        <f t="array" ref="U4">[2]!'USD/BRL.VOV'</f>
        <v>0</v>
      </c>
      <c r="V4" cm="1">
        <f t="array" ref="V4">[2]!'USD/BRL.AJU'</f>
        <v>0</v>
      </c>
      <c r="W4" cm="1">
        <f t="array" ref="W4">[2]!'USD/BRL.AJA'</f>
        <v>0</v>
      </c>
      <c r="X4" cm="1">
        <f t="array" ref="X4">[2]!'USD/BRL.PRT'</f>
        <v>0</v>
      </c>
      <c r="Y4" cm="1">
        <f t="array" ref="Y4">[2]!'USD/BRL.QTE'</f>
        <v>0</v>
      </c>
      <c r="Z4" cm="1">
        <f t="array" ref="Z4">[2]!'USD/BRL.VPJ'</f>
        <v>31337.618110499297</v>
      </c>
      <c r="AA4" cm="1">
        <f t="array" ref="AA4">[2]!'USD/BRL.SEM'</f>
        <v>0.36440935317338968</v>
      </c>
      <c r="AB4" cm="1">
        <f t="array" ref="AB4">[2]!'USD/BRL.MES'</f>
        <v>-0.32986848722613971</v>
      </c>
      <c r="AC4" cm="1">
        <f t="array" ref="AC4">[2]!'USD/BRL.3M'</f>
        <v>4.0000547904533521</v>
      </c>
      <c r="AD4" cm="1">
        <f t="array" ref="AD4">[2]!'USD/BRL.6M'</f>
        <v>13.032369686362086</v>
      </c>
      <c r="AE4" cm="1">
        <f t="array" ref="AE4">[2]!'USD/BRL.12M'</f>
        <v>13.548634829530522</v>
      </c>
      <c r="AF4" cm="1">
        <f t="array" ref="AF4">[2]!'USD/BRL.ANO'</f>
        <v>15.786488766742526</v>
      </c>
      <c r="AG4" cm="1">
        <f t="array" ref="AG4">[2]!'USD/BRL.TRIM'</f>
        <v>0.4487431615832968</v>
      </c>
      <c r="AH4" cm="1">
        <f t="array" ref="AH4">[2]!'USD/BRL.SEMES'</f>
        <v>0.4487431615832968</v>
      </c>
      <c r="AI4" t="str" cm="1">
        <f t="array" ref="AI4">[2]!'USD/BRL.VEN'</f>
        <v>01/01/3000</v>
      </c>
      <c r="AJ4" t="str" cm="1">
        <f t="array" ref="AJ4">[2]!'USD/BRL.VAL'</f>
        <v>01/01/3000</v>
      </c>
      <c r="AK4" cm="1">
        <f t="array" ref="AK4">[2]!'USD/BRL.CAB'</f>
        <v>0</v>
      </c>
      <c r="AL4" t="str" cm="1">
        <f t="array" ref="AL4">[2]!'USD/BRL.EST'</f>
        <v>Aberto</v>
      </c>
      <c r="AM4" cm="1">
        <f t="array" ref="AM4">[2]!'USD/BRL.BLACK'</f>
        <v>0</v>
      </c>
      <c r="AN4" cm="1">
        <f t="array" ref="AN4">[2]!'USD/BRL.IMPVT'</f>
        <v>0</v>
      </c>
      <c r="AO4" cm="1">
        <f t="array" ref="AO4">[2]!'USD/BRL.DELTA'</f>
        <v>0</v>
      </c>
      <c r="AP4" cm="1">
        <f t="array" ref="AP4">[2]!'USD/BRL.GAMA'</f>
        <v>0</v>
      </c>
      <c r="AQ4" cm="1">
        <f t="array" ref="AQ4">[2]!'USD/BRL.THETA'</f>
        <v>0</v>
      </c>
      <c r="AR4" cm="1">
        <f t="array" ref="AR4">[2]!'USD/BRL.RHO'</f>
        <v>0</v>
      </c>
      <c r="AS4" cm="1">
        <f t="array" ref="AS4">[2]!'USD/BRL.VEGA'</f>
        <v>0</v>
      </c>
      <c r="AT4" cm="1">
        <f t="array" ref="AT4">[2]!'USD/BRL.VIA'</f>
        <v>0</v>
      </c>
      <c r="AU4" cm="1">
        <f t="array" ref="AU4">[2]!'USD/BRL.VIB'</f>
        <v>0</v>
      </c>
      <c r="AV4" cm="1">
        <f t="array" ref="AV4">[2]!'USD/BRL.DOBRAR'</f>
        <v>0</v>
      </c>
      <c r="AW4" cm="1">
        <f t="array" ref="AW4">[2]!'USD/BRL.VIVH'</f>
        <v>0</v>
      </c>
      <c r="AX4" cm="1">
        <f t="array" ref="AX4">[2]!'USD/BRL.VINT'</f>
        <v>0</v>
      </c>
      <c r="AY4" cm="1">
        <f t="array" ref="AY4">[2]!'USD/BRL.VEXT'</f>
        <v>0</v>
      </c>
      <c r="AZ4" t="str" cm="1">
        <f t="array" ref="AZ4">[2]!'USD/BRL.3'</f>
        <v>5,619390</v>
      </c>
      <c r="BA4" t="str" cm="1">
        <f t="array" ref="BA4">[2]!'USD/BRL.103'</f>
        <v>0,000000</v>
      </c>
    </row>
    <row r="5" spans="1:53" x14ac:dyDescent="0.25">
      <c r="A5" t="s">
        <v>7</v>
      </c>
      <c r="B5" t="str" cm="1">
        <f t="array" ref="B5">[2]!DI1V24.DAT</f>
        <v>12/09/2024</v>
      </c>
      <c r="C5" t="str" cm="1">
        <f t="array" ref="C5">[2]!DI1V24.HOR</f>
        <v>16:58:43</v>
      </c>
      <c r="D5" cm="1">
        <f t="array" ref="D5">[2]!DI1V24.ULT</f>
        <v>10.57</v>
      </c>
      <c r="E5" cm="1">
        <f t="array" ref="E5">[2]!DI1V24.ABE</f>
        <v>10.561999999999999</v>
      </c>
      <c r="F5" cm="1">
        <f t="array" ref="F5">[2]!DI1V24.MAX</f>
        <v>10.576000000000001</v>
      </c>
      <c r="G5" cm="1">
        <f t="array" ref="G5">[2]!DI1V24.MIN</f>
        <v>10.554</v>
      </c>
      <c r="H5" cm="1">
        <f t="array" ref="H5">[2]!DI1V24.FEC</f>
        <v>10.556000000000001</v>
      </c>
      <c r="I5" cm="1">
        <f t="array" ref="I5">[2]!DI1V24.PEX</f>
        <v>0</v>
      </c>
      <c r="J5" cm="1">
        <f t="array" ref="J5">[2]!DI1V24.VAR</f>
        <v>0.13262599469494774</v>
      </c>
      <c r="K5" cm="1">
        <f t="array" ref="K5">[2]!DI1V24.VARPTS</f>
        <v>1.3999999999999346E-2</v>
      </c>
      <c r="L5" cm="1">
        <f t="array" ref="L5">[2]!DI1V24.MED</f>
        <v>10.5655</v>
      </c>
      <c r="M5" t="s">
        <v>73</v>
      </c>
      <c r="N5" cm="1">
        <f t="array" ref="N5">[2]!DI1V24.NEG</f>
        <v>3427</v>
      </c>
      <c r="O5" cm="1">
        <f t="array" ref="O5">[2]!DI1V24.QUL</f>
        <v>160</v>
      </c>
      <c r="P5" cm="1">
        <f t="array" ref="P5">[2]!DI1V24.QTT</f>
        <v>468889</v>
      </c>
      <c r="Q5" cm="1">
        <f t="array" ref="Q5">[2]!DI1V24.VOL</f>
        <v>46646542283.709999</v>
      </c>
      <c r="R5" cm="1">
        <f t="array" ref="R5">[2]!DI1V24.OCP</f>
        <v>10.57</v>
      </c>
      <c r="S5" cm="1">
        <f t="array" ref="S5">[2]!DI1V24.OVD</f>
        <v>10.572000000000001</v>
      </c>
      <c r="T5" cm="1">
        <f t="array" ref="T5">[2]!DI1V24.VOC</f>
        <v>5956</v>
      </c>
      <c r="U5" cm="1">
        <f t="array" ref="U5">[2]!DI1V24.VOV</f>
        <v>3405</v>
      </c>
      <c r="V5" cm="1">
        <f t="array" ref="V5">[2]!DI1V24.AJU</f>
        <v>10.571</v>
      </c>
      <c r="W5" cm="1">
        <f t="array" ref="W5">[2]!DI1V24.AJA</f>
        <v>10.554</v>
      </c>
      <c r="X5" cm="1">
        <f t="array" ref="X5">[2]!DI1V24.PRT</f>
        <v>0</v>
      </c>
      <c r="Y5" cm="1">
        <f t="array" ref="Y5">[2]!DI1V24.QTE</f>
        <v>0</v>
      </c>
      <c r="Z5" cm="1">
        <f t="array" ref="Z5">[2]!DI1V24.VPJ</f>
        <v>46802205117.870789</v>
      </c>
      <c r="AA5" cm="1">
        <f t="array" ref="AA5">[2]!DI1V24.SEM</f>
        <v>0.418012540376199</v>
      </c>
      <c r="AB5" cm="1">
        <f t="array" ref="AB5">[2]!DI1V24.MES</f>
        <v>0.39893617021276417</v>
      </c>
      <c r="AC5" cm="1">
        <f t="array" ref="AC5">[2]!DI1V24.3M</f>
        <v>0.37986704653370507</v>
      </c>
      <c r="AD5" cm="1">
        <f t="array" ref="AD5">[2]!DI1V24.6M</f>
        <v>5.2264808362369184</v>
      </c>
      <c r="AE5" cm="1">
        <f t="array" ref="AE5">[2]!DI1V24.12M</f>
        <v>-1.3992537313432867</v>
      </c>
      <c r="AF5" cm="1">
        <f t="array" ref="AF5">[2]!DI1V24.ANO</f>
        <v>2.3233301064859653</v>
      </c>
      <c r="AG5" cm="1">
        <f t="array" ref="AG5">[2]!DI1V24.TRIM</f>
        <v>0.42755344418052182</v>
      </c>
      <c r="AH5" cm="1">
        <f t="array" ref="AH5">[2]!DI1V24.SEMES</f>
        <v>0.42755344418052182</v>
      </c>
      <c r="AI5" t="str" cm="1">
        <f t="array" ref="AI5">[2]!DI1V24.VEN</f>
        <v>01/10/2024</v>
      </c>
      <c r="AJ5" t="str" cm="1">
        <f t="array" ref="AJ5">[2]!DI1V24.VAL</f>
        <v>30/09/2024</v>
      </c>
      <c r="AK5" cm="1">
        <f t="array" ref="AK5">[2]!DI1V24.CAB</f>
        <v>6339823</v>
      </c>
      <c r="AL5" t="str" cm="1">
        <f t="array" ref="AL5">[2]!DI1V24.EST</f>
        <v>Aberto</v>
      </c>
      <c r="AM5" cm="1">
        <f t="array" ref="AM5">[2]!DI1V24.BLACK</f>
        <v>0</v>
      </c>
      <c r="AN5" cm="1">
        <f t="array" ref="AN5">[2]!DI1V24.IMPVT</f>
        <v>0</v>
      </c>
      <c r="AO5" cm="1">
        <f t="array" ref="AO5">[2]!DI1V24.DELTA</f>
        <v>0</v>
      </c>
      <c r="AP5" cm="1">
        <f t="array" ref="AP5">[2]!DI1V24.GAMA</f>
        <v>0</v>
      </c>
      <c r="AQ5" cm="1">
        <f t="array" ref="AQ5">[2]!DI1V24.THETA</f>
        <v>0</v>
      </c>
      <c r="AR5" cm="1">
        <f t="array" ref="AR5">[2]!DI1V24.RHO</f>
        <v>0</v>
      </c>
      <c r="AS5" cm="1">
        <f t="array" ref="AS5">[2]!DI1V24.VEGA</f>
        <v>0</v>
      </c>
      <c r="AT5" cm="1">
        <f t="array" ref="AT5">[2]!DI1V24.VIA</f>
        <v>0</v>
      </c>
      <c r="AU5" cm="1">
        <f t="array" ref="AU5">[2]!DI1V24.VIB</f>
        <v>0</v>
      </c>
      <c r="AV5" cm="1">
        <f t="array" ref="AV5">[2]!DI1V24.DOBRAR</f>
        <v>0</v>
      </c>
      <c r="AW5" cm="1">
        <f t="array" ref="AW5">[2]!DI1V24.VIVH</f>
        <v>0</v>
      </c>
      <c r="AX5" cm="1">
        <f t="array" ref="AX5">[2]!DI1V24.VINT</f>
        <v>0</v>
      </c>
      <c r="AY5" cm="1">
        <f t="array" ref="AY5">[2]!DI1V24.VEXT</f>
        <v>0</v>
      </c>
      <c r="AZ5" t="str" cm="1">
        <f t="array" ref="AZ5">[2]!DI1V24.3</f>
        <v>10,535</v>
      </c>
      <c r="BA5" t="str" cm="1">
        <f t="array" ref="BA5">[2]!DI1V24.103</f>
        <v>-33.129,000</v>
      </c>
    </row>
    <row r="6" spans="1:53" x14ac:dyDescent="0.25">
      <c r="A6" t="s">
        <v>8</v>
      </c>
      <c r="B6" t="str" cm="1">
        <f t="array" ref="B6">[2]!DI1X24.DAT</f>
        <v>12/09/2024</v>
      </c>
      <c r="C6" t="str" cm="1">
        <f t="array" ref="C6">[2]!DI1X24.HOR</f>
        <v>16:26:37</v>
      </c>
      <c r="D6" cm="1">
        <f t="array" ref="D6">[2]!DI1X24.ULT</f>
        <v>10.644</v>
      </c>
      <c r="E6" cm="1">
        <f t="array" ref="E6">[2]!DI1X24.ABE</f>
        <v>10.625999999999999</v>
      </c>
      <c r="F6" cm="1">
        <f t="array" ref="F6">[2]!DI1X24.MAX</f>
        <v>10.644</v>
      </c>
      <c r="G6" cm="1">
        <f t="array" ref="G6">[2]!DI1X24.MIN</f>
        <v>10.625999999999999</v>
      </c>
      <c r="H6" cm="1">
        <f t="array" ref="H6">[2]!DI1X24.FEC</f>
        <v>10.628</v>
      </c>
      <c r="I6" cm="1">
        <f t="array" ref="I6">[2]!DI1X24.PEX</f>
        <v>0</v>
      </c>
      <c r="J6" cm="1">
        <f t="array" ref="J6">[2]!DI1X24.VAR</f>
        <v>0.15054572826495871</v>
      </c>
      <c r="K6" cm="1">
        <f t="array" ref="K6">[2]!DI1X24.VARPTS</f>
        <v>1.6000000000000014E-2</v>
      </c>
      <c r="L6" cm="1">
        <f t="array" ref="L6">[2]!DI1X24.MED</f>
        <v>10.635</v>
      </c>
      <c r="M6" t="s">
        <v>73</v>
      </c>
      <c r="N6" cm="1">
        <f t="array" ref="N6">[2]!DI1X24.NEG</f>
        <v>355</v>
      </c>
      <c r="O6" cm="1">
        <f t="array" ref="O6">[2]!DI1X24.QUL</f>
        <v>94</v>
      </c>
      <c r="P6" cm="1">
        <f t="array" ref="P6">[2]!DI1X24.QTT</f>
        <v>29415</v>
      </c>
      <c r="Q6" cm="1">
        <f t="array" ref="Q6">[2]!DI1X24.VOL</f>
        <v>2899316617.6599998</v>
      </c>
      <c r="R6" cm="1">
        <f t="array" ref="R6">[2]!DI1X24.OCP</f>
        <v>10.646000000000001</v>
      </c>
      <c r="S6" cm="1">
        <f t="array" ref="S6">[2]!DI1X24.OVD</f>
        <v>10.648</v>
      </c>
      <c r="T6" cm="1">
        <f t="array" ref="T6">[2]!DI1X24.VOC</f>
        <v>1614</v>
      </c>
      <c r="U6" cm="1">
        <f t="array" ref="U6">[2]!DI1X24.VOV</f>
        <v>6500</v>
      </c>
      <c r="V6" cm="1">
        <f t="array" ref="V6">[2]!DI1X24.AJU</f>
        <v>10.644</v>
      </c>
      <c r="W6" cm="1">
        <f t="array" ref="W6">[2]!DI1X24.AJA</f>
        <v>10.628</v>
      </c>
      <c r="X6" cm="1">
        <f t="array" ref="X6">[2]!DI1X24.PRT</f>
        <v>0</v>
      </c>
      <c r="Y6" cm="1">
        <f t="array" ref="Y6">[2]!DI1X24.QTE</f>
        <v>0</v>
      </c>
      <c r="Z6" cm="1">
        <f t="array" ref="Z6">[2]!DI1X24.VPJ</f>
        <v>3173919263.2752566</v>
      </c>
      <c r="AA6" cm="1">
        <f t="array" ref="AA6">[2]!DI1X24.SEM</f>
        <v>0.3393665158371002</v>
      </c>
      <c r="AB6" cm="1">
        <f t="array" ref="AB6">[2]!DI1X24.MES</f>
        <v>1.8793459875952746E-2</v>
      </c>
      <c r="AC6" cm="1">
        <f t="array" ref="AC6">[2]!DI1X24.3M</f>
        <v>0.50991501416429164</v>
      </c>
      <c r="AD6" cm="1">
        <f t="array" ref="AD6">[2]!DI1X24.6M</f>
        <v>6.921145153189352</v>
      </c>
      <c r="AE6" cm="1">
        <f t="array" ref="AE6">[2]!DI1X24.12M</f>
        <v>-4.0216411181244496</v>
      </c>
      <c r="AF6" cm="1">
        <f t="array" ref="AF6">[2]!DI1X24.ANO</f>
        <v>4.1997063142437439</v>
      </c>
      <c r="AG6" cm="1">
        <f t="array" ref="AG6">[2]!DI1X24.TRIM</f>
        <v>0.41509433962262932</v>
      </c>
      <c r="AH6" cm="1">
        <f t="array" ref="AH6">[2]!DI1X24.SEMES</f>
        <v>0.41509433962262932</v>
      </c>
      <c r="AI6" t="str" cm="1">
        <f t="array" ref="AI6">[2]!DI1X24.VEN</f>
        <v>01/11/2024</v>
      </c>
      <c r="AJ6" t="str" cm="1">
        <f t="array" ref="AJ6">[2]!DI1X24.VAL</f>
        <v>31/10/2024</v>
      </c>
      <c r="AK6" cm="1">
        <f t="array" ref="AK6">[2]!DI1X24.CAB</f>
        <v>466807</v>
      </c>
      <c r="AL6" t="str" cm="1">
        <f t="array" ref="AL6">[2]!DI1X24.EST</f>
        <v>Aberto</v>
      </c>
      <c r="AM6" cm="1">
        <f t="array" ref="AM6">[2]!DI1X24.BLACK</f>
        <v>0</v>
      </c>
      <c r="AN6" cm="1">
        <f t="array" ref="AN6">[2]!DI1X24.IMPVT</f>
        <v>0</v>
      </c>
      <c r="AO6" cm="1">
        <f t="array" ref="AO6">[2]!DI1X24.DELTA</f>
        <v>0</v>
      </c>
      <c r="AP6" cm="1">
        <f t="array" ref="AP6">[2]!DI1X24.GAMA</f>
        <v>0</v>
      </c>
      <c r="AQ6" cm="1">
        <f t="array" ref="AQ6">[2]!DI1X24.THETA</f>
        <v>0</v>
      </c>
      <c r="AR6" cm="1">
        <f t="array" ref="AR6">[2]!DI1X24.RHO</f>
        <v>0</v>
      </c>
      <c r="AS6" cm="1">
        <f t="array" ref="AS6">[2]!DI1X24.VEGA</f>
        <v>0</v>
      </c>
      <c r="AT6" cm="1">
        <f t="array" ref="AT6">[2]!DI1X24.VIA</f>
        <v>0</v>
      </c>
      <c r="AU6" cm="1">
        <f t="array" ref="AU6">[2]!DI1X24.VIB</f>
        <v>0</v>
      </c>
      <c r="AV6" cm="1">
        <f t="array" ref="AV6">[2]!DI1X24.DOBRAR</f>
        <v>0</v>
      </c>
      <c r="AW6" cm="1">
        <f t="array" ref="AW6">[2]!DI1X24.VIVH</f>
        <v>0</v>
      </c>
      <c r="AX6" cm="1">
        <f t="array" ref="AX6">[2]!DI1X24.VINT</f>
        <v>0</v>
      </c>
      <c r="AY6" cm="1">
        <f t="array" ref="AY6">[2]!DI1X24.VEXT</f>
        <v>0</v>
      </c>
      <c r="AZ6" t="str" cm="1">
        <f t="array" ref="AZ6">[2]!DI1X24.3</f>
        <v>10,627</v>
      </c>
      <c r="BA6" t="str" cm="1">
        <f t="array" ref="BA6">[2]!DI1X24.103</f>
        <v>-2.875,000</v>
      </c>
    </row>
    <row r="7" spans="1:53" x14ac:dyDescent="0.25">
      <c r="A7" t="s">
        <v>9</v>
      </c>
      <c r="B7" t="str" cm="1">
        <f t="array" ref="B7">[2]!DI1Z24.DAT</f>
        <v>12/09/2024</v>
      </c>
      <c r="C7" t="str" cm="1">
        <f t="array" ref="C7">[2]!DI1Z24.HOR</f>
        <v>16:25:05</v>
      </c>
      <c r="D7" cm="1">
        <f t="array" ref="D7">[2]!DI1Z24.ULT</f>
        <v>10.78</v>
      </c>
      <c r="E7" cm="1">
        <f t="array" ref="E7">[2]!DI1Z24.ABE</f>
        <v>10.77</v>
      </c>
      <c r="F7" cm="1">
        <f t="array" ref="F7">[2]!DI1Z24.MAX</f>
        <v>10.78</v>
      </c>
      <c r="G7" cm="1">
        <f t="array" ref="G7">[2]!DI1Z24.MIN</f>
        <v>10.763999999999999</v>
      </c>
      <c r="H7" cm="1">
        <f t="array" ref="H7">[2]!DI1Z24.FEC</f>
        <v>10.756</v>
      </c>
      <c r="I7" cm="1">
        <f t="array" ref="I7">[2]!DI1Z24.PEX</f>
        <v>0</v>
      </c>
      <c r="J7" cm="1">
        <f t="array" ref="J7">[2]!DI1Z24.VAR</f>
        <v>0.22313127556712686</v>
      </c>
      <c r="K7" cm="1">
        <f t="array" ref="K7">[2]!DI1Z24.VARPTS</f>
        <v>2.3999999999999133E-2</v>
      </c>
      <c r="L7" cm="1">
        <f t="array" ref="L7">[2]!DI1Z24.MED</f>
        <v>10.773499999999999</v>
      </c>
      <c r="M7" t="s">
        <v>73</v>
      </c>
      <c r="N7" cm="1">
        <f t="array" ref="N7">[2]!DI1Z24.NEG</f>
        <v>155</v>
      </c>
      <c r="O7" cm="1">
        <f t="array" ref="O7">[2]!DI1Z24.QUL</f>
        <v>188</v>
      </c>
      <c r="P7" cm="1">
        <f t="array" ref="P7">[2]!DI1Z24.QTT</f>
        <v>22445</v>
      </c>
      <c r="Q7" cm="1">
        <f t="array" ref="Q7">[2]!DI1Z24.VOL</f>
        <v>2194936883.1399999</v>
      </c>
      <c r="R7" cm="1">
        <f t="array" ref="R7">[2]!DI1Z24.OCP</f>
        <v>10.778</v>
      </c>
      <c r="S7" cm="1">
        <f t="array" ref="S7">[2]!DI1Z24.OVD</f>
        <v>10.782</v>
      </c>
      <c r="T7" cm="1">
        <f t="array" ref="T7">[2]!DI1Z24.VOC</f>
        <v>2000</v>
      </c>
      <c r="U7" cm="1">
        <f t="array" ref="U7">[2]!DI1Z24.VOV</f>
        <v>1140</v>
      </c>
      <c r="V7" cm="1">
        <f t="array" ref="V7">[2]!DI1Z24.AJU</f>
        <v>10.778</v>
      </c>
      <c r="W7" cm="1">
        <f t="array" ref="W7">[2]!DI1Z24.AJA</f>
        <v>10.756</v>
      </c>
      <c r="X7" cm="1">
        <f t="array" ref="X7">[2]!DI1Z24.PRT</f>
        <v>0</v>
      </c>
      <c r="Y7" cm="1">
        <f t="array" ref="Y7">[2]!DI1Z24.QTE</f>
        <v>0</v>
      </c>
      <c r="Z7" cm="1">
        <f t="array" ref="Z7">[2]!DI1Z24.VPJ</f>
        <v>2413324296.8926258</v>
      </c>
      <c r="AA7" cm="1">
        <f t="array" ref="AA7">[2]!DI1Z24.SEM</f>
        <v>0.29772981019722972</v>
      </c>
      <c r="AB7" cm="1">
        <f t="array" ref="AB7">[2]!DI1Z24.MES</f>
        <v>-0.32362459546927336</v>
      </c>
      <c r="AC7" cm="1">
        <f t="array" ref="AC7">[2]!DI1Z24.3M</f>
        <v>1.3157894736841991</v>
      </c>
      <c r="AD7" cm="1">
        <f t="array" ref="AD7">[2]!DI1Z24.6M</f>
        <v>8.7790110998990833</v>
      </c>
      <c r="AE7" cm="1">
        <f t="array" ref="AE7">[2]!DI1Z24.12M</f>
        <v>3.8035628310062375</v>
      </c>
      <c r="AF7" cm="1">
        <f t="array" ref="AF7">[2]!DI1Z24.ANO</f>
        <v>6.5217391304347654</v>
      </c>
      <c r="AG7" cm="1">
        <f t="array" ref="AG7">[2]!DI1Z24.TRIM</f>
        <v>1.6022620169651096</v>
      </c>
      <c r="AH7" cm="1">
        <f t="array" ref="AH7">[2]!DI1Z24.SEMES</f>
        <v>1.6022620169651096</v>
      </c>
      <c r="AI7" t="str" cm="1">
        <f t="array" ref="AI7">[2]!DI1Z24.VEN</f>
        <v>02/12/2024</v>
      </c>
      <c r="AJ7" t="str" cm="1">
        <f t="array" ref="AJ7">[2]!DI1Z24.VAL</f>
        <v>29/11/2024</v>
      </c>
      <c r="AK7" cm="1">
        <f t="array" ref="AK7">[2]!DI1Z24.CAB</f>
        <v>926757</v>
      </c>
      <c r="AL7" t="str" cm="1">
        <f t="array" ref="AL7">[2]!DI1Z24.EST</f>
        <v>Aberto</v>
      </c>
      <c r="AM7" cm="1">
        <f t="array" ref="AM7">[2]!DI1Z24.BLACK</f>
        <v>0</v>
      </c>
      <c r="AN7" cm="1">
        <f t="array" ref="AN7">[2]!DI1Z24.IMPVT</f>
        <v>0</v>
      </c>
      <c r="AO7" cm="1">
        <f t="array" ref="AO7">[2]!DI1Z24.DELTA</f>
        <v>0</v>
      </c>
      <c r="AP7" cm="1">
        <f t="array" ref="AP7">[2]!DI1Z24.GAMA</f>
        <v>0</v>
      </c>
      <c r="AQ7" cm="1">
        <f t="array" ref="AQ7">[2]!DI1Z24.THETA</f>
        <v>0</v>
      </c>
      <c r="AR7" cm="1">
        <f t="array" ref="AR7">[2]!DI1Z24.RHO</f>
        <v>0</v>
      </c>
      <c r="AS7" cm="1">
        <f t="array" ref="AS7">[2]!DI1Z24.VEGA</f>
        <v>0</v>
      </c>
      <c r="AT7" cm="1">
        <f t="array" ref="AT7">[2]!DI1Z24.VIA</f>
        <v>0</v>
      </c>
      <c r="AU7" cm="1">
        <f t="array" ref="AU7">[2]!DI1Z24.VIB</f>
        <v>0</v>
      </c>
      <c r="AV7" cm="1">
        <f t="array" ref="AV7">[2]!DI1Z24.DOBRAR</f>
        <v>0</v>
      </c>
      <c r="AW7" cm="1">
        <f t="array" ref="AW7">[2]!DI1Z24.VIVH</f>
        <v>0</v>
      </c>
      <c r="AX7" cm="1">
        <f t="array" ref="AX7">[2]!DI1Z24.VINT</f>
        <v>0</v>
      </c>
      <c r="AY7" cm="1">
        <f t="array" ref="AY7">[2]!DI1Z24.VEXT</f>
        <v>0</v>
      </c>
      <c r="AZ7" t="str" cm="1">
        <f t="array" ref="AZ7">[2]!DI1Z24.3</f>
        <v>10,769</v>
      </c>
      <c r="BA7" t="str" cm="1">
        <f t="array" ref="BA7">[2]!DI1Z24.103</f>
        <v>937,000</v>
      </c>
    </row>
    <row r="8" spans="1:53" x14ac:dyDescent="0.25">
      <c r="A8" t="s">
        <v>10</v>
      </c>
      <c r="B8" t="str" cm="1">
        <f t="array" ref="B8">[2]!DI1F25.DAT</f>
        <v>12/09/2024</v>
      </c>
      <c r="C8" t="str" cm="1">
        <f t="array" ref="C8">[2]!DI1F25.HOR</f>
        <v>16:59:43</v>
      </c>
      <c r="D8" cm="1">
        <f t="array" ref="D8">[2]!DI1F25.ULT</f>
        <v>10.955</v>
      </c>
      <c r="E8" cm="1">
        <f t="array" ref="E8">[2]!DI1F25.ABE</f>
        <v>10.93</v>
      </c>
      <c r="F8" cm="1">
        <f t="array" ref="F8">[2]!DI1F25.MAX</f>
        <v>10.96</v>
      </c>
      <c r="G8" cm="1">
        <f t="array" ref="G8">[2]!DI1F25.MIN</f>
        <v>10.93</v>
      </c>
      <c r="H8" cm="1">
        <f t="array" ref="H8">[2]!DI1F25.FEC</f>
        <v>10.925000000000001</v>
      </c>
      <c r="I8" cm="1">
        <f t="array" ref="I8">[2]!DI1F25.PEX</f>
        <v>0</v>
      </c>
      <c r="J8" cm="1">
        <f t="array" ref="J8">[2]!DI1F25.VAR</f>
        <v>0.27459954233408723</v>
      </c>
      <c r="K8" cm="1">
        <f t="array" ref="K8">[2]!DI1F25.VARPTS</f>
        <v>2.9999999999999361E-2</v>
      </c>
      <c r="L8" cm="1">
        <f t="array" ref="L8">[2]!DI1F25.MED</f>
        <v>10.94375</v>
      </c>
      <c r="M8" t="s">
        <v>73</v>
      </c>
      <c r="N8" cm="1">
        <f t="array" ref="N8">[2]!DI1F25.NEG</f>
        <v>16221</v>
      </c>
      <c r="O8" cm="1">
        <f t="array" ref="O8">[2]!DI1F25.QUL</f>
        <v>5</v>
      </c>
      <c r="P8" cm="1">
        <f t="array" ref="P8">[2]!DI1F25.QTT</f>
        <v>682024</v>
      </c>
      <c r="Q8" cm="1">
        <f t="array" ref="Q8">[2]!DI1F25.VOL</f>
        <v>66097910285.93</v>
      </c>
      <c r="R8" cm="1">
        <f t="array" ref="R8">[2]!DI1F25.OCP</f>
        <v>10.950000000000001</v>
      </c>
      <c r="S8" cm="1">
        <f t="array" ref="S8">[2]!DI1F25.OVD</f>
        <v>10.955</v>
      </c>
      <c r="T8" cm="1">
        <f t="array" ref="T8">[2]!DI1F25.VOC</f>
        <v>14424</v>
      </c>
      <c r="U8" cm="1">
        <f t="array" ref="U8">[2]!DI1F25.VOV</f>
        <v>346</v>
      </c>
      <c r="V8" cm="1">
        <f t="array" ref="V8">[2]!DI1F25.AJU</f>
        <v>10.958</v>
      </c>
      <c r="W8" cm="1">
        <f t="array" ref="W8">[2]!DI1F25.AJA</f>
        <v>10.923999999999999</v>
      </c>
      <c r="X8" cm="1">
        <f t="array" ref="X8">[2]!DI1F25.PRT</f>
        <v>0</v>
      </c>
      <c r="Y8" cm="1">
        <f t="array" ref="Y8">[2]!DI1F25.QTE</f>
        <v>0</v>
      </c>
      <c r="Z8" cm="1">
        <f t="array" ref="Z8">[2]!DI1F25.VPJ</f>
        <v>66146482015.15419</v>
      </c>
      <c r="AA8" cm="1">
        <f t="array" ref="AA8">[2]!DI1F25.SEM</f>
        <v>0.3205128205128055</v>
      </c>
      <c r="AB8" cm="1">
        <f t="array" ref="AB8">[2]!DI1F25.MES</f>
        <v>-0.36380172805821664</v>
      </c>
      <c r="AC8" cm="1">
        <f t="array" ref="AC8">[2]!DI1F25.3M</f>
        <v>2.1445221445221314</v>
      </c>
      <c r="AD8" cm="1">
        <f t="array" ref="AD8">[2]!DI1F25.6M</f>
        <v>11.10547667342798</v>
      </c>
      <c r="AE8" cm="1">
        <f t="array" ref="AE8">[2]!DI1F25.12M</f>
        <v>4.9832295160517441</v>
      </c>
      <c r="AF8" cm="1">
        <f t="array" ref="AF8">[2]!DI1F25.ANO</f>
        <v>9.222333000996997</v>
      </c>
      <c r="AG8" cm="1">
        <f t="array" ref="AG8">[2]!DI1F25.TRIM</f>
        <v>1.7177344475394496</v>
      </c>
      <c r="AH8" cm="1">
        <f t="array" ref="AH8">[2]!DI1F25.SEMES</f>
        <v>1.7177344475394496</v>
      </c>
      <c r="AI8" t="str" cm="1">
        <f t="array" ref="AI8">[2]!DI1F25.VEN</f>
        <v>02/01/2025</v>
      </c>
      <c r="AJ8" t="str" cm="1">
        <f t="array" ref="AJ8">[2]!DI1F25.VAL</f>
        <v>30/12/2024</v>
      </c>
      <c r="AK8" cm="1">
        <f t="array" ref="AK8">[2]!DI1F25.CAB</f>
        <v>6912753</v>
      </c>
      <c r="AL8" t="str" cm="1">
        <f t="array" ref="AL8">[2]!DI1F25.EST</f>
        <v>Aberto</v>
      </c>
      <c r="AM8" cm="1">
        <f t="array" ref="AM8">[2]!DI1F25.BLACK</f>
        <v>0</v>
      </c>
      <c r="AN8" cm="1">
        <f t="array" ref="AN8">[2]!DI1F25.IMPVT</f>
        <v>0</v>
      </c>
      <c r="AO8" cm="1">
        <f t="array" ref="AO8">[2]!DI1F25.DELTA</f>
        <v>0</v>
      </c>
      <c r="AP8" cm="1">
        <f t="array" ref="AP8">[2]!DI1F25.GAMA</f>
        <v>0</v>
      </c>
      <c r="AQ8" cm="1">
        <f t="array" ref="AQ8">[2]!DI1F25.THETA</f>
        <v>0</v>
      </c>
      <c r="AR8" cm="1">
        <f t="array" ref="AR8">[2]!DI1F25.RHO</f>
        <v>0</v>
      </c>
      <c r="AS8" cm="1">
        <f t="array" ref="AS8">[2]!DI1F25.VEGA</f>
        <v>0</v>
      </c>
      <c r="AT8" cm="1">
        <f t="array" ref="AT8">[2]!DI1F25.VIA</f>
        <v>0</v>
      </c>
      <c r="AU8" cm="1">
        <f t="array" ref="AU8">[2]!DI1F25.VIB</f>
        <v>0</v>
      </c>
      <c r="AV8" cm="1">
        <f t="array" ref="AV8">[2]!DI1F25.DOBRAR</f>
        <v>0</v>
      </c>
      <c r="AW8" cm="1">
        <f t="array" ref="AW8">[2]!DI1F25.VIVH</f>
        <v>0</v>
      </c>
      <c r="AX8" cm="1">
        <f t="array" ref="AX8">[2]!DI1F25.VINT</f>
        <v>0</v>
      </c>
      <c r="AY8" cm="1">
        <f t="array" ref="AY8">[2]!DI1F25.VEXT</f>
        <v>0</v>
      </c>
      <c r="AZ8" t="str" cm="1">
        <f t="array" ref="AZ8">[2]!DI1F25.3</f>
        <v>10,944</v>
      </c>
      <c r="BA8" t="str" cm="1">
        <f t="array" ref="BA8">[2]!DI1F25.103</f>
        <v>98.963,000</v>
      </c>
    </row>
    <row r="9" spans="1:53" x14ac:dyDescent="0.25">
      <c r="A9" t="s">
        <v>74</v>
      </c>
      <c r="B9" t="str" cm="1">
        <f t="array" ref="B9">[2]!DI1G25.DAT</f>
        <v>12/09/2024</v>
      </c>
      <c r="C9" t="str" cm="1">
        <f t="array" ref="C9">[2]!DI1G25.HOR</f>
        <v>16:34:02</v>
      </c>
      <c r="D9" cm="1">
        <f t="array" ref="D9">[2]!DI1G25.ULT</f>
        <v>11.115</v>
      </c>
      <c r="E9" cm="1">
        <f t="array" ref="E9">[2]!DI1G25.ABE</f>
        <v>11.095000000000001</v>
      </c>
      <c r="F9" cm="1">
        <f t="array" ref="F9">[2]!DI1G25.MAX</f>
        <v>11.12</v>
      </c>
      <c r="G9" cm="1">
        <f t="array" ref="G9">[2]!DI1G25.MIN</f>
        <v>11.095000000000001</v>
      </c>
      <c r="H9" cm="1">
        <f t="array" ref="H9">[2]!DI1G25.FEC</f>
        <v>11.08</v>
      </c>
      <c r="I9" cm="1">
        <f t="array" ref="I9">[2]!DI1G25.PEX</f>
        <v>0</v>
      </c>
      <c r="J9" cm="1">
        <f t="array" ref="J9">[2]!DI1G25.VAR</f>
        <v>0.31588447653430762</v>
      </c>
      <c r="K9" cm="1">
        <f t="array" ref="K9">[2]!DI1G25.VARPTS</f>
        <v>3.5000000000000142E-2</v>
      </c>
      <c r="L9" cm="1">
        <f t="array" ref="L9">[2]!DI1G25.MED</f>
        <v>11.106250000000001</v>
      </c>
      <c r="M9" t="s">
        <v>73</v>
      </c>
      <c r="N9" cm="1">
        <f t="array" ref="N9">[2]!DI1G25.NEG</f>
        <v>476</v>
      </c>
      <c r="O9" cm="1">
        <f t="array" ref="O9">[2]!DI1G25.QUL</f>
        <v>1</v>
      </c>
      <c r="P9" cm="1">
        <f t="array" ref="P9">[2]!DI1G25.QTT</f>
        <v>6499</v>
      </c>
      <c r="Q9" cm="1">
        <f t="array" ref="Q9">[2]!DI1G25.VOL</f>
        <v>623796873.16999996</v>
      </c>
      <c r="R9" cm="1">
        <f t="array" ref="R9">[2]!DI1G25.OCP</f>
        <v>11.105</v>
      </c>
      <c r="S9" cm="1">
        <f t="array" ref="S9">[2]!DI1G25.OVD</f>
        <v>11.120000000000001</v>
      </c>
      <c r="T9" cm="1">
        <f t="array" ref="T9">[2]!DI1G25.VOC</f>
        <v>255</v>
      </c>
      <c r="U9" cm="1">
        <f t="array" ref="U9">[2]!DI1G25.VOV</f>
        <v>670</v>
      </c>
      <c r="V9" cm="1">
        <f t="array" ref="V9">[2]!DI1G25.AJU</f>
        <v>11.118</v>
      </c>
      <c r="W9" cm="1">
        <f t="array" ref="W9">[2]!DI1G25.AJA</f>
        <v>11.071999999999999</v>
      </c>
      <c r="X9" cm="1">
        <f t="array" ref="X9">[2]!DI1G25.PRT</f>
        <v>0</v>
      </c>
      <c r="Y9" cm="1">
        <f t="array" ref="Y9">[2]!DI1G25.QTE</f>
        <v>0</v>
      </c>
      <c r="Z9" cm="1">
        <f t="array" ref="Z9">[2]!DI1G25.VPJ</f>
        <v>668805435.40027475</v>
      </c>
      <c r="AA9" cm="1">
        <f t="array" ref="AA9">[2]!DI1G25.SEM</f>
        <v>0.45187528242204184</v>
      </c>
      <c r="AB9" cm="1">
        <f t="array" ref="AB9">[2]!DI1G25.MES</f>
        <v>-0.17961383026494249</v>
      </c>
      <c r="AC9" cm="1">
        <f t="array" ref="AC9">[2]!DI1G25.3M</f>
        <v>3.0598052851182205</v>
      </c>
      <c r="AD9" cm="1">
        <f t="array" ref="AD9">[2]!DI1G25.6M</f>
        <v>13.592233009708737</v>
      </c>
      <c r="AE9" cm="1">
        <f t="array" ref="AE9">[2]!DI1G25.12M</f>
        <v>12.386248736097064</v>
      </c>
      <c r="AF9" cm="1">
        <f t="array" ref="AF9">[2]!DI1G25.ANO</f>
        <v>12.386248736097064</v>
      </c>
      <c r="AG9" cm="1">
        <f t="array" ref="AG9">[2]!DI1G25.TRIM</f>
        <v>2.6315789473684221</v>
      </c>
      <c r="AH9" cm="1">
        <f t="array" ref="AH9">[2]!DI1G25.SEMES</f>
        <v>2.6315789473684221</v>
      </c>
      <c r="AI9" t="str" cm="1">
        <f t="array" ref="AI9">[2]!DI1G25.VEN</f>
        <v>03/02/2025</v>
      </c>
      <c r="AJ9" t="str" cm="1">
        <f t="array" ref="AJ9">[2]!DI1G25.VAL</f>
        <v>31/01/2025</v>
      </c>
      <c r="AK9" cm="1">
        <f t="array" ref="AK9">[2]!DI1G25.CAB</f>
        <v>120164</v>
      </c>
      <c r="AL9" t="str" cm="1">
        <f t="array" ref="AL9">[2]!DI1G25.EST</f>
        <v>Aberto</v>
      </c>
      <c r="AM9" cm="1">
        <f t="array" ref="AM9">[2]!DI1G25.BLACK</f>
        <v>0</v>
      </c>
      <c r="AN9" cm="1">
        <f t="array" ref="AN9">[2]!DI1G25.IMPVT</f>
        <v>0</v>
      </c>
      <c r="AO9" cm="1">
        <f t="array" ref="AO9">[2]!DI1G25.DELTA</f>
        <v>0</v>
      </c>
      <c r="AP9" cm="1">
        <f t="array" ref="AP9">[2]!DI1G25.GAMA</f>
        <v>0</v>
      </c>
      <c r="AQ9" cm="1">
        <f t="array" ref="AQ9">[2]!DI1G25.THETA</f>
        <v>0</v>
      </c>
      <c r="AR9" cm="1">
        <f t="array" ref="AR9">[2]!DI1G25.RHO</f>
        <v>0</v>
      </c>
      <c r="AS9" cm="1">
        <f t="array" ref="AS9">[2]!DI1G25.VEGA</f>
        <v>0</v>
      </c>
      <c r="AT9" cm="1">
        <f t="array" ref="AT9">[2]!DI1G25.VIA</f>
        <v>0</v>
      </c>
      <c r="AU9" cm="1">
        <f t="array" ref="AU9">[2]!DI1G25.VIB</f>
        <v>0</v>
      </c>
      <c r="AV9" cm="1">
        <f t="array" ref="AV9">[2]!DI1G25.DOBRAR</f>
        <v>0</v>
      </c>
      <c r="AW9" cm="1">
        <f t="array" ref="AW9">[2]!DI1G25.VIVH</f>
        <v>0</v>
      </c>
      <c r="AX9" cm="1">
        <f t="array" ref="AX9">[2]!DI1G25.VINT</f>
        <v>0</v>
      </c>
      <c r="AY9" cm="1">
        <f t="array" ref="AY9">[2]!DI1G25.VEXT</f>
        <v>0</v>
      </c>
      <c r="AZ9" t="str" cm="1">
        <f t="array" ref="AZ9">[2]!DI1G25.3</f>
        <v>11,099</v>
      </c>
      <c r="BA9" t="str" cm="1">
        <f t="array" ref="BA9">[2]!DI1G25.103</f>
        <v>-4.416,000</v>
      </c>
    </row>
    <row r="10" spans="1:53" x14ac:dyDescent="0.25">
      <c r="A10" t="s">
        <v>75</v>
      </c>
      <c r="B10" t="str" cm="1">
        <f t="array" ref="B10">[2]!DI1H25.DAT</f>
        <v>12/09/2024</v>
      </c>
      <c r="C10" t="str" cm="1">
        <f t="array" ref="C10">[2]!DI1H25.HOR</f>
        <v>15:44:00</v>
      </c>
      <c r="D10" cm="1">
        <f t="array" ref="D10">[2]!DI1H25.ULT</f>
        <v>11.28</v>
      </c>
      <c r="E10" cm="1">
        <f t="array" ref="E10">[2]!DI1H25.ABE</f>
        <v>11.29</v>
      </c>
      <c r="F10" cm="1">
        <f t="array" ref="F10">[2]!DI1H25.MAX</f>
        <v>11.29</v>
      </c>
      <c r="G10" cm="1">
        <f t="array" ref="G10">[2]!DI1H25.MIN</f>
        <v>11.255000000000001</v>
      </c>
      <c r="H10" cm="1">
        <f t="array" ref="H10">[2]!DI1H25.FEC</f>
        <v>11.225000000000001</v>
      </c>
      <c r="I10" cm="1">
        <f t="array" ref="I10">[2]!DI1H25.PEX</f>
        <v>0</v>
      </c>
      <c r="J10" cm="1">
        <f t="array" ref="J10">[2]!DI1H25.VAR</f>
        <v>0.48997772828505504</v>
      </c>
      <c r="K10" cm="1">
        <f t="array" ref="K10">[2]!DI1H25.VARPTS</f>
        <v>5.4999999999997939E-2</v>
      </c>
      <c r="L10" cm="1">
        <f t="array" ref="L10">[2]!DI1H25.MED</f>
        <v>11.27875</v>
      </c>
      <c r="M10" t="s">
        <v>73</v>
      </c>
      <c r="N10" cm="1">
        <f t="array" ref="N10">[2]!DI1H25.NEG</f>
        <v>25</v>
      </c>
      <c r="O10" cm="1">
        <f t="array" ref="O10">[2]!DI1H25.QUL</f>
        <v>895</v>
      </c>
      <c r="P10" cm="1">
        <f t="array" ref="P10">[2]!DI1H25.QTT</f>
        <v>17796</v>
      </c>
      <c r="Q10" cm="1">
        <f t="array" ref="Q10">[2]!DI1H25.VOL</f>
        <v>1692766049.02</v>
      </c>
      <c r="R10" cm="1">
        <f t="array" ref="R10">[2]!DI1H25.OCP</f>
        <v>11.26</v>
      </c>
      <c r="S10" cm="1">
        <f t="array" ref="S10">[2]!DI1H25.OVD</f>
        <v>11.285</v>
      </c>
      <c r="T10" cm="1">
        <f t="array" ref="T10">[2]!DI1H25.VOC</f>
        <v>1776</v>
      </c>
      <c r="U10" cm="1">
        <f t="array" ref="U10">[2]!DI1H25.VOV</f>
        <v>925</v>
      </c>
      <c r="V10" cm="1">
        <f t="array" ref="V10">[2]!DI1H25.AJU</f>
        <v>11.273999999999999</v>
      </c>
      <c r="W10" cm="1">
        <f t="array" ref="W10">[2]!DI1H25.AJA</f>
        <v>11.225</v>
      </c>
      <c r="X10" cm="1">
        <f t="array" ref="X10">[2]!DI1H25.PRT</f>
        <v>0</v>
      </c>
      <c r="Y10" cm="1">
        <f t="array" ref="Y10">[2]!DI1H25.QTE</f>
        <v>0</v>
      </c>
      <c r="Z10" cm="1">
        <f t="array" ref="Z10">[2]!DI1H25.VPJ</f>
        <v>2085930590.4258206</v>
      </c>
      <c r="AA10" cm="1">
        <f t="array" ref="AA10">[2]!DI1H25.SEM</f>
        <v>0.48997772828505953</v>
      </c>
      <c r="AB10" cm="1">
        <f t="array" ref="AB10">[2]!DI1H25.MES</f>
        <v>-0.4413062665489913</v>
      </c>
      <c r="AC10" cm="1">
        <f t="array" ref="AC10">[2]!DI1H25.3M</f>
        <v>3.8674033149171096</v>
      </c>
      <c r="AD10" cm="1">
        <f t="array" ref="AD10">[2]!DI1H25.6M</f>
        <v>15.811088295687876</v>
      </c>
      <c r="AE10" cm="1">
        <f t="array" ref="AE10">[2]!DI1H25.12M</f>
        <v>14.517766497461906</v>
      </c>
      <c r="AF10" cm="1">
        <f t="array" ref="AF10">[2]!DI1H25.ANO</f>
        <v>14.517766497461906</v>
      </c>
      <c r="AG10" cm="1">
        <f t="array" ref="AG10">[2]!DI1H25.TRIM</f>
        <v>3.2967032967032748</v>
      </c>
      <c r="AH10" cm="1">
        <f t="array" ref="AH10">[2]!DI1H25.SEMES</f>
        <v>3.2967032967032748</v>
      </c>
      <c r="AI10" t="str" cm="1">
        <f t="array" ref="AI10">[2]!DI1H25.VEN</f>
        <v>05/03/2025</v>
      </c>
      <c r="AJ10" t="str" cm="1">
        <f t="array" ref="AJ10">[2]!DI1H25.VAL</f>
        <v>28/02/2025</v>
      </c>
      <c r="AK10" cm="1">
        <f t="array" ref="AK10">[2]!DI1H25.CAB</f>
        <v>220840</v>
      </c>
      <c r="AL10" t="str" cm="1">
        <f t="array" ref="AL10">[2]!DI1H25.EST</f>
        <v>Aberto</v>
      </c>
      <c r="AM10" cm="1">
        <f t="array" ref="AM10">[2]!DI1H25.BLACK</f>
        <v>0</v>
      </c>
      <c r="AN10" cm="1">
        <f t="array" ref="AN10">[2]!DI1H25.IMPVT</f>
        <v>0</v>
      </c>
      <c r="AO10" cm="1">
        <f t="array" ref="AO10">[2]!DI1H25.DELTA</f>
        <v>0</v>
      </c>
      <c r="AP10" cm="1">
        <f t="array" ref="AP10">[2]!DI1H25.GAMA</f>
        <v>0</v>
      </c>
      <c r="AQ10" cm="1">
        <f t="array" ref="AQ10">[2]!DI1H25.THETA</f>
        <v>0</v>
      </c>
      <c r="AR10" cm="1">
        <f t="array" ref="AR10">[2]!DI1H25.RHO</f>
        <v>0</v>
      </c>
      <c r="AS10" cm="1">
        <f t="array" ref="AS10">[2]!DI1H25.VEGA</f>
        <v>0</v>
      </c>
      <c r="AT10" cm="1">
        <f t="array" ref="AT10">[2]!DI1H25.VIA</f>
        <v>0</v>
      </c>
      <c r="AU10" cm="1">
        <f t="array" ref="AU10">[2]!DI1H25.VIB</f>
        <v>0</v>
      </c>
      <c r="AV10" cm="1">
        <f t="array" ref="AV10">[2]!DI1H25.DOBRAR</f>
        <v>0</v>
      </c>
      <c r="AW10" cm="1">
        <f t="array" ref="AW10">[2]!DI1H25.VIVH</f>
        <v>0</v>
      </c>
      <c r="AX10" cm="1">
        <f t="array" ref="AX10">[2]!DI1H25.VINT</f>
        <v>0</v>
      </c>
      <c r="AY10" cm="1">
        <f t="array" ref="AY10">[2]!DI1H25.VEXT</f>
        <v>0</v>
      </c>
      <c r="AZ10" t="str" cm="1">
        <f t="array" ref="AZ10">[2]!DI1H25.3</f>
        <v>11,248</v>
      </c>
      <c r="BA10" t="str" cm="1">
        <f t="array" ref="BA10">[2]!DI1H25.103</f>
        <v>97,000</v>
      </c>
    </row>
    <row r="11" spans="1:53" x14ac:dyDescent="0.25">
      <c r="A11" t="s">
        <v>76</v>
      </c>
      <c r="B11" t="str" cm="1">
        <f t="array" ref="B11">[2]!DI1J25.DAT</f>
        <v>12/09/2024</v>
      </c>
      <c r="C11" t="str" cm="1">
        <f t="array" ref="C11">[2]!DI1J25.HOR</f>
        <v>16:59:22</v>
      </c>
      <c r="D11" cm="1">
        <f t="array" ref="D11">[2]!DI1J25.ULT</f>
        <v>11.38</v>
      </c>
      <c r="E11" cm="1">
        <f t="array" ref="E11">[2]!DI1J25.ABE</f>
        <v>11.34</v>
      </c>
      <c r="F11" cm="1">
        <f t="array" ref="F11">[2]!DI1J25.MAX</f>
        <v>11.395</v>
      </c>
      <c r="G11" cm="1">
        <f t="array" ref="G11">[2]!DI1J25.MIN</f>
        <v>11.34</v>
      </c>
      <c r="H11" cm="1">
        <f t="array" ref="H11">[2]!DI1J25.FEC</f>
        <v>11.335000000000001</v>
      </c>
      <c r="I11" cm="1">
        <f t="array" ref="I11">[2]!DI1J25.PEX</f>
        <v>0</v>
      </c>
      <c r="J11" cm="1">
        <f t="array" ref="J11">[2]!DI1J25.VAR</f>
        <v>0.39700044111160082</v>
      </c>
      <c r="K11" cm="1">
        <f t="array" ref="K11">[2]!DI1J25.VARPTS</f>
        <v>4.4999999999999929E-2</v>
      </c>
      <c r="L11" cm="1">
        <f t="array" ref="L11">[2]!DI1J25.MED</f>
        <v>11.363750000000001</v>
      </c>
      <c r="M11" t="s">
        <v>73</v>
      </c>
      <c r="N11" cm="1">
        <f t="array" ref="N11">[2]!DI1J25.NEG</f>
        <v>7676</v>
      </c>
      <c r="O11" cm="1">
        <f t="array" ref="O11">[2]!DI1J25.QUL</f>
        <v>1</v>
      </c>
      <c r="P11" cm="1">
        <f t="array" ref="P11">[2]!DI1J25.QTT</f>
        <v>137520</v>
      </c>
      <c r="Q11" cm="1">
        <f t="array" ref="Q11">[2]!DI1J25.VOL</f>
        <v>12969561517.110001</v>
      </c>
      <c r="R11" cm="1">
        <f t="array" ref="R11">[2]!DI1J25.OCP</f>
        <v>11.375</v>
      </c>
      <c r="S11" cm="1">
        <f t="array" ref="S11">[2]!DI1J25.OVD</f>
        <v>11.38</v>
      </c>
      <c r="T11" cm="1">
        <f t="array" ref="T11">[2]!DI1J25.VOC</f>
        <v>1763</v>
      </c>
      <c r="U11" cm="1">
        <f t="array" ref="U11">[2]!DI1J25.VOV</f>
        <v>100</v>
      </c>
      <c r="V11" cm="1">
        <f t="array" ref="V11">[2]!DI1J25.AJU</f>
        <v>11.382</v>
      </c>
      <c r="W11" cm="1">
        <f t="array" ref="W11">[2]!DI1J25.AJA</f>
        <v>11.326000000000001</v>
      </c>
      <c r="X11" cm="1">
        <f t="array" ref="X11">[2]!DI1J25.PRT</f>
        <v>0</v>
      </c>
      <c r="Y11" cm="1">
        <f t="array" ref="Y11">[2]!DI1J25.QTE</f>
        <v>0</v>
      </c>
      <c r="Z11" cm="1">
        <f t="array" ref="Z11">[2]!DI1J25.VPJ</f>
        <v>12990884610.766953</v>
      </c>
      <c r="AA11" cm="1">
        <f t="array" ref="AA11">[2]!DI1J25.SEM</f>
        <v>0.4856512141280328</v>
      </c>
      <c r="AB11" cm="1">
        <f t="array" ref="AB11">[2]!DI1J25.MES</f>
        <v>-0.3066141042487967</v>
      </c>
      <c r="AC11" cm="1">
        <f t="array" ref="AC11">[2]!DI1J25.3M</f>
        <v>4.260192395785614</v>
      </c>
      <c r="AD11" cm="1">
        <f t="array" ref="AD11">[2]!DI1J25.6M</f>
        <v>16.717948717948726</v>
      </c>
      <c r="AE11" cm="1">
        <f t="array" ref="AE11">[2]!DI1J25.12M</f>
        <v>10.754257907542582</v>
      </c>
      <c r="AF11" cm="1">
        <f t="array" ref="AF11">[2]!DI1J25.ANO</f>
        <v>15.53299492385786</v>
      </c>
      <c r="AG11" cm="1">
        <f t="array" ref="AG11">[2]!DI1J25.TRIM</f>
        <v>3.2667876588021718</v>
      </c>
      <c r="AH11" cm="1">
        <f t="array" ref="AH11">[2]!DI1J25.SEMES</f>
        <v>3.2667876588021718</v>
      </c>
      <c r="AI11" t="str" cm="1">
        <f t="array" ref="AI11">[2]!DI1J25.VEN</f>
        <v>01/04/2025</v>
      </c>
      <c r="AJ11" t="str" cm="1">
        <f t="array" ref="AJ11">[2]!DI1J25.VAL</f>
        <v>31/03/2025</v>
      </c>
      <c r="AK11" cm="1">
        <f t="array" ref="AK11">[2]!DI1J25.CAB</f>
        <v>1642059</v>
      </c>
      <c r="AL11" t="str" cm="1">
        <f t="array" ref="AL11">[2]!DI1J25.EST</f>
        <v>Aberto</v>
      </c>
      <c r="AM11" cm="1">
        <f t="array" ref="AM11">[2]!DI1J25.BLACK</f>
        <v>0</v>
      </c>
      <c r="AN11" cm="1">
        <f t="array" ref="AN11">[2]!DI1J25.IMPVT</f>
        <v>0</v>
      </c>
      <c r="AO11" cm="1">
        <f t="array" ref="AO11">[2]!DI1J25.DELTA</f>
        <v>0</v>
      </c>
      <c r="AP11" cm="1">
        <f t="array" ref="AP11">[2]!DI1J25.GAMA</f>
        <v>0</v>
      </c>
      <c r="AQ11" cm="1">
        <f t="array" ref="AQ11">[2]!DI1J25.THETA</f>
        <v>0</v>
      </c>
      <c r="AR11" cm="1">
        <f t="array" ref="AR11">[2]!DI1J25.RHO</f>
        <v>0</v>
      </c>
      <c r="AS11" cm="1">
        <f t="array" ref="AS11">[2]!DI1J25.VEGA</f>
        <v>0</v>
      </c>
      <c r="AT11" cm="1">
        <f t="array" ref="AT11">[2]!DI1J25.VIA</f>
        <v>0</v>
      </c>
      <c r="AU11" cm="1">
        <f t="array" ref="AU11">[2]!DI1J25.VIB</f>
        <v>0</v>
      </c>
      <c r="AV11" cm="1">
        <f t="array" ref="AV11">[2]!DI1J25.DOBRAR</f>
        <v>0</v>
      </c>
      <c r="AW11" cm="1">
        <f t="array" ref="AW11">[2]!DI1J25.VIVH</f>
        <v>0</v>
      </c>
      <c r="AX11" cm="1">
        <f t="array" ref="AX11">[2]!DI1J25.VINT</f>
        <v>0</v>
      </c>
      <c r="AY11" cm="1">
        <f t="array" ref="AY11">[2]!DI1J25.VEXT</f>
        <v>0</v>
      </c>
      <c r="AZ11" t="str" cm="1">
        <f t="array" ref="AZ11">[2]!DI1J25.3</f>
        <v>11,347</v>
      </c>
      <c r="BA11" t="str" cm="1">
        <f t="array" ref="BA11">[2]!DI1J25.103</f>
        <v>25.303,000</v>
      </c>
    </row>
    <row r="12" spans="1:53" x14ac:dyDescent="0.25">
      <c r="A12" t="s">
        <v>77</v>
      </c>
      <c r="B12" t="str" cm="1">
        <f t="array" ref="B12">[2]!DI1K25.DAT</f>
        <v>12/09/2024</v>
      </c>
      <c r="C12" t="str" cm="1">
        <f t="array" ref="C12">[2]!DI1K25.HOR</f>
        <v>16:02:13</v>
      </c>
      <c r="D12" cm="1">
        <f t="array" ref="D12">[2]!DI1K25.ULT</f>
        <v>11.465</v>
      </c>
      <c r="E12" cm="1">
        <f t="array" ref="E12">[2]!DI1K25.ABE</f>
        <v>11.46</v>
      </c>
      <c r="F12" cm="1">
        <f t="array" ref="F12">[2]!DI1K25.MAX</f>
        <v>11.465</v>
      </c>
      <c r="G12" cm="1">
        <f t="array" ref="G12">[2]!DI1K25.MIN</f>
        <v>11.46</v>
      </c>
      <c r="H12" cm="1">
        <f t="array" ref="H12">[2]!DI1K25.FEC</f>
        <v>11.425000000000001</v>
      </c>
      <c r="I12" cm="1">
        <f t="array" ref="I12">[2]!DI1K25.PEX</f>
        <v>0</v>
      </c>
      <c r="J12" cm="1">
        <f t="array" ref="J12">[2]!DI1K25.VAR</f>
        <v>0.35010940919035249</v>
      </c>
      <c r="K12" cm="1">
        <f t="array" ref="K12">[2]!DI1K25.VARPTS</f>
        <v>3.9999999999999147E-2</v>
      </c>
      <c r="L12" cm="1">
        <f t="array" ref="L12">[2]!DI1K25.MED</f>
        <v>11.462500000000002</v>
      </c>
      <c r="M12" t="s">
        <v>73</v>
      </c>
      <c r="N12" cm="1">
        <f t="array" ref="N12">[2]!DI1K25.NEG</f>
        <v>37</v>
      </c>
      <c r="O12" cm="1">
        <f t="array" ref="O12">[2]!DI1K25.QUL</f>
        <v>102</v>
      </c>
      <c r="P12" cm="1">
        <f t="array" ref="P12">[2]!DI1K25.QTT</f>
        <v>3316</v>
      </c>
      <c r="Q12" cm="1">
        <f t="array" ref="Q12">[2]!DI1K25.VOL</f>
        <v>309920382.88999999</v>
      </c>
      <c r="R12" cm="1">
        <f t="array" ref="R12">[2]!DI1K25.OCP</f>
        <v>11.46</v>
      </c>
      <c r="S12" cm="1">
        <f t="array" ref="S12">[2]!DI1K25.OVD</f>
        <v>11.475</v>
      </c>
      <c r="T12" cm="1">
        <f t="array" ref="T12">[2]!DI1K25.VOC</f>
        <v>800</v>
      </c>
      <c r="U12" cm="1">
        <f t="array" ref="U12">[2]!DI1K25.VOV</f>
        <v>150</v>
      </c>
      <c r="V12" cm="1">
        <f t="array" ref="V12">[2]!DI1K25.AJU</f>
        <v>11.472</v>
      </c>
      <c r="W12" cm="1">
        <f t="array" ref="W12">[2]!DI1K25.AJA</f>
        <v>11.414</v>
      </c>
      <c r="X12" cm="1">
        <f t="array" ref="X12">[2]!DI1K25.PRT</f>
        <v>0</v>
      </c>
      <c r="Y12" cm="1">
        <f t="array" ref="Y12">[2]!DI1K25.QTE</f>
        <v>0</v>
      </c>
      <c r="Z12" cm="1">
        <f t="array" ref="Z12">[2]!DI1K25.VPJ</f>
        <v>364507210.88157117</v>
      </c>
      <c r="AA12" cm="1">
        <f t="array" ref="AA12">[2]!DI1K25.SEM</f>
        <v>0.8355321020228571</v>
      </c>
      <c r="AB12" cm="1">
        <f t="array" ref="AB12">[2]!DI1K25.MES</f>
        <v>-0.34767492394611837</v>
      </c>
      <c r="AC12" cm="1">
        <f t="array" ref="AC12">[2]!DI1K25.3M</f>
        <v>4.6076642335766334</v>
      </c>
      <c r="AD12" cm="1">
        <f t="array" ref="AD12">[2]!DI1K25.6M</f>
        <v>12.127139364303162</v>
      </c>
      <c r="AE12" cm="1">
        <f t="array" ref="AE12">[2]!DI1K25.12M</f>
        <v>12.127139364303162</v>
      </c>
      <c r="AF12" cm="1">
        <f t="array" ref="AF12">[2]!DI1K25.ANO</f>
        <v>12.127139364303162</v>
      </c>
      <c r="AG12" cm="1">
        <f t="array" ref="AG12">[2]!DI1K25.TRIM</f>
        <v>3.56820234869015</v>
      </c>
      <c r="AH12" cm="1">
        <f t="array" ref="AH12">[2]!DI1K25.SEMES</f>
        <v>3.56820234869015</v>
      </c>
      <c r="AI12" t="str" cm="1">
        <f t="array" ref="AI12">[2]!DI1K25.VEN</f>
        <v>02/05/2025</v>
      </c>
      <c r="AJ12" t="str" cm="1">
        <f t="array" ref="AJ12">[2]!DI1K25.VAL</f>
        <v>30/04/2025</v>
      </c>
      <c r="AK12" cm="1">
        <f t="array" ref="AK12">[2]!DI1K25.CAB</f>
        <v>89840</v>
      </c>
      <c r="AL12" t="str" cm="1">
        <f t="array" ref="AL12">[2]!DI1K25.EST</f>
        <v>Aberto</v>
      </c>
      <c r="AM12" cm="1">
        <f t="array" ref="AM12">[2]!DI1K25.BLACK</f>
        <v>0</v>
      </c>
      <c r="AN12" cm="1">
        <f t="array" ref="AN12">[2]!DI1K25.IMPVT</f>
        <v>0</v>
      </c>
      <c r="AO12" cm="1">
        <f t="array" ref="AO12">[2]!DI1K25.DELTA</f>
        <v>0</v>
      </c>
      <c r="AP12" cm="1">
        <f t="array" ref="AP12">[2]!DI1K25.GAMA</f>
        <v>0</v>
      </c>
      <c r="AQ12" cm="1">
        <f t="array" ref="AQ12">[2]!DI1K25.THETA</f>
        <v>0</v>
      </c>
      <c r="AR12" cm="1">
        <f t="array" ref="AR12">[2]!DI1K25.RHO</f>
        <v>0</v>
      </c>
      <c r="AS12" cm="1">
        <f t="array" ref="AS12">[2]!DI1K25.VEGA</f>
        <v>0</v>
      </c>
      <c r="AT12" cm="1">
        <f t="array" ref="AT12">[2]!DI1K25.VIA</f>
        <v>0</v>
      </c>
      <c r="AU12" cm="1">
        <f t="array" ref="AU12">[2]!DI1K25.VIB</f>
        <v>0</v>
      </c>
      <c r="AV12" cm="1">
        <f t="array" ref="AV12">[2]!DI1K25.DOBRAR</f>
        <v>0</v>
      </c>
      <c r="AW12" cm="1">
        <f t="array" ref="AW12">[2]!DI1K25.VIVH</f>
        <v>0</v>
      </c>
      <c r="AX12" cm="1">
        <f t="array" ref="AX12">[2]!DI1K25.VINT</f>
        <v>0</v>
      </c>
      <c r="AY12" cm="1">
        <f t="array" ref="AY12">[2]!DI1K25.VEXT</f>
        <v>0</v>
      </c>
      <c r="AZ12" t="str" cm="1">
        <f t="array" ref="AZ12">[2]!DI1K25.3</f>
        <v>11,426</v>
      </c>
      <c r="BA12" t="str" cm="1">
        <f t="array" ref="BA12">[2]!DI1K25.103</f>
        <v>-30,000</v>
      </c>
    </row>
    <row r="13" spans="1:53" x14ac:dyDescent="0.25">
      <c r="A13" t="s">
        <v>78</v>
      </c>
      <c r="B13" t="str" cm="1">
        <f t="array" ref="B13">[2]!DI1M25.DAT</f>
        <v>12/09/2024</v>
      </c>
      <c r="C13" t="str" cm="1">
        <f t="array" ref="C13">[2]!DI1M25.HOR</f>
        <v>16:02:59</v>
      </c>
      <c r="D13" cm="1">
        <f t="array" ref="D13">[2]!DI1M25.ULT</f>
        <v>11.535</v>
      </c>
      <c r="E13" cm="1">
        <f t="array" ref="E13">[2]!DI1M25.ABE</f>
        <v>11.53</v>
      </c>
      <c r="F13" cm="1">
        <f t="array" ref="F13">[2]!DI1M25.MAX</f>
        <v>11.545</v>
      </c>
      <c r="G13" cm="1">
        <f t="array" ref="G13">[2]!DI1M25.MIN</f>
        <v>11.53</v>
      </c>
      <c r="H13" cm="1">
        <f t="array" ref="H13">[2]!DI1M25.FEC</f>
        <v>11.440000000000001</v>
      </c>
      <c r="I13" cm="1">
        <f t="array" ref="I13">[2]!DI1M25.PEX</f>
        <v>0</v>
      </c>
      <c r="J13" cm="1">
        <f t="array" ref="J13">[2]!DI1M25.VAR</f>
        <v>0.83041958041955866</v>
      </c>
      <c r="K13" cm="1">
        <f t="array" ref="K13">[2]!DI1M25.VARPTS</f>
        <v>9.4999999999998863E-2</v>
      </c>
      <c r="L13" cm="1">
        <f t="array" ref="L13">[2]!DI1M25.MED</f>
        <v>11.535</v>
      </c>
      <c r="M13" t="s">
        <v>73</v>
      </c>
      <c r="N13" cm="1">
        <f t="array" ref="N13">[2]!DI1M25.NEG</f>
        <v>4</v>
      </c>
      <c r="O13" cm="1">
        <f t="array" ref="O13">[2]!DI1M25.QUL</f>
        <v>5000</v>
      </c>
      <c r="P13" cm="1">
        <f t="array" ref="P13">[2]!DI1M25.QTT</f>
        <v>5498</v>
      </c>
      <c r="Q13" cm="1">
        <f t="array" ref="Q13">[2]!DI1M25.VOL</f>
        <v>508996639.30000001</v>
      </c>
      <c r="R13" cm="1">
        <f t="array" ref="R13">[2]!DI1M25.OCP</f>
        <v>11.535</v>
      </c>
      <c r="S13" cm="1">
        <f t="array" ref="S13">[2]!DI1M25.OVD</f>
        <v>11.55</v>
      </c>
      <c r="T13" cm="1">
        <f t="array" ref="T13">[2]!DI1M25.VOC</f>
        <v>500</v>
      </c>
      <c r="U13" cm="1">
        <f t="array" ref="U13">[2]!DI1M25.VOV</f>
        <v>4770</v>
      </c>
      <c r="V13" cm="1">
        <f t="array" ref="V13">[2]!DI1M25.AJU</f>
        <v>11.545</v>
      </c>
      <c r="W13" cm="1">
        <f t="array" ref="W13">[2]!DI1M25.AJA</f>
        <v>11.475</v>
      </c>
      <c r="X13" cm="1">
        <f t="array" ref="X13">[2]!DI1M25.PRT</f>
        <v>0</v>
      </c>
      <c r="Y13" cm="1">
        <f t="array" ref="Y13">[2]!DI1M25.QTE</f>
        <v>0</v>
      </c>
      <c r="Z13" cm="1">
        <f t="array" ref="Z13">[2]!DI1M25.VPJ</f>
        <v>597251400.36071968</v>
      </c>
      <c r="AA13" cm="1">
        <f t="array" ref="AA13">[2]!DI1M25.SEM</f>
        <v>0.56669572798604628</v>
      </c>
      <c r="AB13" cm="1">
        <f t="array" ref="AB13">[2]!DI1M25.MES</f>
        <v>-0.30250648228176441</v>
      </c>
      <c r="AC13" cm="1">
        <f t="array" ref="AC13">[2]!DI1M25.3M</f>
        <v>4.7683923705721938</v>
      </c>
      <c r="AD13" cm="1">
        <f t="array" ref="AD13">[2]!DI1M25.6M</f>
        <v>8.872109485606412</v>
      </c>
      <c r="AE13" cm="1">
        <f t="array" ref="AE13">[2]!DI1M25.12M</f>
        <v>8.872109485606412</v>
      </c>
      <c r="AF13" cm="1">
        <f t="array" ref="AF13">[2]!DI1M25.ANO</f>
        <v>8.872109485606412</v>
      </c>
      <c r="AG13" cm="1">
        <f t="array" ref="AG13">[2]!DI1M25.TRIM</f>
        <v>3.4065441506051011</v>
      </c>
      <c r="AH13" cm="1">
        <f t="array" ref="AH13">[2]!DI1M25.SEMES</f>
        <v>3.4065441506051011</v>
      </c>
      <c r="AI13" t="str" cm="1">
        <f t="array" ref="AI13">[2]!DI1M25.VEN</f>
        <v>02/06/2025</v>
      </c>
      <c r="AJ13" t="str" cm="1">
        <f t="array" ref="AJ13">[2]!DI1M25.VAL</f>
        <v>30/05/2025</v>
      </c>
      <c r="AK13" cm="1">
        <f t="array" ref="AK13">[2]!DI1M25.CAB</f>
        <v>85385</v>
      </c>
      <c r="AL13" t="str" cm="1">
        <f t="array" ref="AL13">[2]!DI1M25.EST</f>
        <v>Aberto</v>
      </c>
      <c r="AM13" cm="1">
        <f t="array" ref="AM13">[2]!DI1M25.BLACK</f>
        <v>0</v>
      </c>
      <c r="AN13" cm="1">
        <f t="array" ref="AN13">[2]!DI1M25.IMPVT</f>
        <v>0</v>
      </c>
      <c r="AO13" cm="1">
        <f t="array" ref="AO13">[2]!DI1M25.DELTA</f>
        <v>0</v>
      </c>
      <c r="AP13" cm="1">
        <f t="array" ref="AP13">[2]!DI1M25.GAMA</f>
        <v>0</v>
      </c>
      <c r="AQ13" cm="1">
        <f t="array" ref="AQ13">[2]!DI1M25.THETA</f>
        <v>0</v>
      </c>
      <c r="AR13" cm="1">
        <f t="array" ref="AR13">[2]!DI1M25.RHO</f>
        <v>0</v>
      </c>
      <c r="AS13" cm="1">
        <f t="array" ref="AS13">[2]!DI1M25.VEGA</f>
        <v>0</v>
      </c>
      <c r="AT13" cm="1">
        <f t="array" ref="AT13">[2]!DI1M25.VIA</f>
        <v>0</v>
      </c>
      <c r="AU13" cm="1">
        <f t="array" ref="AU13">[2]!DI1M25.VIB</f>
        <v>0</v>
      </c>
      <c r="AV13" cm="1">
        <f t="array" ref="AV13">[2]!DI1M25.DOBRAR</f>
        <v>0</v>
      </c>
      <c r="AW13" cm="1">
        <f t="array" ref="AW13">[2]!DI1M25.VIVH</f>
        <v>0</v>
      </c>
      <c r="AX13" cm="1">
        <f t="array" ref="AX13">[2]!DI1M25.VINT</f>
        <v>0</v>
      </c>
      <c r="AY13" cm="1">
        <f t="array" ref="AY13">[2]!DI1M25.VEXT</f>
        <v>0</v>
      </c>
      <c r="AZ13" t="str" cm="1">
        <f t="array" ref="AZ13">[2]!DI1M25.3</f>
        <v>11,494</v>
      </c>
      <c r="BA13" t="str" cm="1">
        <f t="array" ref="BA13">[2]!DI1M25.103</f>
        <v>-498,000</v>
      </c>
    </row>
    <row r="14" spans="1:53" x14ac:dyDescent="0.25">
      <c r="A14" t="s">
        <v>79</v>
      </c>
      <c r="B14" t="str" cm="1">
        <f t="array" ref="B14">[2]!DI1N25.DAT</f>
        <v>12/09/2024</v>
      </c>
      <c r="C14" t="str" cm="1">
        <f t="array" ref="C14">[2]!DI1N25.HOR</f>
        <v>16:59:02</v>
      </c>
      <c r="D14" cm="1">
        <f t="array" ref="D14">[2]!DI1N25.ULT</f>
        <v>11.62</v>
      </c>
      <c r="E14" cm="1">
        <f t="array" ref="E14">[2]!DI1N25.ABE</f>
        <v>11.565</v>
      </c>
      <c r="F14" cm="1">
        <f t="array" ref="F14">[2]!DI1N25.MAX</f>
        <v>11.654999999999999</v>
      </c>
      <c r="G14" cm="1">
        <f t="array" ref="G14">[2]!DI1N25.MIN</f>
        <v>11.565</v>
      </c>
      <c r="H14" cm="1">
        <f t="array" ref="H14">[2]!DI1N25.FEC</f>
        <v>11.56</v>
      </c>
      <c r="I14" cm="1">
        <f t="array" ref="I14">[2]!DI1N25.PEX</f>
        <v>0</v>
      </c>
      <c r="J14" cm="1">
        <f t="array" ref="J14">[2]!DI1N25.VAR</f>
        <v>0.51903114186850985</v>
      </c>
      <c r="K14" cm="1">
        <f t="array" ref="K14">[2]!DI1N25.VARPTS</f>
        <v>5.9999999999998721E-2</v>
      </c>
      <c r="L14" cm="1">
        <f t="array" ref="L14">[2]!DI1N25.MED</f>
        <v>11.601249999999999</v>
      </c>
      <c r="M14" t="s">
        <v>73</v>
      </c>
      <c r="N14" cm="1">
        <f t="array" ref="N14">[2]!DI1N25.NEG</f>
        <v>31033</v>
      </c>
      <c r="O14" cm="1">
        <f t="array" ref="O14">[2]!DI1N25.QUL</f>
        <v>5</v>
      </c>
      <c r="P14" cm="1">
        <f t="array" ref="P14">[2]!DI1N25.QTT</f>
        <v>333026</v>
      </c>
      <c r="Q14" cm="1">
        <f t="array" ref="Q14">[2]!DI1N25.VOL</f>
        <v>30546659209.040001</v>
      </c>
      <c r="R14" cm="1">
        <f t="array" ref="R14">[2]!DI1N25.OCP</f>
        <v>11.615</v>
      </c>
      <c r="S14" cm="1">
        <f t="array" ref="S14">[2]!DI1N25.OVD</f>
        <v>11.620000000000001</v>
      </c>
      <c r="T14" cm="1">
        <f t="array" ref="T14">[2]!DI1N25.VOC</f>
        <v>824</v>
      </c>
      <c r="U14" cm="1">
        <f t="array" ref="U14">[2]!DI1N25.VOV</f>
        <v>1126</v>
      </c>
      <c r="V14" cm="1">
        <f t="array" ref="V14">[2]!DI1N25.AJU</f>
        <v>11.624000000000001</v>
      </c>
      <c r="W14" cm="1">
        <f t="array" ref="W14">[2]!DI1N25.AJA</f>
        <v>11.552</v>
      </c>
      <c r="X14" cm="1">
        <f t="array" ref="X14">[2]!DI1N25.PRT</f>
        <v>0</v>
      </c>
      <c r="Y14" cm="1">
        <f t="array" ref="Y14">[2]!DI1N25.QTE</f>
        <v>0</v>
      </c>
      <c r="Z14" cm="1">
        <f t="array" ref="Z14">[2]!DI1N25.VPJ</f>
        <v>30623379280.632233</v>
      </c>
      <c r="AA14" cm="1">
        <f t="array" ref="AA14">[2]!DI1N25.SEM</f>
        <v>0.64963187527065824</v>
      </c>
      <c r="AB14" cm="1">
        <f t="array" ref="AB14">[2]!DI1N25.MES</f>
        <v>-0.42844901456728773</v>
      </c>
      <c r="AC14" cm="1">
        <f t="array" ref="AC14">[2]!DI1N25.3M</f>
        <v>4.8736462093862736</v>
      </c>
      <c r="AD14" cm="1">
        <f t="array" ref="AD14">[2]!DI1N25.6M</f>
        <v>19.732096857290049</v>
      </c>
      <c r="AE14" cm="1">
        <f t="array" ref="AE14">[2]!DI1N25.12M</f>
        <v>14.370078740157471</v>
      </c>
      <c r="AF14" cm="1">
        <f t="array" ref="AF14">[2]!DI1N25.ANO</f>
        <v>19.485861182519255</v>
      </c>
      <c r="AG14" cm="1">
        <f t="array" ref="AG14">[2]!DI1N25.TRIM</f>
        <v>3.3348154735437814</v>
      </c>
      <c r="AH14" cm="1">
        <f t="array" ref="AH14">[2]!DI1N25.SEMES</f>
        <v>3.3348154735437814</v>
      </c>
      <c r="AI14" t="str" cm="1">
        <f t="array" ref="AI14">[2]!DI1N25.VEN</f>
        <v>01/07/2025</v>
      </c>
      <c r="AJ14" t="str" cm="1">
        <f t="array" ref="AJ14">[2]!DI1N25.VAL</f>
        <v>30/06/2025</v>
      </c>
      <c r="AK14" cm="1">
        <f t="array" ref="AK14">[2]!DI1N25.CAB</f>
        <v>2104400</v>
      </c>
      <c r="AL14" t="str" cm="1">
        <f t="array" ref="AL14">[2]!DI1N25.EST</f>
        <v>Aberto</v>
      </c>
      <c r="AM14" cm="1">
        <f t="array" ref="AM14">[2]!DI1N25.BLACK</f>
        <v>0</v>
      </c>
      <c r="AN14" cm="1">
        <f t="array" ref="AN14">[2]!DI1N25.IMPVT</f>
        <v>0</v>
      </c>
      <c r="AO14" cm="1">
        <f t="array" ref="AO14">[2]!DI1N25.DELTA</f>
        <v>0</v>
      </c>
      <c r="AP14" cm="1">
        <f t="array" ref="AP14">[2]!DI1N25.GAMA</f>
        <v>0</v>
      </c>
      <c r="AQ14" cm="1">
        <f t="array" ref="AQ14">[2]!DI1N25.THETA</f>
        <v>0</v>
      </c>
      <c r="AR14" cm="1">
        <f t="array" ref="AR14">[2]!DI1N25.RHO</f>
        <v>0</v>
      </c>
      <c r="AS14" cm="1">
        <f t="array" ref="AS14">[2]!DI1N25.VEGA</f>
        <v>0</v>
      </c>
      <c r="AT14" cm="1">
        <f t="array" ref="AT14">[2]!DI1N25.VIA</f>
        <v>0</v>
      </c>
      <c r="AU14" cm="1">
        <f t="array" ref="AU14">[2]!DI1N25.VIB</f>
        <v>0</v>
      </c>
      <c r="AV14" cm="1">
        <f t="array" ref="AV14">[2]!DI1N25.DOBRAR</f>
        <v>0</v>
      </c>
      <c r="AW14" cm="1">
        <f t="array" ref="AW14">[2]!DI1N25.VIVH</f>
        <v>0</v>
      </c>
      <c r="AX14" cm="1">
        <f t="array" ref="AX14">[2]!DI1N25.VINT</f>
        <v>0</v>
      </c>
      <c r="AY14" cm="1">
        <f t="array" ref="AY14">[2]!DI1N25.VEXT</f>
        <v>0</v>
      </c>
      <c r="AZ14" t="str" cm="1">
        <f t="array" ref="AZ14">[2]!DI1N25.3</f>
        <v>11,584</v>
      </c>
      <c r="BA14" t="str" cm="1">
        <f t="array" ref="BA14">[2]!DI1N25.103</f>
        <v>22.426,000</v>
      </c>
    </row>
    <row r="15" spans="1:53" x14ac:dyDescent="0.25">
      <c r="A15" t="s">
        <v>80</v>
      </c>
      <c r="B15" t="str" cm="1">
        <f t="array" ref="B15">[2]!DI1Q25.DAT</f>
        <v>12/09/2024</v>
      </c>
      <c r="C15" t="str" cm="1">
        <f t="array" ref="C15">[2]!DI1Q25.HOR</f>
        <v>14:53:53</v>
      </c>
      <c r="D15" cm="1">
        <f t="array" ref="D15">[2]!DI1Q25.ULT</f>
        <v>11.69</v>
      </c>
      <c r="E15" cm="1">
        <f t="array" ref="E15">[2]!DI1Q25.ABE</f>
        <v>11.68</v>
      </c>
      <c r="F15" cm="1">
        <f t="array" ref="F15">[2]!DI1Q25.MAX</f>
        <v>11.695</v>
      </c>
      <c r="G15" cm="1">
        <f t="array" ref="G15">[2]!DI1Q25.MIN</f>
        <v>11.68</v>
      </c>
      <c r="H15" cm="1">
        <f t="array" ref="H15">[2]!DI1Q25.FEC</f>
        <v>11.565000000000001</v>
      </c>
      <c r="I15" cm="1">
        <f t="array" ref="I15">[2]!DI1Q25.PEX</f>
        <v>0</v>
      </c>
      <c r="J15" cm="1">
        <f t="array" ref="J15">[2]!DI1Q25.VAR</f>
        <v>1.0808473843492976</v>
      </c>
      <c r="K15" cm="1">
        <f t="array" ref="K15">[2]!DI1Q25.VARPTS</f>
        <v>0.12499999999999822</v>
      </c>
      <c r="L15" cm="1">
        <f t="array" ref="L15">[2]!DI1Q25.MED</f>
        <v>11.686249999999999</v>
      </c>
      <c r="M15" t="s">
        <v>73</v>
      </c>
      <c r="N15" cm="1">
        <f t="array" ref="N15">[2]!DI1Q25.NEG</f>
        <v>4</v>
      </c>
      <c r="O15" cm="1">
        <f t="array" ref="O15">[2]!DI1Q25.QUL</f>
        <v>300</v>
      </c>
      <c r="P15" cm="1">
        <f t="array" ref="P15">[2]!DI1Q25.QTT</f>
        <v>311</v>
      </c>
      <c r="Q15" cm="1">
        <f t="array" ref="Q15">[2]!DI1Q25.VOL</f>
        <v>28226203.16</v>
      </c>
      <c r="R15" cm="1">
        <f t="array" ref="R15">[2]!DI1Q25.OCP</f>
        <v>11.665000000000001</v>
      </c>
      <c r="S15" cm="1">
        <f t="array" ref="S15">[2]!DI1Q25.OVD</f>
        <v>11.68</v>
      </c>
      <c r="T15" cm="1">
        <f t="array" ref="T15">[2]!DI1Q25.VOC</f>
        <v>1282</v>
      </c>
      <c r="U15" cm="1">
        <f t="array" ref="U15">[2]!DI1Q25.VOV</f>
        <v>1548</v>
      </c>
      <c r="V15" cm="1">
        <f t="array" ref="V15">[2]!DI1Q25.AJU</f>
        <v>11.675000000000001</v>
      </c>
      <c r="W15" cm="1">
        <f t="array" ref="W15">[2]!DI1Q25.AJA</f>
        <v>11.605</v>
      </c>
      <c r="X15" cm="1">
        <f t="array" ref="X15">[2]!DI1Q25.PRT</f>
        <v>0</v>
      </c>
      <c r="Y15" cm="1">
        <f t="array" ref="Y15">[2]!DI1Q25.QTE</f>
        <v>0</v>
      </c>
      <c r="Z15" cm="1">
        <f t="array" ref="Z15">[2]!DI1Q25.VPJ</f>
        <v>39803805.32601805</v>
      </c>
      <c r="AA15" cm="1">
        <f t="array" ref="AA15">[2]!DI1Q25.SEM</f>
        <v>1.0808473843493145</v>
      </c>
      <c r="AB15" cm="1">
        <f t="array" ref="AB15">[2]!DI1Q25.MES</f>
        <v>-0.17079419299744961</v>
      </c>
      <c r="AC15" cm="1">
        <f t="array" ref="AC15">[2]!DI1Q25.3M</f>
        <v>3.4055727554179382</v>
      </c>
      <c r="AD15" cm="1">
        <f t="array" ref="AD15">[2]!DI1Q25.6M</f>
        <v>3.4055727554179382</v>
      </c>
      <c r="AE15" cm="1">
        <f t="array" ref="AE15">[2]!DI1Q25.12M</f>
        <v>3.4055727554179382</v>
      </c>
      <c r="AF15" cm="1">
        <f t="array" ref="AF15">[2]!DI1Q25.ANO</f>
        <v>3.4055727554179382</v>
      </c>
      <c r="AG15" cm="1">
        <f t="array" ref="AG15">[2]!DI1Q25.TRIM</f>
        <v>3.4055727554179382</v>
      </c>
      <c r="AH15" cm="1">
        <f t="array" ref="AH15">[2]!DI1Q25.SEMES</f>
        <v>3.4055727554179382</v>
      </c>
      <c r="AI15" t="str" cm="1">
        <f t="array" ref="AI15">[2]!DI1Q25.VEN</f>
        <v>01/08/2025</v>
      </c>
      <c r="AJ15" t="str" cm="1">
        <f t="array" ref="AJ15">[2]!DI1Q25.VAL</f>
        <v>31/07/2025</v>
      </c>
      <c r="AK15" cm="1">
        <f t="array" ref="AK15">[2]!DI1Q25.CAB</f>
        <v>45056</v>
      </c>
      <c r="AL15" t="str" cm="1">
        <f t="array" ref="AL15">[2]!DI1Q25.EST</f>
        <v>Aberto</v>
      </c>
      <c r="AM15" cm="1">
        <f t="array" ref="AM15">[2]!DI1Q25.BLACK</f>
        <v>0</v>
      </c>
      <c r="AN15" cm="1">
        <f t="array" ref="AN15">[2]!DI1Q25.IMPVT</f>
        <v>0</v>
      </c>
      <c r="AO15" cm="1">
        <f t="array" ref="AO15">[2]!DI1Q25.DELTA</f>
        <v>0</v>
      </c>
      <c r="AP15" cm="1">
        <f t="array" ref="AP15">[2]!DI1Q25.GAMA</f>
        <v>0</v>
      </c>
      <c r="AQ15" cm="1">
        <f t="array" ref="AQ15">[2]!DI1Q25.THETA</f>
        <v>0</v>
      </c>
      <c r="AR15" cm="1">
        <f t="array" ref="AR15">[2]!DI1Q25.RHO</f>
        <v>0</v>
      </c>
      <c r="AS15" cm="1">
        <f t="array" ref="AS15">[2]!DI1Q25.VEGA</f>
        <v>0</v>
      </c>
      <c r="AT15" cm="1">
        <f t="array" ref="AT15">[2]!DI1Q25.VIA</f>
        <v>0</v>
      </c>
      <c r="AU15" cm="1">
        <f t="array" ref="AU15">[2]!DI1Q25.VIB</f>
        <v>0</v>
      </c>
      <c r="AV15" cm="1">
        <f t="array" ref="AV15">[2]!DI1Q25.DOBRAR</f>
        <v>0</v>
      </c>
      <c r="AW15" cm="1">
        <f t="array" ref="AW15">[2]!DI1Q25.VIVH</f>
        <v>0</v>
      </c>
      <c r="AX15" cm="1">
        <f t="array" ref="AX15">[2]!DI1Q25.VINT</f>
        <v>0</v>
      </c>
      <c r="AY15" cm="1">
        <f t="array" ref="AY15">[2]!DI1Q25.VEXT</f>
        <v>0</v>
      </c>
      <c r="AZ15" t="str" cm="1">
        <f t="array" ref="AZ15">[2]!DI1Q25.3</f>
        <v>11,623</v>
      </c>
      <c r="BA15" t="str" cm="1">
        <f t="array" ref="BA15">[2]!DI1Q25.103</f>
        <v>299,000</v>
      </c>
    </row>
    <row r="16" spans="1:53" x14ac:dyDescent="0.25">
      <c r="A16" t="s">
        <v>81</v>
      </c>
      <c r="B16" t="str" cm="1">
        <f t="array" ref="B16">[2]!DI1U25.DAT</f>
        <v>12/09/2024</v>
      </c>
      <c r="C16" t="str" cm="1">
        <f t="array" ref="C16">[2]!DI1U25.HOR</f>
        <v>15:18:18</v>
      </c>
      <c r="D16" cm="1">
        <f t="array" ref="D16">[2]!DI1U25.ULT</f>
        <v>11.715</v>
      </c>
      <c r="E16" cm="1">
        <f t="array" ref="E16">[2]!DI1U25.ABE</f>
        <v>11.695</v>
      </c>
      <c r="F16" cm="1">
        <f t="array" ref="F16">[2]!DI1U25.MAX</f>
        <v>11.744999999999999</v>
      </c>
      <c r="G16" cm="1">
        <f t="array" ref="G16">[2]!DI1U25.MIN</f>
        <v>11.695</v>
      </c>
      <c r="H16" cm="1">
        <f t="array" ref="H16">[2]!DI1U25.FEC</f>
        <v>11.64</v>
      </c>
      <c r="I16" cm="1">
        <f t="array" ref="I16">[2]!DI1U25.PEX</f>
        <v>0</v>
      </c>
      <c r="J16" cm="1">
        <f t="array" ref="J16">[2]!DI1U25.VAR</f>
        <v>0.64432989690720888</v>
      </c>
      <c r="K16" cm="1">
        <f t="array" ref="K16">[2]!DI1U25.VARPTS</f>
        <v>7.4999999999999289E-2</v>
      </c>
      <c r="L16" cm="1">
        <f t="array" ref="L16">[2]!DI1U25.MED</f>
        <v>11.712499999999999</v>
      </c>
      <c r="M16" t="s">
        <v>73</v>
      </c>
      <c r="N16" cm="1">
        <f t="array" ref="N16">[2]!DI1U25.NEG</f>
        <v>11</v>
      </c>
      <c r="O16" cm="1">
        <f t="array" ref="O16">[2]!DI1U25.QUL</f>
        <v>60</v>
      </c>
      <c r="P16" cm="1">
        <f t="array" ref="P16">[2]!DI1U25.QTT</f>
        <v>27952</v>
      </c>
      <c r="Q16" cm="1">
        <f t="array" ref="Q16">[2]!DI1U25.VOL</f>
        <v>2512798276.1300001</v>
      </c>
      <c r="R16" cm="1">
        <f t="array" ref="R16">[2]!DI1U25.OCP</f>
        <v>11.715</v>
      </c>
      <c r="S16" cm="1">
        <f t="array" ref="S16">[2]!DI1U25.OVD</f>
        <v>11.73</v>
      </c>
      <c r="T16" cm="1">
        <f t="array" ref="T16">[2]!DI1U25.VOC</f>
        <v>36</v>
      </c>
      <c r="U16" cm="1">
        <f t="array" ref="U16">[2]!DI1U25.VOV</f>
        <v>2160</v>
      </c>
      <c r="V16" cm="1">
        <f t="array" ref="V16">[2]!DI1U25.AJU</f>
        <v>11.724</v>
      </c>
      <c r="W16" cm="1">
        <f t="array" ref="W16">[2]!DI1U25.AJA</f>
        <v>11.651999999999999</v>
      </c>
      <c r="X16" cm="1">
        <f t="array" ref="X16">[2]!DI1U25.PRT</f>
        <v>0</v>
      </c>
      <c r="Y16" cm="1">
        <f t="array" ref="Y16">[2]!DI1U25.QTE</f>
        <v>0</v>
      </c>
      <c r="Z16" cm="1">
        <f t="array" ref="Z16">[2]!DI1U25.VPJ</f>
        <v>3312697219.5300827</v>
      </c>
      <c r="AA16" cm="1">
        <f t="array" ref="AA16">[2]!DI1U25.SEM</f>
        <v>0.64432989690721043</v>
      </c>
      <c r="AB16" cm="1">
        <f t="array" ref="AB16">[2]!DI1U25.MES</f>
        <v>-8.5287846481889654E-2</v>
      </c>
      <c r="AC16" cm="1">
        <f t="array" ref="AC16">[2]!DI1U25.3M</f>
        <v>-8.5287846481889654E-2</v>
      </c>
      <c r="AD16" cm="1">
        <f t="array" ref="AD16">[2]!DI1U25.6M</f>
        <v>-8.5287846481889654E-2</v>
      </c>
      <c r="AE16" cm="1">
        <f t="array" ref="AE16">[2]!DI1U25.12M</f>
        <v>-8.5287846481889654E-2</v>
      </c>
      <c r="AF16" cm="1">
        <f t="array" ref="AF16">[2]!DI1U25.ANO</f>
        <v>-8.5287846481889654E-2</v>
      </c>
      <c r="AG16" cm="1">
        <f t="array" ref="AG16">[2]!DI1U25.TRIM</f>
        <v>-8.5287846481889654E-2</v>
      </c>
      <c r="AH16" cm="1">
        <f t="array" ref="AH16">[2]!DI1U25.SEMES</f>
        <v>-8.5287846481889654E-2</v>
      </c>
      <c r="AI16" t="str" cm="1">
        <f t="array" ref="AI16">[2]!DI1U25.VEN</f>
        <v>01/09/2025</v>
      </c>
      <c r="AJ16" t="str" cm="1">
        <f t="array" ref="AJ16">[2]!DI1U25.VAL</f>
        <v>29/08/2025</v>
      </c>
      <c r="AK16" cm="1">
        <f t="array" ref="AK16">[2]!DI1U25.CAB</f>
        <v>16541</v>
      </c>
      <c r="AL16" t="str" cm="1">
        <f t="array" ref="AL16">[2]!DI1U25.EST</f>
        <v>Aberto</v>
      </c>
      <c r="AM16" cm="1">
        <f t="array" ref="AM16">[2]!DI1U25.BLACK</f>
        <v>0</v>
      </c>
      <c r="AN16" cm="1">
        <f t="array" ref="AN16">[2]!DI1U25.IMPVT</f>
        <v>0</v>
      </c>
      <c r="AO16" cm="1">
        <f t="array" ref="AO16">[2]!DI1U25.DELTA</f>
        <v>0</v>
      </c>
      <c r="AP16" cm="1">
        <f t="array" ref="AP16">[2]!DI1U25.GAMA</f>
        <v>0</v>
      </c>
      <c r="AQ16" cm="1">
        <f t="array" ref="AQ16">[2]!DI1U25.THETA</f>
        <v>0</v>
      </c>
      <c r="AR16" cm="1">
        <f t="array" ref="AR16">[2]!DI1U25.RHO</f>
        <v>0</v>
      </c>
      <c r="AS16" cm="1">
        <f t="array" ref="AS16">[2]!DI1U25.VEGA</f>
        <v>0</v>
      </c>
      <c r="AT16" cm="1">
        <f t="array" ref="AT16">[2]!DI1U25.VIA</f>
        <v>0</v>
      </c>
      <c r="AU16" cm="1">
        <f t="array" ref="AU16">[2]!DI1U25.VIB</f>
        <v>0</v>
      </c>
      <c r="AV16" cm="1">
        <f t="array" ref="AV16">[2]!DI1U25.DOBRAR</f>
        <v>0</v>
      </c>
      <c r="AW16" cm="1">
        <f t="array" ref="AW16">[2]!DI1U25.VIVH</f>
        <v>0</v>
      </c>
      <c r="AX16" cm="1">
        <f t="array" ref="AX16">[2]!DI1U25.VINT</f>
        <v>0</v>
      </c>
      <c r="AY16" cm="1">
        <f t="array" ref="AY16">[2]!DI1U25.VEXT</f>
        <v>0</v>
      </c>
      <c r="AZ16" t="str" cm="1">
        <f t="array" ref="AZ16">[2]!DI1U25.3</f>
        <v/>
      </c>
      <c r="BA16" t="str" cm="1">
        <f t="array" ref="BA16">[2]!DI1U25.103</f>
        <v>-978,000</v>
      </c>
    </row>
    <row r="17" spans="1:53" x14ac:dyDescent="0.25">
      <c r="A17" t="s">
        <v>82</v>
      </c>
      <c r="B17" t="str" cm="1">
        <f t="array" ref="B17">[2]!DI1V25.DAT</f>
        <v>12/09/2024</v>
      </c>
      <c r="C17" t="str" cm="1">
        <f t="array" ref="C17">[2]!DI1V25.HOR</f>
        <v>17:00:51</v>
      </c>
      <c r="D17" cm="1">
        <f t="array" ref="D17">[2]!DI1V25.ULT</f>
        <v>11.775</v>
      </c>
      <c r="E17" cm="1">
        <f t="array" ref="E17">[2]!DI1V25.ABE</f>
        <v>11.72</v>
      </c>
      <c r="F17" cm="1">
        <f t="array" ref="F17">[2]!DI1V25.MAX</f>
        <v>11.82</v>
      </c>
      <c r="G17" cm="1">
        <f t="array" ref="G17">[2]!DI1V25.MIN</f>
        <v>11.72</v>
      </c>
      <c r="H17" cm="1">
        <f t="array" ref="H17">[2]!DI1V25.FEC</f>
        <v>11.72</v>
      </c>
      <c r="I17" cm="1">
        <f t="array" ref="I17">[2]!DI1V25.PEX</f>
        <v>0</v>
      </c>
      <c r="J17" cm="1">
        <f t="array" ref="J17">[2]!DI1V25.VAR</f>
        <v>0.46928327645051127</v>
      </c>
      <c r="K17" cm="1">
        <f t="array" ref="K17">[2]!DI1V25.VARPTS</f>
        <v>5.4999999999999716E-2</v>
      </c>
      <c r="L17" cm="1">
        <f t="array" ref="L17">[2]!DI1V25.MED</f>
        <v>11.758749999999999</v>
      </c>
      <c r="M17" t="s">
        <v>73</v>
      </c>
      <c r="N17" cm="1">
        <f t="array" ref="N17">[2]!DI1V25.NEG</f>
        <v>5565</v>
      </c>
      <c r="O17" cm="1">
        <f t="array" ref="O17">[2]!DI1V25.QUL</f>
        <v>1</v>
      </c>
      <c r="P17" cm="1">
        <f t="array" ref="P17">[2]!DI1V25.QTT</f>
        <v>66844</v>
      </c>
      <c r="Q17" cm="1">
        <f t="array" ref="Q17">[2]!DI1V25.VOL</f>
        <v>5948214499.5200005</v>
      </c>
      <c r="R17" cm="1">
        <f t="array" ref="R17">[2]!DI1V25.OCP</f>
        <v>11.775</v>
      </c>
      <c r="S17" cm="1">
        <f t="array" ref="S17">[2]!DI1V25.OVD</f>
        <v>11.78</v>
      </c>
      <c r="T17" cm="1">
        <f t="array" ref="T17">[2]!DI1V25.VOC</f>
        <v>12</v>
      </c>
      <c r="U17" cm="1">
        <f t="array" ref="U17">[2]!DI1V25.VOV</f>
        <v>634</v>
      </c>
      <c r="V17" cm="1">
        <f t="array" ref="V17">[2]!DI1V25.AJU</f>
        <v>11.775</v>
      </c>
      <c r="W17" cm="1">
        <f t="array" ref="W17">[2]!DI1V25.AJA</f>
        <v>11.707000000000001</v>
      </c>
      <c r="X17" cm="1">
        <f t="array" ref="X17">[2]!DI1V25.PRT</f>
        <v>0</v>
      </c>
      <c r="Y17" cm="1">
        <f t="array" ref="Y17">[2]!DI1V25.QTE</f>
        <v>0</v>
      </c>
      <c r="Z17" cm="1">
        <f t="array" ref="Z17">[2]!DI1V25.VPJ</f>
        <v>5935139880.957242</v>
      </c>
      <c r="AA17" cm="1">
        <f t="array" ref="AA17">[2]!DI1V25.SEM</f>
        <v>0.81335616438355185</v>
      </c>
      <c r="AB17" cm="1">
        <f t="array" ref="AB17">[2]!DI1V25.MES</f>
        <v>-0.33855268726196291</v>
      </c>
      <c r="AC17" cm="1">
        <f t="array" ref="AC17">[2]!DI1V25.3M</f>
        <v>4.8064085447262936</v>
      </c>
      <c r="AD17" cm="1">
        <f t="array" ref="AD17">[2]!DI1V25.6M</f>
        <v>21.391752577319579</v>
      </c>
      <c r="AE17" cm="1">
        <f t="array" ref="AE17">[2]!DI1V25.12M</f>
        <v>16.584158415841571</v>
      </c>
      <c r="AF17" cm="1">
        <f t="array" ref="AF17">[2]!DI1V25.ANO</f>
        <v>21.831350232798748</v>
      </c>
      <c r="AG17" cm="1">
        <f t="array" ref="AG17">[2]!DI1V25.TRIM</f>
        <v>2.9283216783216699</v>
      </c>
      <c r="AH17" cm="1">
        <f t="array" ref="AH17">[2]!DI1V25.SEMES</f>
        <v>2.9283216783216699</v>
      </c>
      <c r="AI17" t="str" cm="1">
        <f t="array" ref="AI17">[2]!DI1V25.VEN</f>
        <v>01/10/2025</v>
      </c>
      <c r="AJ17" t="str" cm="1">
        <f t="array" ref="AJ17">[2]!DI1V25.VAL</f>
        <v>30/09/2025</v>
      </c>
      <c r="AK17" cm="1">
        <f t="array" ref="AK17">[2]!DI1V25.CAB</f>
        <v>916427</v>
      </c>
      <c r="AL17" t="str" cm="1">
        <f t="array" ref="AL17">[2]!DI1V25.EST</f>
        <v>Aberto</v>
      </c>
      <c r="AM17" cm="1">
        <f t="array" ref="AM17">[2]!DI1V25.BLACK</f>
        <v>0</v>
      </c>
      <c r="AN17" cm="1">
        <f t="array" ref="AN17">[2]!DI1V25.IMPVT</f>
        <v>0</v>
      </c>
      <c r="AO17" cm="1">
        <f t="array" ref="AO17">[2]!DI1V25.DELTA</f>
        <v>0</v>
      </c>
      <c r="AP17" cm="1">
        <f t="array" ref="AP17">[2]!DI1V25.GAMA</f>
        <v>0</v>
      </c>
      <c r="AQ17" cm="1">
        <f t="array" ref="AQ17">[2]!DI1V25.THETA</f>
        <v>0</v>
      </c>
      <c r="AR17" cm="1">
        <f t="array" ref="AR17">[2]!DI1V25.RHO</f>
        <v>0</v>
      </c>
      <c r="AS17" cm="1">
        <f t="array" ref="AS17">[2]!DI1V25.VEGA</f>
        <v>0</v>
      </c>
      <c r="AT17" cm="1">
        <f t="array" ref="AT17">[2]!DI1V25.VIA</f>
        <v>0</v>
      </c>
      <c r="AU17" cm="1">
        <f t="array" ref="AU17">[2]!DI1V25.VIB</f>
        <v>0</v>
      </c>
      <c r="AV17" cm="1">
        <f t="array" ref="AV17">[2]!DI1V25.DOBRAR</f>
        <v>0</v>
      </c>
      <c r="AW17" cm="1">
        <f t="array" ref="AW17">[2]!DI1V25.VIVH</f>
        <v>0</v>
      </c>
      <c r="AX17" cm="1">
        <f t="array" ref="AX17">[2]!DI1V25.VINT</f>
        <v>0</v>
      </c>
      <c r="AY17" cm="1">
        <f t="array" ref="AY17">[2]!DI1V25.VEXT</f>
        <v>0</v>
      </c>
      <c r="AZ17" t="str" cm="1">
        <f t="array" ref="AZ17">[2]!DI1V25.3</f>
        <v>11,735</v>
      </c>
      <c r="BA17" t="str" cm="1">
        <f t="array" ref="BA17">[2]!DI1V25.103</f>
        <v>708,000</v>
      </c>
    </row>
    <row r="18" spans="1:53" x14ac:dyDescent="0.25">
      <c r="A18" t="s">
        <v>13</v>
      </c>
      <c r="B18" t="str" cm="1">
        <f t="array" ref="B18">[2]!DI1F26.DAT</f>
        <v>12/09/2024</v>
      </c>
      <c r="C18" t="str" cm="1">
        <f t="array" ref="C18">[2]!DI1F26.HOR</f>
        <v>17:00:00</v>
      </c>
      <c r="D18" cm="1">
        <f t="array" ref="D18">[2]!DI1F26.ULT</f>
        <v>11.845000000000001</v>
      </c>
      <c r="E18" cm="1">
        <f t="array" ref="E18">[2]!DI1F26.ABE</f>
        <v>11.8</v>
      </c>
      <c r="F18" cm="1">
        <f t="array" ref="F18">[2]!DI1F26.MAX</f>
        <v>11.9</v>
      </c>
      <c r="G18" cm="1">
        <f t="array" ref="G18">[2]!DI1F26.MIN</f>
        <v>11.79</v>
      </c>
      <c r="H18" cm="1">
        <f t="array" ref="H18">[2]!DI1F26.FEC</f>
        <v>11.790000000000001</v>
      </c>
      <c r="I18" cm="1">
        <f t="array" ref="I18">[2]!DI1F26.PEX</f>
        <v>0</v>
      </c>
      <c r="J18" cm="1">
        <f t="array" ref="J18">[2]!DI1F26.VAR</f>
        <v>0.46649703138253074</v>
      </c>
      <c r="K18" cm="1">
        <f t="array" ref="K18">[2]!DI1F26.VARPTS</f>
        <v>5.4999999999999716E-2</v>
      </c>
      <c r="L18" cm="1">
        <f t="array" ref="L18">[2]!DI1F26.MED</f>
        <v>11.83375</v>
      </c>
      <c r="M18" t="s">
        <v>73</v>
      </c>
      <c r="N18" cm="1">
        <f t="array" ref="N18">[2]!DI1F26.NEG</f>
        <v>45038</v>
      </c>
      <c r="O18" cm="1">
        <f t="array" ref="O18">[2]!DI1F26.QUL</f>
        <v>8</v>
      </c>
      <c r="P18" cm="1">
        <f t="array" ref="P18">[2]!DI1F26.QTT</f>
        <v>529816</v>
      </c>
      <c r="Q18" cm="1">
        <f t="array" ref="Q18">[2]!DI1F26.VOL</f>
        <v>45790843794.019997</v>
      </c>
      <c r="R18" cm="1">
        <f t="array" ref="R18">[2]!DI1F26.OCP</f>
        <v>11.845000000000001</v>
      </c>
      <c r="S18" cm="1">
        <f t="array" ref="S18">[2]!DI1F26.OVD</f>
        <v>11.85</v>
      </c>
      <c r="T18" cm="1">
        <f t="array" ref="T18">[2]!DI1F26.VOC</f>
        <v>534</v>
      </c>
      <c r="U18" cm="1">
        <f t="array" ref="U18">[2]!DI1F26.VOV</f>
        <v>663</v>
      </c>
      <c r="V18" cm="1">
        <f t="array" ref="V18">[2]!DI1F26.AJU</f>
        <v>11.846</v>
      </c>
      <c r="W18" cm="1">
        <f t="array" ref="W18">[2]!DI1F26.AJA</f>
        <v>11.776999999999999</v>
      </c>
      <c r="X18" cm="1">
        <f t="array" ref="X18">[2]!DI1F26.PRT</f>
        <v>0</v>
      </c>
      <c r="Y18" cm="1">
        <f t="array" ref="Y18">[2]!DI1F26.QTE</f>
        <v>0</v>
      </c>
      <c r="Z18" cm="1">
        <f t="array" ref="Z18">[2]!DI1F26.VPJ</f>
        <v>45790843794.020004</v>
      </c>
      <c r="AA18" cm="1">
        <f t="array" ref="AA18">[2]!DI1F26.SEM</f>
        <v>0.93736685129952646</v>
      </c>
      <c r="AB18" cm="1">
        <f t="array" ref="AB18">[2]!DI1F26.MES</f>
        <v>-0.29461279461279577</v>
      </c>
      <c r="AC18" cm="1">
        <f t="array" ref="AC18">[2]!DI1F26.3M</f>
        <v>4.361233480176204</v>
      </c>
      <c r="AD18" cm="1">
        <f t="array" ref="AD18">[2]!DI1F26.6M</f>
        <v>22.176379577101603</v>
      </c>
      <c r="AE18" cm="1">
        <f t="array" ref="AE18">[2]!DI1F26.12M</f>
        <v>17.743538767395627</v>
      </c>
      <c r="AF18" cm="1">
        <f t="array" ref="AF18">[2]!DI1F26.ANO</f>
        <v>23.257023933402696</v>
      </c>
      <c r="AG18" cm="1">
        <f t="array" ref="AG18">[2]!DI1F26.TRIM</f>
        <v>2.200172562553917</v>
      </c>
      <c r="AH18" cm="1">
        <f t="array" ref="AH18">[2]!DI1F26.SEMES</f>
        <v>2.200172562553917</v>
      </c>
      <c r="AI18" t="str" cm="1">
        <f t="array" ref="AI18">[2]!DI1F26.VEN</f>
        <v>02/01/2026</v>
      </c>
      <c r="AJ18" t="str" cm="1">
        <f t="array" ref="AJ18">[2]!DI1F26.VAL</f>
        <v>30/12/2025</v>
      </c>
      <c r="AK18" cm="1">
        <f t="array" ref="AK18">[2]!DI1F26.CAB</f>
        <v>4176476</v>
      </c>
      <c r="AL18" t="str" cm="1">
        <f t="array" ref="AL18">[2]!DI1F26.EST</f>
        <v>Aberto</v>
      </c>
      <c r="AM18" cm="1">
        <f t="array" ref="AM18">[2]!DI1F26.BLACK</f>
        <v>0</v>
      </c>
      <c r="AN18" cm="1">
        <f t="array" ref="AN18">[2]!DI1F26.IMPVT</f>
        <v>0</v>
      </c>
      <c r="AO18" cm="1">
        <f t="array" ref="AO18">[2]!DI1F26.DELTA</f>
        <v>0</v>
      </c>
      <c r="AP18" cm="1">
        <f t="array" ref="AP18">[2]!DI1F26.GAMA</f>
        <v>0</v>
      </c>
      <c r="AQ18" cm="1">
        <f t="array" ref="AQ18">[2]!DI1F26.THETA</f>
        <v>0</v>
      </c>
      <c r="AR18" cm="1">
        <f t="array" ref="AR18">[2]!DI1F26.RHO</f>
        <v>0</v>
      </c>
      <c r="AS18" cm="1">
        <f t="array" ref="AS18">[2]!DI1F26.VEGA</f>
        <v>0</v>
      </c>
      <c r="AT18" cm="1">
        <f t="array" ref="AT18">[2]!DI1F26.VIA</f>
        <v>0</v>
      </c>
      <c r="AU18" cm="1">
        <f t="array" ref="AU18">[2]!DI1F26.VIB</f>
        <v>0</v>
      </c>
      <c r="AV18" cm="1">
        <f t="array" ref="AV18">[2]!DI1F26.DOBRAR</f>
        <v>0</v>
      </c>
      <c r="AW18" cm="1">
        <f t="array" ref="AW18">[2]!DI1F26.VIVH</f>
        <v>0</v>
      </c>
      <c r="AX18" cm="1">
        <f t="array" ref="AX18">[2]!DI1F26.VINT</f>
        <v>0</v>
      </c>
      <c r="AY18" cm="1">
        <f t="array" ref="AY18">[2]!DI1F26.VEXT</f>
        <v>0</v>
      </c>
      <c r="AZ18" t="str" cm="1">
        <f t="array" ref="AZ18">[2]!DI1F26.3</f>
        <v>11,800</v>
      </c>
      <c r="BA18" t="str" cm="1">
        <f t="array" ref="BA18">[2]!DI1F26.103</f>
        <v>52.149,000</v>
      </c>
    </row>
    <row r="19" spans="1:53" x14ac:dyDescent="0.25">
      <c r="A19" t="s">
        <v>83</v>
      </c>
      <c r="B19" t="str" cm="1">
        <f t="array" ref="B19">[2]!FRCX24.DAT</f>
        <v>12/09/2024</v>
      </c>
      <c r="C19" t="str" cm="1">
        <f t="array" ref="C19">[2]!FRCX24.HOR</f>
        <v>16:12:25</v>
      </c>
      <c r="D19" cm="1">
        <f t="array" ref="D19">[2]!FRCX24.ULT</f>
        <v>6.69</v>
      </c>
      <c r="E19" cm="1">
        <f t="array" ref="E19">[2]!FRCX24.ABE</f>
        <v>6.64</v>
      </c>
      <c r="F19" cm="1">
        <f t="array" ref="F19">[2]!FRCX24.MAX</f>
        <v>6.71</v>
      </c>
      <c r="G19" cm="1">
        <f t="array" ref="G19">[2]!FRCX24.MIN</f>
        <v>6.64</v>
      </c>
      <c r="H19" cm="1">
        <f t="array" ref="H19">[2]!FRCX24.FEC</f>
        <v>6.6400000000000006</v>
      </c>
      <c r="I19" cm="1">
        <f t="array" ref="I19">[2]!FRCX24.PEX</f>
        <v>0</v>
      </c>
      <c r="J19" cm="1">
        <f t="array" ref="J19">[2]!FRCX24.VAR</f>
        <v>0.75301204819275824</v>
      </c>
      <c r="K19" cm="1">
        <f t="array" ref="K19">[2]!FRCX24.VARPTS</f>
        <v>4.9999999999999822E-2</v>
      </c>
      <c r="L19" cm="1">
        <f t="array" ref="L19">[2]!FRCX24.MED</f>
        <v>6.67</v>
      </c>
      <c r="M19" t="s">
        <v>84</v>
      </c>
      <c r="N19" cm="1">
        <f t="array" ref="N19">[2]!FRCX24.NEG</f>
        <v>135</v>
      </c>
      <c r="O19" cm="1">
        <f t="array" ref="O19">[2]!FRCX24.QUL</f>
        <v>1000</v>
      </c>
      <c r="P19" cm="1">
        <f t="array" ref="P19">[2]!FRCX24.QTT</f>
        <v>152852</v>
      </c>
      <c r="Q19" cm="1">
        <f t="array" ref="Q19">[2]!FRCX24.VOL</f>
        <v>7607959266.2600002</v>
      </c>
      <c r="R19" cm="1">
        <f t="array" ref="R19">[2]!FRCX24.OCP</f>
        <v>6.69</v>
      </c>
      <c r="S19" cm="1">
        <f t="array" ref="S19">[2]!FRCX24.OVD</f>
        <v>6.7</v>
      </c>
      <c r="T19" cm="1">
        <f t="array" ref="T19">[2]!FRCX24.VOC</f>
        <v>4870</v>
      </c>
      <c r="U19" cm="1">
        <f t="array" ref="U19">[2]!FRCX24.VOV</f>
        <v>4000</v>
      </c>
      <c r="V19" cm="1">
        <f t="array" ref="V19">[2]!FRCX24.AJU</f>
        <v>6.69</v>
      </c>
      <c r="W19" cm="1">
        <f t="array" ref="W19">[2]!FRCX24.AJA</f>
        <v>0</v>
      </c>
      <c r="X19" cm="1">
        <f t="array" ref="X19">[2]!FRCX24.PRT</f>
        <v>0</v>
      </c>
      <c r="Y19" cm="1">
        <f t="array" ref="Y19">[2]!FRCX24.QTE</f>
        <v>0</v>
      </c>
      <c r="Z19" cm="1">
        <f t="array" ref="Z19">[2]!FRCX24.VPJ</f>
        <v>7607959266.2600002</v>
      </c>
      <c r="AA19" cm="1">
        <f t="array" ref="AA19">[2]!FRCX24.SEM</f>
        <v>0.60150375939849676</v>
      </c>
      <c r="AB19" cm="1">
        <f t="array" ref="AB19">[2]!FRCX24.MES</f>
        <v>-0.88888888888888318</v>
      </c>
      <c r="AC19" cm="1">
        <f t="array" ref="AC19">[2]!FRCX24.3M</f>
        <v>0.75301204819276835</v>
      </c>
      <c r="AD19" cm="1">
        <f t="array" ref="AD19">[2]!FRCX24.6M</f>
        <v>3.8819875776397512</v>
      </c>
      <c r="AE19" cm="1">
        <f t="array" ref="AE19">[2]!FRCX24.12M</f>
        <v>1.2102874432677773</v>
      </c>
      <c r="AF19" cm="1">
        <f t="array" ref="AF19">[2]!FRCX24.ANO</f>
        <v>12.060301507537682</v>
      </c>
      <c r="AG19" cm="1">
        <f t="array" ref="AG19">[2]!FRCX24.TRIM</f>
        <v>0.45045045045045418</v>
      </c>
      <c r="AH19" cm="1">
        <f t="array" ref="AH19">[2]!FRCX24.SEMES</f>
        <v>0.45045045045045418</v>
      </c>
      <c r="AI19" t="str" cm="1">
        <f t="array" ref="AI19">[2]!FRCX24.VEN</f>
        <v>01/11/2024</v>
      </c>
      <c r="AJ19" t="str" cm="1">
        <f t="array" ref="AJ19">[2]!FRCX24.VAL</f>
        <v>26/09/2024</v>
      </c>
      <c r="AK19" cm="1">
        <f t="array" ref="AK19">[2]!FRCX24.CAB</f>
        <v>0</v>
      </c>
      <c r="AL19" t="str" cm="1">
        <f t="array" ref="AL19">[2]!FRCX24.EST</f>
        <v>Inibido</v>
      </c>
      <c r="AM19" cm="1">
        <f t="array" ref="AM19">[2]!FRCX24.BLACK</f>
        <v>0</v>
      </c>
      <c r="AN19" cm="1">
        <f t="array" ref="AN19">[2]!FRCX24.IMPVT</f>
        <v>0</v>
      </c>
      <c r="AO19" cm="1">
        <f t="array" ref="AO19">[2]!FRCX24.DELTA</f>
        <v>0</v>
      </c>
      <c r="AP19" cm="1">
        <f t="array" ref="AP19">[2]!FRCX24.GAMA</f>
        <v>0</v>
      </c>
      <c r="AQ19" cm="1">
        <f t="array" ref="AQ19">[2]!FRCX24.THETA</f>
        <v>0</v>
      </c>
      <c r="AR19" cm="1">
        <f t="array" ref="AR19">[2]!FRCX24.RHO</f>
        <v>0</v>
      </c>
      <c r="AS19" cm="1">
        <f t="array" ref="AS19">[2]!FRCX24.VEGA</f>
        <v>0</v>
      </c>
      <c r="AT19" cm="1">
        <f t="array" ref="AT19">[2]!FRCX24.VIA</f>
        <v>0</v>
      </c>
      <c r="AU19" cm="1">
        <f t="array" ref="AU19">[2]!FRCX24.VIB</f>
        <v>0</v>
      </c>
      <c r="AV19" cm="1">
        <f t="array" ref="AV19">[2]!FRCX24.DOBRAR</f>
        <v>0</v>
      </c>
      <c r="AW19" cm="1">
        <f t="array" ref="AW19">[2]!FRCX24.VIVH</f>
        <v>0</v>
      </c>
      <c r="AX19" cm="1">
        <f t="array" ref="AX19">[2]!FRCX24.VINT</f>
        <v>0</v>
      </c>
      <c r="AY19" cm="1">
        <f t="array" ref="AY19">[2]!FRCX24.VEXT</f>
        <v>0</v>
      </c>
      <c r="AZ19" t="str" cm="1">
        <f t="array" ref="AZ19">[2]!FRCX24.3</f>
        <v>6,67</v>
      </c>
      <c r="BA19" t="str" cm="1">
        <f t="array" ref="BA19">[2]!FRCX24.103</f>
        <v>300,00</v>
      </c>
    </row>
    <row r="20" spans="1:53" x14ac:dyDescent="0.25">
      <c r="A20" t="s">
        <v>85</v>
      </c>
      <c r="B20" t="str" cm="1">
        <f t="array" ref="B20">[2]!FRCZ24.DAT</f>
        <v>12/09/2024</v>
      </c>
      <c r="C20" t="str" cm="1">
        <f t="array" ref="C20">[2]!FRCZ24.HOR</f>
        <v>16:12:16</v>
      </c>
      <c r="D20" cm="1">
        <f t="array" ref="D20">[2]!FRCZ24.ULT</f>
        <v>6.16</v>
      </c>
      <c r="E20" cm="1">
        <f t="array" ref="E20">[2]!FRCZ24.ABE</f>
        <v>6.15</v>
      </c>
      <c r="F20" cm="1">
        <f t="array" ref="F20">[2]!FRCZ24.MAX</f>
        <v>6.19</v>
      </c>
      <c r="G20" cm="1">
        <f t="array" ref="G20">[2]!FRCZ24.MIN</f>
        <v>6.15</v>
      </c>
      <c r="H20" cm="1">
        <f t="array" ref="H20">[2]!FRCZ24.FEC</f>
        <v>6.15</v>
      </c>
      <c r="I20" cm="1">
        <f t="array" ref="I20">[2]!FRCZ24.PEX</f>
        <v>0</v>
      </c>
      <c r="J20" cm="1">
        <f t="array" ref="J20">[2]!FRCZ24.VAR</f>
        <v>0.1626016260162686</v>
      </c>
      <c r="K20" cm="1">
        <f t="array" ref="K20">[2]!FRCZ24.VARPTS</f>
        <v>9.9999999999997868E-3</v>
      </c>
      <c r="L20" cm="1">
        <f t="array" ref="L20">[2]!FRCZ24.MED</f>
        <v>6.1625000000000005</v>
      </c>
      <c r="M20" t="s">
        <v>84</v>
      </c>
      <c r="N20" cm="1">
        <f t="array" ref="N20">[2]!FRCZ24.NEG</f>
        <v>20</v>
      </c>
      <c r="O20" cm="1">
        <f t="array" ref="O20">[2]!FRCZ24.QUL</f>
        <v>270</v>
      </c>
      <c r="P20" cm="1">
        <f t="array" ref="P20">[2]!FRCZ24.QTT</f>
        <v>14422</v>
      </c>
      <c r="Q20" cm="1">
        <f t="array" ref="Q20">[2]!FRCZ24.VOL</f>
        <v>716199357.65999997</v>
      </c>
      <c r="R20" cm="1">
        <f t="array" ref="R20">[2]!FRCZ24.OCP</f>
        <v>6.16</v>
      </c>
      <c r="S20" cm="1">
        <f t="array" ref="S20">[2]!FRCZ24.OVD</f>
        <v>6.17</v>
      </c>
      <c r="T20" cm="1">
        <f t="array" ref="T20">[2]!FRCZ24.VOC</f>
        <v>1730</v>
      </c>
      <c r="U20" cm="1">
        <f t="array" ref="U20">[2]!FRCZ24.VOV</f>
        <v>1000</v>
      </c>
      <c r="V20" cm="1">
        <f t="array" ref="V20">[2]!FRCZ24.AJU</f>
        <v>6.16</v>
      </c>
      <c r="W20" cm="1">
        <f t="array" ref="W20">[2]!FRCZ24.AJA</f>
        <v>6.15</v>
      </c>
      <c r="X20" cm="1">
        <f t="array" ref="X20">[2]!FRCZ24.PRT</f>
        <v>0</v>
      </c>
      <c r="Y20" cm="1">
        <f t="array" ref="Y20">[2]!FRCZ24.QTE</f>
        <v>0</v>
      </c>
      <c r="Z20" cm="1">
        <f t="array" ref="Z20">[2]!FRCZ24.VPJ</f>
        <v>716199357.65999997</v>
      </c>
      <c r="AA20" cm="1">
        <f t="array" ref="AA20">[2]!FRCZ24.SEM</f>
        <v>0.16260162601625669</v>
      </c>
      <c r="AB20" cm="1">
        <f t="array" ref="AB20">[2]!FRCZ24.MES</f>
        <v>-0.80515297906601968</v>
      </c>
      <c r="AC20" cm="1">
        <f t="array" ref="AC20">[2]!FRCZ24.3M</f>
        <v>-5.6661562021439522</v>
      </c>
      <c r="AD20" cm="1">
        <f t="array" ref="AD20">[2]!FRCZ24.6M</f>
        <v>-2.9921259842519743</v>
      </c>
      <c r="AE20" cm="1">
        <f t="array" ref="AE20">[2]!FRCZ24.12M</f>
        <v>-1.5974440894568773</v>
      </c>
      <c r="AF20" cm="1">
        <f t="array" ref="AF20">[2]!FRCZ24.ANO</f>
        <v>4.5840407470288547</v>
      </c>
      <c r="AG20" cm="1">
        <f t="array" ref="AG20">[2]!FRCZ24.TRIM</f>
        <v>-5.2307692307692282</v>
      </c>
      <c r="AH20" cm="1">
        <f t="array" ref="AH20">[2]!FRCZ24.SEMES</f>
        <v>-5.2307692307692282</v>
      </c>
      <c r="AI20" t="str" cm="1">
        <f t="array" ref="AI20">[2]!FRCZ24.VEN</f>
        <v>02/12/2024</v>
      </c>
      <c r="AJ20" t="str" cm="1">
        <f t="array" ref="AJ20">[2]!FRCZ24.VAL</f>
        <v>29/10/2024</v>
      </c>
      <c r="AK20" cm="1">
        <f t="array" ref="AK20">[2]!FRCZ24.CAB</f>
        <v>0</v>
      </c>
      <c r="AL20" t="str" cm="1">
        <f t="array" ref="AL20">[2]!FRCZ24.EST</f>
        <v>Inibido</v>
      </c>
      <c r="AM20" cm="1">
        <f t="array" ref="AM20">[2]!FRCZ24.BLACK</f>
        <v>0</v>
      </c>
      <c r="AN20" cm="1">
        <f t="array" ref="AN20">[2]!FRCZ24.IMPVT</f>
        <v>0</v>
      </c>
      <c r="AO20" cm="1">
        <f t="array" ref="AO20">[2]!FRCZ24.DELTA</f>
        <v>0</v>
      </c>
      <c r="AP20" cm="1">
        <f t="array" ref="AP20">[2]!FRCZ24.GAMA</f>
        <v>0</v>
      </c>
      <c r="AQ20" cm="1">
        <f t="array" ref="AQ20">[2]!FRCZ24.THETA</f>
        <v>0</v>
      </c>
      <c r="AR20" cm="1">
        <f t="array" ref="AR20">[2]!FRCZ24.RHO</f>
        <v>0</v>
      </c>
      <c r="AS20" cm="1">
        <f t="array" ref="AS20">[2]!FRCZ24.VEGA</f>
        <v>0</v>
      </c>
      <c r="AT20" cm="1">
        <f t="array" ref="AT20">[2]!FRCZ24.VIA</f>
        <v>0</v>
      </c>
      <c r="AU20" cm="1">
        <f t="array" ref="AU20">[2]!FRCZ24.VIB</f>
        <v>0</v>
      </c>
      <c r="AV20" cm="1">
        <f t="array" ref="AV20">[2]!FRCZ24.DOBRAR</f>
        <v>0</v>
      </c>
      <c r="AW20" cm="1">
        <f t="array" ref="AW20">[2]!FRCZ24.VIVH</f>
        <v>0</v>
      </c>
      <c r="AX20" cm="1">
        <f t="array" ref="AX20">[2]!FRCZ24.VINT</f>
        <v>0</v>
      </c>
      <c r="AY20" cm="1">
        <f t="array" ref="AY20">[2]!FRCZ24.VEXT</f>
        <v>0</v>
      </c>
      <c r="AZ20" t="str" cm="1">
        <f t="array" ref="AZ20">[2]!FRCZ24.3</f>
        <v>6,16</v>
      </c>
      <c r="BA20" t="str" cm="1">
        <f t="array" ref="BA20">[2]!FRCZ24.103</f>
        <v>500,00</v>
      </c>
    </row>
    <row r="21" spans="1:53" x14ac:dyDescent="0.25">
      <c r="A21" t="s">
        <v>86</v>
      </c>
      <c r="B21" t="str" cm="1">
        <f t="array" ref="B21">[2]!FRCF25.DAT</f>
        <v>12/09/2024</v>
      </c>
      <c r="C21" t="str" cm="1">
        <f t="array" ref="C21">[2]!FRCF25.HOR</f>
        <v>16:14:42</v>
      </c>
      <c r="D21" cm="1">
        <f t="array" ref="D21">[2]!FRCF25.ULT</f>
        <v>6.24</v>
      </c>
      <c r="E21" cm="1">
        <f t="array" ref="E21">[2]!FRCF25.ABE</f>
        <v>6.23</v>
      </c>
      <c r="F21" cm="1">
        <f t="array" ref="F21">[2]!FRCF25.MAX</f>
        <v>6.26</v>
      </c>
      <c r="G21" cm="1">
        <f t="array" ref="G21">[2]!FRCF25.MIN</f>
        <v>6.23</v>
      </c>
      <c r="H21" cm="1">
        <f t="array" ref="H21">[2]!FRCF25.FEC</f>
        <v>6.23</v>
      </c>
      <c r="I21" cm="1">
        <f t="array" ref="I21">[2]!FRCF25.PEX</f>
        <v>0</v>
      </c>
      <c r="J21" cm="1">
        <f t="array" ref="J21">[2]!FRCF25.VAR</f>
        <v>0.16051364365969789</v>
      </c>
      <c r="K21" cm="1">
        <f t="array" ref="K21">[2]!FRCF25.VARPTS</f>
        <v>9.9999999999997868E-3</v>
      </c>
      <c r="L21" cm="1">
        <f t="array" ref="L21">[2]!FRCF25.MED</f>
        <v>6.24</v>
      </c>
      <c r="M21" t="s">
        <v>84</v>
      </c>
      <c r="N21" cm="1">
        <f t="array" ref="N21">[2]!FRCF25.NEG</f>
        <v>13</v>
      </c>
      <c r="O21" cm="1">
        <f t="array" ref="O21">[2]!FRCF25.QUL</f>
        <v>260</v>
      </c>
      <c r="P21" cm="1">
        <f t="array" ref="P21">[2]!FRCF25.QTT</f>
        <v>14563</v>
      </c>
      <c r="Q21" cm="1">
        <f t="array" ref="Q21">[2]!FRCF25.VOL</f>
        <v>1752331417.0899999</v>
      </c>
      <c r="R21" cm="1">
        <f t="array" ref="R21">[2]!FRCF25.OCP</f>
        <v>6.23</v>
      </c>
      <c r="S21" cm="1">
        <f t="array" ref="S21">[2]!FRCF25.OVD</f>
        <v>6.24</v>
      </c>
      <c r="T21" cm="1">
        <f t="array" ref="T21">[2]!FRCF25.VOC</f>
        <v>2200</v>
      </c>
      <c r="U21" cm="1">
        <f t="array" ref="U21">[2]!FRCF25.VOV</f>
        <v>1740</v>
      </c>
      <c r="V21" cm="1">
        <f t="array" ref="V21">[2]!FRCF25.AJU</f>
        <v>6.24</v>
      </c>
      <c r="W21" cm="1">
        <f t="array" ref="W21">[2]!FRCF25.AJA</f>
        <v>6.23</v>
      </c>
      <c r="X21" cm="1">
        <f t="array" ref="X21">[2]!FRCF25.PRT</f>
        <v>0</v>
      </c>
      <c r="Y21" cm="1">
        <f t="array" ref="Y21">[2]!FRCF25.QTE</f>
        <v>0</v>
      </c>
      <c r="Z21" cm="1">
        <f t="array" ref="Z21">[2]!FRCF25.VPJ</f>
        <v>1752331417.0899999</v>
      </c>
      <c r="AA21" cm="1">
        <f t="array" ref="AA21">[2]!FRCF25.SEM</f>
        <v>0.4830917874396175</v>
      </c>
      <c r="AB21" cm="1">
        <f t="array" ref="AB21">[2]!FRCF25.MES</f>
        <v>-1.2658227848101276</v>
      </c>
      <c r="AC21" cm="1">
        <f t="array" ref="AC21">[2]!FRCF25.3M</f>
        <v>-5.0228310502283113</v>
      </c>
      <c r="AD21" cm="1">
        <f t="array" ref="AD21">[2]!FRCF25.6M</f>
        <v>-1.577287066246065</v>
      </c>
      <c r="AE21" cm="1">
        <f t="array" ref="AE21">[2]!FRCF25.12M</f>
        <v>-5.1671732522796336</v>
      </c>
      <c r="AF21" cm="1">
        <f t="array" ref="AF21">[2]!FRCF25.ANO</f>
        <v>6.3032367972742778</v>
      </c>
      <c r="AG21" cm="1">
        <f t="array" ref="AG21">[2]!FRCF25.TRIM</f>
        <v>-5.5975794251134658</v>
      </c>
      <c r="AH21" cm="1">
        <f t="array" ref="AH21">[2]!FRCF25.SEMES</f>
        <v>-5.5975794251134658</v>
      </c>
      <c r="AI21" t="str" cm="1">
        <f t="array" ref="AI21">[2]!FRCF25.VEN</f>
        <v>02/01/2025</v>
      </c>
      <c r="AJ21" t="str" cm="1">
        <f t="array" ref="AJ21">[2]!FRCF25.VAL</f>
        <v>27/11/2024</v>
      </c>
      <c r="AK21" cm="1">
        <f t="array" ref="AK21">[2]!FRCF25.CAB</f>
        <v>0</v>
      </c>
      <c r="AL21" t="str" cm="1">
        <f t="array" ref="AL21">[2]!FRCF25.EST</f>
        <v>Inibido</v>
      </c>
      <c r="AM21" cm="1">
        <f t="array" ref="AM21">[2]!FRCF25.BLACK</f>
        <v>0</v>
      </c>
      <c r="AN21" cm="1">
        <f t="array" ref="AN21">[2]!FRCF25.IMPVT</f>
        <v>0</v>
      </c>
      <c r="AO21" cm="1">
        <f t="array" ref="AO21">[2]!FRCF25.DELTA</f>
        <v>0</v>
      </c>
      <c r="AP21" cm="1">
        <f t="array" ref="AP21">[2]!FRCF25.GAMA</f>
        <v>0</v>
      </c>
      <c r="AQ21" cm="1">
        <f t="array" ref="AQ21">[2]!FRCF25.THETA</f>
        <v>0</v>
      </c>
      <c r="AR21" cm="1">
        <f t="array" ref="AR21">[2]!FRCF25.RHO</f>
        <v>0</v>
      </c>
      <c r="AS21" cm="1">
        <f t="array" ref="AS21">[2]!FRCF25.VEGA</f>
        <v>0</v>
      </c>
      <c r="AT21" cm="1">
        <f t="array" ref="AT21">[2]!FRCF25.VIA</f>
        <v>0</v>
      </c>
      <c r="AU21" cm="1">
        <f t="array" ref="AU21">[2]!FRCF25.VIB</f>
        <v>0</v>
      </c>
      <c r="AV21" cm="1">
        <f t="array" ref="AV21">[2]!FRCF25.DOBRAR</f>
        <v>0</v>
      </c>
      <c r="AW21" cm="1">
        <f t="array" ref="AW21">[2]!FRCF25.VIVH</f>
        <v>0</v>
      </c>
      <c r="AX21" cm="1">
        <f t="array" ref="AX21">[2]!FRCF25.VINT</f>
        <v>0</v>
      </c>
      <c r="AY21" cm="1">
        <f t="array" ref="AY21">[2]!FRCF25.VEXT</f>
        <v>0</v>
      </c>
      <c r="AZ21" t="str" cm="1">
        <f t="array" ref="AZ21">[2]!FRCF25.3</f>
        <v>6,24</v>
      </c>
      <c r="BA21" t="str" cm="1">
        <f t="array" ref="BA21">[2]!FRCF25.103</f>
        <v>0,00</v>
      </c>
    </row>
    <row r="22" spans="1:53" x14ac:dyDescent="0.25">
      <c r="A22" t="s">
        <v>87</v>
      </c>
      <c r="B22" t="str" cm="1">
        <f t="array" ref="B22">[2]!FRCG25.DAT</f>
        <v>12/09/2024</v>
      </c>
      <c r="C22" t="str" cm="1">
        <f t="array" ref="C22">[2]!FRCG25.HOR</f>
        <v>16:14:51</v>
      </c>
      <c r="D22" cm="1">
        <f t="array" ref="D22">[2]!FRCG25.ULT</f>
        <v>6.14</v>
      </c>
      <c r="E22" cm="1">
        <f t="array" ref="E22">[2]!FRCG25.ABE</f>
        <v>6.14</v>
      </c>
      <c r="F22" cm="1">
        <f t="array" ref="F22">[2]!FRCG25.MAX</f>
        <v>6.14</v>
      </c>
      <c r="G22" cm="1">
        <f t="array" ref="G22">[2]!FRCG25.MIN</f>
        <v>6.14</v>
      </c>
      <c r="H22" cm="1">
        <f t="array" ref="H22">[2]!FRCG25.FEC</f>
        <v>6.1400000000000006</v>
      </c>
      <c r="I22" cm="1">
        <f t="array" ref="I22">[2]!FRCG25.PEX</f>
        <v>0</v>
      </c>
      <c r="J22" cm="1">
        <f t="array" ref="J22">[2]!FRCG25.VAR</f>
        <v>0</v>
      </c>
      <c r="K22" cm="1">
        <f t="array" ref="K22">[2]!FRCG25.VARPTS</f>
        <v>-8.8817841970012523E-16</v>
      </c>
      <c r="L22" cm="1">
        <f t="array" ref="L22">[2]!FRCG25.MED</f>
        <v>6.14</v>
      </c>
      <c r="M22" t="s">
        <v>84</v>
      </c>
      <c r="N22" cm="1">
        <f t="array" ref="N22">[2]!FRCG25.NEG</f>
        <v>14</v>
      </c>
      <c r="O22" cm="1">
        <f t="array" ref="O22">[2]!FRCG25.QUL</f>
        <v>130</v>
      </c>
      <c r="P22" cm="1">
        <f t="array" ref="P22">[2]!FRCG25.QTT</f>
        <v>16367</v>
      </c>
      <c r="Q22" cm="1">
        <f t="array" ref="Q22">[2]!FRCG25.VOL</f>
        <v>808506893.50999999</v>
      </c>
      <c r="R22" cm="1">
        <f t="array" ref="R22">[2]!FRCG25.OCP</f>
        <v>6.1400000000000006</v>
      </c>
      <c r="S22" cm="1">
        <f t="array" ref="S22">[2]!FRCG25.OVD</f>
        <v>0</v>
      </c>
      <c r="T22" cm="1">
        <f t="array" ref="T22">[2]!FRCG25.VOC</f>
        <v>6070</v>
      </c>
      <c r="U22" cm="1">
        <f t="array" ref="U22">[2]!FRCG25.VOV</f>
        <v>0</v>
      </c>
      <c r="V22" cm="1">
        <f t="array" ref="V22">[2]!FRCG25.AJU</f>
        <v>6.14</v>
      </c>
      <c r="W22" cm="1">
        <f t="array" ref="W22">[2]!FRCG25.AJA</f>
        <v>0</v>
      </c>
      <c r="X22" cm="1">
        <f t="array" ref="X22">[2]!FRCG25.PRT</f>
        <v>0</v>
      </c>
      <c r="Y22" cm="1">
        <f t="array" ref="Y22">[2]!FRCG25.QTE</f>
        <v>0</v>
      </c>
      <c r="Z22" cm="1">
        <f t="array" ref="Z22">[2]!FRCG25.VPJ</f>
        <v>808506893.50999999</v>
      </c>
      <c r="AA22" cm="1">
        <f t="array" ref="AA22">[2]!FRCG25.SEM</f>
        <v>0.32679738562090804</v>
      </c>
      <c r="AB22" cm="1">
        <f t="array" ref="AB22">[2]!FRCG25.MES</f>
        <v>-2.0733652312599804</v>
      </c>
      <c r="AC22" cm="1">
        <f t="array" ref="AC22">[2]!FRCG25.3M</f>
        <v>-6.5449010654490198</v>
      </c>
      <c r="AD22" cm="1">
        <f t="array" ref="AD22">[2]!FRCG25.6M</f>
        <v>-2.3847376788553318</v>
      </c>
      <c r="AE22" cm="1">
        <f t="array" ref="AE22">[2]!FRCG25.12M</f>
        <v>7.9086115992970001</v>
      </c>
      <c r="AF22" cm="1">
        <f t="array" ref="AF22">[2]!FRCG25.ANO</f>
        <v>7.9086115992970001</v>
      </c>
      <c r="AG22" cm="1">
        <f t="array" ref="AG22">[2]!FRCG25.TRIM</f>
        <v>-7.1104387291981945</v>
      </c>
      <c r="AH22" cm="1">
        <f t="array" ref="AH22">[2]!FRCG25.SEMES</f>
        <v>-7.1104387291981945</v>
      </c>
      <c r="AI22" t="str" cm="1">
        <f t="array" ref="AI22">[2]!FRCG25.VEN</f>
        <v>03/02/2025</v>
      </c>
      <c r="AJ22" t="str" cm="1">
        <f t="array" ref="AJ22">[2]!FRCG25.VAL</f>
        <v>26/12/2024</v>
      </c>
      <c r="AK22" cm="1">
        <f t="array" ref="AK22">[2]!FRCG25.CAB</f>
        <v>0</v>
      </c>
      <c r="AL22" t="str" cm="1">
        <f t="array" ref="AL22">[2]!FRCG25.EST</f>
        <v>Inibido</v>
      </c>
      <c r="AM22" cm="1">
        <f t="array" ref="AM22">[2]!FRCG25.BLACK</f>
        <v>0</v>
      </c>
      <c r="AN22" cm="1">
        <f t="array" ref="AN22">[2]!FRCG25.IMPVT</f>
        <v>0</v>
      </c>
      <c r="AO22" cm="1">
        <f t="array" ref="AO22">[2]!FRCG25.DELTA</f>
        <v>0</v>
      </c>
      <c r="AP22" cm="1">
        <f t="array" ref="AP22">[2]!FRCG25.GAMA</f>
        <v>0</v>
      </c>
      <c r="AQ22" cm="1">
        <f t="array" ref="AQ22">[2]!FRCG25.THETA</f>
        <v>0</v>
      </c>
      <c r="AR22" cm="1">
        <f t="array" ref="AR22">[2]!FRCG25.RHO</f>
        <v>0</v>
      </c>
      <c r="AS22" cm="1">
        <f t="array" ref="AS22">[2]!FRCG25.VEGA</f>
        <v>0</v>
      </c>
      <c r="AT22" cm="1">
        <f t="array" ref="AT22">[2]!FRCG25.VIA</f>
        <v>0</v>
      </c>
      <c r="AU22" cm="1">
        <f t="array" ref="AU22">[2]!FRCG25.VIB</f>
        <v>0</v>
      </c>
      <c r="AV22" cm="1">
        <f t="array" ref="AV22">[2]!FRCG25.DOBRAR</f>
        <v>0</v>
      </c>
      <c r="AW22" cm="1">
        <f t="array" ref="AW22">[2]!FRCG25.VIVH</f>
        <v>0</v>
      </c>
      <c r="AX22" cm="1">
        <f t="array" ref="AX22">[2]!FRCG25.VINT</f>
        <v>0</v>
      </c>
      <c r="AY22" cm="1">
        <f t="array" ref="AY22">[2]!FRCG25.VEXT</f>
        <v>0</v>
      </c>
      <c r="AZ22" t="str" cm="1">
        <f t="array" ref="AZ22">[2]!FRCG25.3</f>
        <v>6,17</v>
      </c>
      <c r="BA22" t="str" cm="1">
        <f t="array" ref="BA22">[2]!FRCG25.103</f>
        <v>0,00</v>
      </c>
    </row>
    <row r="23" spans="1:53" x14ac:dyDescent="0.25">
      <c r="A23" t="s">
        <v>88</v>
      </c>
      <c r="B23" t="str" cm="1">
        <f t="array" ref="B23">[2]!FRCH25.DAT</f>
        <v>12/09/2024</v>
      </c>
      <c r="C23" t="str" cm="1">
        <f t="array" ref="C23">[2]!FRCH25.HOR</f>
        <v>16:17:14</v>
      </c>
      <c r="D23" cm="1">
        <f t="array" ref="D23">[2]!FRCH25.ULT</f>
        <v>6.03</v>
      </c>
      <c r="E23" cm="1">
        <f t="array" ref="E23">[2]!FRCH25.ABE</f>
        <v>6.06</v>
      </c>
      <c r="F23" cm="1">
        <f t="array" ref="F23">[2]!FRCH25.MAX</f>
        <v>6.06</v>
      </c>
      <c r="G23" cm="1">
        <f t="array" ref="G23">[2]!FRCH25.MIN</f>
        <v>6.03</v>
      </c>
      <c r="H23" cm="1">
        <f t="array" ref="H23">[2]!FRCH25.FEC</f>
        <v>6.03</v>
      </c>
      <c r="I23" cm="1">
        <f t="array" ref="I23">[2]!FRCH25.PEX</f>
        <v>0</v>
      </c>
      <c r="J23" cm="1">
        <f t="array" ref="J23">[2]!FRCH25.VAR</f>
        <v>0</v>
      </c>
      <c r="K23" cm="1">
        <f t="array" ref="K23">[2]!FRCH25.VARPTS</f>
        <v>0</v>
      </c>
      <c r="L23" cm="1">
        <f t="array" ref="L23">[2]!FRCH25.MED</f>
        <v>6.0449999999999999</v>
      </c>
      <c r="M23" t="s">
        <v>84</v>
      </c>
      <c r="N23" cm="1">
        <f t="array" ref="N23">[2]!FRCH25.NEG</f>
        <v>20</v>
      </c>
      <c r="O23" cm="1">
        <f t="array" ref="O23">[2]!FRCH25.QUL</f>
        <v>500</v>
      </c>
      <c r="P23" cm="1">
        <f t="array" ref="P23">[2]!FRCH25.QTT</f>
        <v>28235</v>
      </c>
      <c r="Q23" cm="1">
        <f t="array" ref="Q23">[2]!FRCH25.VOL</f>
        <v>1391572163.1500001</v>
      </c>
      <c r="R23" cm="1">
        <f t="array" ref="R23">[2]!FRCH25.OCP</f>
        <v>6.03</v>
      </c>
      <c r="S23" cm="1">
        <f t="array" ref="S23">[2]!FRCH25.OVD</f>
        <v>6.04</v>
      </c>
      <c r="T23" cm="1">
        <f t="array" ref="T23">[2]!FRCH25.VOC</f>
        <v>3370</v>
      </c>
      <c r="U23" cm="1">
        <f t="array" ref="U23">[2]!FRCH25.VOV</f>
        <v>1000</v>
      </c>
      <c r="V23" cm="1">
        <f t="array" ref="V23">[2]!FRCH25.AJU</f>
        <v>6.03</v>
      </c>
      <c r="W23" cm="1">
        <f t="array" ref="W23">[2]!FRCH25.AJA</f>
        <v>0</v>
      </c>
      <c r="X23" cm="1">
        <f t="array" ref="X23">[2]!FRCH25.PRT</f>
        <v>0</v>
      </c>
      <c r="Y23" cm="1">
        <f t="array" ref="Y23">[2]!FRCH25.QTE</f>
        <v>0</v>
      </c>
      <c r="Z23" cm="1">
        <f t="array" ref="Z23">[2]!FRCH25.VPJ</f>
        <v>1391572163.1500001</v>
      </c>
      <c r="AA23" cm="1">
        <f t="array" ref="AA23">[2]!FRCH25.SEM</f>
        <v>0.66777963272120255</v>
      </c>
      <c r="AB23" cm="1">
        <f t="array" ref="AB23">[2]!FRCH25.MES</f>
        <v>-2.2690437601296543</v>
      </c>
      <c r="AC23" cm="1">
        <f t="array" ref="AC23">[2]!FRCH25.3M</f>
        <v>-7.6569678407350681</v>
      </c>
      <c r="AD23" cm="1">
        <f t="array" ref="AD23">[2]!FRCH25.6M</f>
        <v>-3.519999999999996</v>
      </c>
      <c r="AE23" cm="1">
        <f t="array" ref="AE23">[2]!FRCH25.12M</f>
        <v>-1.6313213703099454</v>
      </c>
      <c r="AF23" cm="1">
        <f t="array" ref="AF23">[2]!FRCH25.ANO</f>
        <v>-1.6313213703099454</v>
      </c>
      <c r="AG23" cm="1">
        <f t="array" ref="AG23">[2]!FRCH25.TRIM</f>
        <v>-7.6569678407350681</v>
      </c>
      <c r="AH23" cm="1">
        <f t="array" ref="AH23">[2]!FRCH25.SEMES</f>
        <v>-7.6569678407350681</v>
      </c>
      <c r="AI23" t="str" cm="1">
        <f t="array" ref="AI23">[2]!FRCH25.VEN</f>
        <v>05/03/2025</v>
      </c>
      <c r="AJ23" t="str" cm="1">
        <f t="array" ref="AJ23">[2]!FRCH25.VAL</f>
        <v>29/01/2025</v>
      </c>
      <c r="AK23" cm="1">
        <f t="array" ref="AK23">[2]!FRCH25.CAB</f>
        <v>0</v>
      </c>
      <c r="AL23" t="str" cm="1">
        <f t="array" ref="AL23">[2]!FRCH25.EST</f>
        <v>Inibido</v>
      </c>
      <c r="AM23" cm="1">
        <f t="array" ref="AM23">[2]!FRCH25.BLACK</f>
        <v>0</v>
      </c>
      <c r="AN23" cm="1">
        <f t="array" ref="AN23">[2]!FRCH25.IMPVT</f>
        <v>0</v>
      </c>
      <c r="AO23" cm="1">
        <f t="array" ref="AO23">[2]!FRCH25.DELTA</f>
        <v>0</v>
      </c>
      <c r="AP23" cm="1">
        <f t="array" ref="AP23">[2]!FRCH25.GAMA</f>
        <v>0</v>
      </c>
      <c r="AQ23" cm="1">
        <f t="array" ref="AQ23">[2]!FRCH25.THETA</f>
        <v>0</v>
      </c>
      <c r="AR23" cm="1">
        <f t="array" ref="AR23">[2]!FRCH25.RHO</f>
        <v>0</v>
      </c>
      <c r="AS23" cm="1">
        <f t="array" ref="AS23">[2]!FRCH25.VEGA</f>
        <v>0</v>
      </c>
      <c r="AT23" cm="1">
        <f t="array" ref="AT23">[2]!FRCH25.VIA</f>
        <v>0</v>
      </c>
      <c r="AU23" cm="1">
        <f t="array" ref="AU23">[2]!FRCH25.VIB</f>
        <v>0</v>
      </c>
      <c r="AV23" cm="1">
        <f t="array" ref="AV23">[2]!FRCH25.DOBRAR</f>
        <v>0</v>
      </c>
      <c r="AW23" cm="1">
        <f t="array" ref="AW23">[2]!FRCH25.VIVH</f>
        <v>0</v>
      </c>
      <c r="AX23" cm="1">
        <f t="array" ref="AX23">[2]!FRCH25.VINT</f>
        <v>0</v>
      </c>
      <c r="AY23" cm="1">
        <f t="array" ref="AY23">[2]!FRCH25.VEXT</f>
        <v>0</v>
      </c>
      <c r="AZ23" t="str" cm="1">
        <f t="array" ref="AZ23">[2]!FRCH25.3</f>
        <v>6,06</v>
      </c>
      <c r="BA23" t="str" cm="1">
        <f t="array" ref="BA23">[2]!FRCH25.103</f>
        <v>-340,00</v>
      </c>
    </row>
    <row r="24" spans="1:53" x14ac:dyDescent="0.25">
      <c r="A24" t="s">
        <v>89</v>
      </c>
      <c r="B24" t="str" cm="1">
        <f t="array" ref="B24">[2]!FRCJ25.DAT</f>
        <v>12/09/2024</v>
      </c>
      <c r="C24" t="str" cm="1">
        <f t="array" ref="C24">[2]!FRCJ25.HOR</f>
        <v>16:17:12</v>
      </c>
      <c r="D24" cm="1">
        <f t="array" ref="D24">[2]!FRCJ25.ULT</f>
        <v>5.92</v>
      </c>
      <c r="E24" cm="1">
        <f t="array" ref="E24">[2]!FRCJ25.ABE</f>
        <v>5.93</v>
      </c>
      <c r="F24" cm="1">
        <f t="array" ref="F24">[2]!FRCJ25.MAX</f>
        <v>5.95</v>
      </c>
      <c r="G24" cm="1">
        <f t="array" ref="G24">[2]!FRCJ25.MIN</f>
        <v>5.92</v>
      </c>
      <c r="H24" cm="1">
        <f t="array" ref="H24">[2]!FRCJ25.FEC</f>
        <v>5.9300000000000006</v>
      </c>
      <c r="I24" cm="1">
        <f t="array" ref="I24">[2]!FRCJ25.PEX</f>
        <v>0</v>
      </c>
      <c r="J24" cm="1">
        <f t="array" ref="J24">[2]!FRCJ25.VAR</f>
        <v>-0.16863406408094761</v>
      </c>
      <c r="K24" cm="1">
        <f t="array" ref="K24">[2]!FRCJ25.VARPTS</f>
        <v>-1.0000000000000675E-2</v>
      </c>
      <c r="L24" cm="1">
        <f t="array" ref="L24">[2]!FRCJ25.MED</f>
        <v>5.93</v>
      </c>
      <c r="M24" t="s">
        <v>84</v>
      </c>
      <c r="N24" cm="1">
        <f t="array" ref="N24">[2]!FRCJ25.NEG</f>
        <v>12</v>
      </c>
      <c r="O24" cm="1">
        <f t="array" ref="O24">[2]!FRCJ25.QUL</f>
        <v>90</v>
      </c>
      <c r="P24" cm="1">
        <f t="array" ref="P24">[2]!FRCJ25.QTT</f>
        <v>11823</v>
      </c>
      <c r="Q24" cm="1">
        <f t="array" ref="Q24">[2]!FRCJ25.VOL</f>
        <v>581582996.19000006</v>
      </c>
      <c r="R24" cm="1">
        <f t="array" ref="R24">[2]!FRCJ25.OCP</f>
        <v>5.92</v>
      </c>
      <c r="S24" cm="1">
        <f t="array" ref="S24">[2]!FRCJ25.OVD</f>
        <v>5.93</v>
      </c>
      <c r="T24" cm="1">
        <f t="array" ref="T24">[2]!FRCJ25.VOC</f>
        <v>410</v>
      </c>
      <c r="U24" cm="1">
        <f t="array" ref="U24">[2]!FRCJ25.VOV</f>
        <v>2000</v>
      </c>
      <c r="V24" cm="1">
        <f t="array" ref="V24">[2]!FRCJ25.AJU</f>
        <v>5.92</v>
      </c>
      <c r="W24" cm="1">
        <f t="array" ref="W24">[2]!FRCJ25.AJA</f>
        <v>0</v>
      </c>
      <c r="X24" cm="1">
        <f t="array" ref="X24">[2]!FRCJ25.PRT</f>
        <v>0</v>
      </c>
      <c r="Y24" cm="1">
        <f t="array" ref="Y24">[2]!FRCJ25.QTE</f>
        <v>0</v>
      </c>
      <c r="Z24" cm="1">
        <f t="array" ref="Z24">[2]!FRCJ25.VPJ</f>
        <v>581582996.19000006</v>
      </c>
      <c r="AA24" cm="1">
        <f t="array" ref="AA24">[2]!FRCJ25.SEM</f>
        <v>0.50933786078097387</v>
      </c>
      <c r="AB24" cm="1">
        <f t="array" ref="AB24">[2]!FRCJ25.MES</f>
        <v>-2.7914614121510661</v>
      </c>
      <c r="AC24" cm="1">
        <f t="array" ref="AC24">[2]!FRCJ25.3M</f>
        <v>-9.0629800307219774</v>
      </c>
      <c r="AD24" cm="1">
        <f t="array" ref="AD24">[2]!FRCJ25.6M</f>
        <v>-4.6698872785829311</v>
      </c>
      <c r="AE24" cm="1">
        <f t="array" ref="AE24">[2]!FRCJ25.12M</f>
        <v>-8.0745341614906909</v>
      </c>
      <c r="AF24" cm="1">
        <f t="array" ref="AF24">[2]!FRCJ25.ANO</f>
        <v>4.409171075837742</v>
      </c>
      <c r="AG24" cm="1">
        <f t="array" ref="AG24">[2]!FRCJ25.TRIM</f>
        <v>-10.16691957511382</v>
      </c>
      <c r="AH24" cm="1">
        <f t="array" ref="AH24">[2]!FRCJ25.SEMES</f>
        <v>-10.16691957511382</v>
      </c>
      <c r="AI24" t="str" cm="1">
        <f t="array" ref="AI24">[2]!FRCJ25.VEN</f>
        <v>01/04/2025</v>
      </c>
      <c r="AJ24" t="str" cm="1">
        <f t="array" ref="AJ24">[2]!FRCJ25.VAL</f>
        <v>26/02/2025</v>
      </c>
      <c r="AK24" cm="1">
        <f t="array" ref="AK24">[2]!FRCJ25.CAB</f>
        <v>0</v>
      </c>
      <c r="AL24" t="str" cm="1">
        <f t="array" ref="AL24">[2]!FRCJ25.EST</f>
        <v>Inibido</v>
      </c>
      <c r="AM24" cm="1">
        <f t="array" ref="AM24">[2]!FRCJ25.BLACK</f>
        <v>0</v>
      </c>
      <c r="AN24" cm="1">
        <f t="array" ref="AN24">[2]!FRCJ25.IMPVT</f>
        <v>0</v>
      </c>
      <c r="AO24" cm="1">
        <f t="array" ref="AO24">[2]!FRCJ25.DELTA</f>
        <v>0</v>
      </c>
      <c r="AP24" cm="1">
        <f t="array" ref="AP24">[2]!FRCJ25.GAMA</f>
        <v>0</v>
      </c>
      <c r="AQ24" cm="1">
        <f t="array" ref="AQ24">[2]!FRCJ25.THETA</f>
        <v>0</v>
      </c>
      <c r="AR24" cm="1">
        <f t="array" ref="AR24">[2]!FRCJ25.RHO</f>
        <v>0</v>
      </c>
      <c r="AS24" cm="1">
        <f t="array" ref="AS24">[2]!FRCJ25.VEGA</f>
        <v>0</v>
      </c>
      <c r="AT24" cm="1">
        <f t="array" ref="AT24">[2]!FRCJ25.VIA</f>
        <v>0</v>
      </c>
      <c r="AU24" cm="1">
        <f t="array" ref="AU24">[2]!FRCJ25.VIB</f>
        <v>0</v>
      </c>
      <c r="AV24" cm="1">
        <f t="array" ref="AV24">[2]!FRCJ25.DOBRAR</f>
        <v>0</v>
      </c>
      <c r="AW24" cm="1">
        <f t="array" ref="AW24">[2]!FRCJ25.VIVH</f>
        <v>0</v>
      </c>
      <c r="AX24" cm="1">
        <f t="array" ref="AX24">[2]!FRCJ25.VINT</f>
        <v>0</v>
      </c>
      <c r="AY24" cm="1">
        <f t="array" ref="AY24">[2]!FRCJ25.VEXT</f>
        <v>0</v>
      </c>
      <c r="AZ24" t="str" cm="1">
        <f t="array" ref="AZ24">[2]!FRCJ25.3</f>
        <v>5,96</v>
      </c>
      <c r="BA24" t="str" cm="1">
        <f t="array" ref="BA24">[2]!FRCJ25.103</f>
        <v>0,00</v>
      </c>
    </row>
    <row r="25" spans="1:53" x14ac:dyDescent="0.25">
      <c r="A25" t="s">
        <v>90</v>
      </c>
      <c r="B25" t="str" cm="1">
        <f t="array" ref="B25">[2]!FRCK25.DAT</f>
        <v>12/09/2024</v>
      </c>
      <c r="C25" t="str" cm="1">
        <f t="array" ref="C25">[2]!FRCK25.HOR</f>
        <v>16:19:31</v>
      </c>
      <c r="D25" cm="1">
        <f t="array" ref="D25">[2]!FRCK25.ULT</f>
        <v>5.87</v>
      </c>
      <c r="E25" cm="1">
        <f t="array" ref="E25">[2]!FRCK25.ABE</f>
        <v>5.89</v>
      </c>
      <c r="F25" cm="1">
        <f t="array" ref="F25">[2]!FRCK25.MAX</f>
        <v>5.89</v>
      </c>
      <c r="G25" cm="1">
        <f t="array" ref="G25">[2]!FRCK25.MIN</f>
        <v>5.87</v>
      </c>
      <c r="H25" cm="1">
        <f t="array" ref="H25">[2]!FRCK25.FEC</f>
        <v>5.87</v>
      </c>
      <c r="I25" cm="1">
        <f t="array" ref="I25">[2]!FRCK25.PEX</f>
        <v>0</v>
      </c>
      <c r="J25" cm="1">
        <f t="array" ref="J25">[2]!FRCK25.VAR</f>
        <v>0</v>
      </c>
      <c r="K25" cm="1">
        <f t="array" ref="K25">[2]!FRCK25.VARPTS</f>
        <v>0</v>
      </c>
      <c r="L25" cm="1">
        <f t="array" ref="L25">[2]!FRCK25.MED</f>
        <v>5.88</v>
      </c>
      <c r="M25" t="s">
        <v>84</v>
      </c>
      <c r="N25" cm="1">
        <f t="array" ref="N25">[2]!FRCK25.NEG</f>
        <v>14</v>
      </c>
      <c r="O25" cm="1">
        <f t="array" ref="O25">[2]!FRCK25.QUL</f>
        <v>90</v>
      </c>
      <c r="P25" cm="1">
        <f t="array" ref="P25">[2]!FRCK25.QTT</f>
        <v>3403</v>
      </c>
      <c r="Q25" cm="1">
        <f t="array" ref="Q25">[2]!FRCK25.VOL</f>
        <v>167011165.99000001</v>
      </c>
      <c r="R25" cm="1">
        <f t="array" ref="R25">[2]!FRCK25.OCP</f>
        <v>5.87</v>
      </c>
      <c r="S25" cm="1">
        <f t="array" ref="S25">[2]!FRCK25.OVD</f>
        <v>5.88</v>
      </c>
      <c r="T25" cm="1">
        <f t="array" ref="T25">[2]!FRCK25.VOC</f>
        <v>210</v>
      </c>
      <c r="U25" cm="1">
        <f t="array" ref="U25">[2]!FRCK25.VOV</f>
        <v>800</v>
      </c>
      <c r="V25" cm="1">
        <f t="array" ref="V25">[2]!FRCK25.AJU</f>
        <v>5.87</v>
      </c>
      <c r="W25" cm="1">
        <f t="array" ref="W25">[2]!FRCK25.AJA</f>
        <v>5.87</v>
      </c>
      <c r="X25" cm="1">
        <f t="array" ref="X25">[2]!FRCK25.PRT</f>
        <v>0</v>
      </c>
      <c r="Y25" cm="1">
        <f t="array" ref="Y25">[2]!FRCK25.QTE</f>
        <v>0</v>
      </c>
      <c r="Z25" cm="1">
        <f t="array" ref="Z25">[2]!FRCK25.VPJ</f>
        <v>167011165.99000001</v>
      </c>
      <c r="AA25" cm="1">
        <f t="array" ref="AA25">[2]!FRCK25.SEM</f>
        <v>0.17064846416381887</v>
      </c>
      <c r="AB25" cm="1">
        <f t="array" ref="AB25">[2]!FRCK25.MES</f>
        <v>-3.2948929159802334</v>
      </c>
      <c r="AC25" cm="1">
        <f t="array" ref="AC25">[2]!FRCK25.3M</f>
        <v>-10.244648318042811</v>
      </c>
      <c r="AD25" cm="1">
        <f t="array" ref="AD25">[2]!FRCK25.6M</f>
        <v>-9.273570324574969</v>
      </c>
      <c r="AE25" cm="1">
        <f t="array" ref="AE25">[2]!FRCK25.12M</f>
        <v>-9.273570324574969</v>
      </c>
      <c r="AF25" cm="1">
        <f t="array" ref="AF25">[2]!FRCK25.ANO</f>
        <v>-9.273570324574969</v>
      </c>
      <c r="AG25" cm="1">
        <f t="array" ref="AG25">[2]!FRCK25.TRIM</f>
        <v>-11.596385542168679</v>
      </c>
      <c r="AH25" cm="1">
        <f t="array" ref="AH25">[2]!FRCK25.SEMES</f>
        <v>-11.596385542168679</v>
      </c>
      <c r="AI25" t="str" cm="1">
        <f t="array" ref="AI25">[2]!FRCK25.VEN</f>
        <v>02/05/2025</v>
      </c>
      <c r="AJ25" t="str" cm="1">
        <f t="array" ref="AJ25">[2]!FRCK25.VAL</f>
        <v>27/03/2025</v>
      </c>
      <c r="AK25" cm="1">
        <f t="array" ref="AK25">[2]!FRCK25.CAB</f>
        <v>0</v>
      </c>
      <c r="AL25" t="str" cm="1">
        <f t="array" ref="AL25">[2]!FRCK25.EST</f>
        <v>Inibido</v>
      </c>
      <c r="AM25" cm="1">
        <f t="array" ref="AM25">[2]!FRCK25.BLACK</f>
        <v>0</v>
      </c>
      <c r="AN25" cm="1">
        <f t="array" ref="AN25">[2]!FRCK25.IMPVT</f>
        <v>0</v>
      </c>
      <c r="AO25" cm="1">
        <f t="array" ref="AO25">[2]!FRCK25.DELTA</f>
        <v>0</v>
      </c>
      <c r="AP25" cm="1">
        <f t="array" ref="AP25">[2]!FRCK25.GAMA</f>
        <v>0</v>
      </c>
      <c r="AQ25" cm="1">
        <f t="array" ref="AQ25">[2]!FRCK25.THETA</f>
        <v>0</v>
      </c>
      <c r="AR25" cm="1">
        <f t="array" ref="AR25">[2]!FRCK25.RHO</f>
        <v>0</v>
      </c>
      <c r="AS25" cm="1">
        <f t="array" ref="AS25">[2]!FRCK25.VEGA</f>
        <v>0</v>
      </c>
      <c r="AT25" cm="1">
        <f t="array" ref="AT25">[2]!FRCK25.VIA</f>
        <v>0</v>
      </c>
      <c r="AU25" cm="1">
        <f t="array" ref="AU25">[2]!FRCK25.VIB</f>
        <v>0</v>
      </c>
      <c r="AV25" cm="1">
        <f t="array" ref="AV25">[2]!FRCK25.DOBRAR</f>
        <v>0</v>
      </c>
      <c r="AW25" cm="1">
        <f t="array" ref="AW25">[2]!FRCK25.VIVH</f>
        <v>0</v>
      </c>
      <c r="AX25" cm="1">
        <f t="array" ref="AX25">[2]!FRCK25.VINT</f>
        <v>0</v>
      </c>
      <c r="AY25" cm="1">
        <f t="array" ref="AY25">[2]!FRCK25.VEXT</f>
        <v>0</v>
      </c>
      <c r="AZ25" t="str" cm="1">
        <f t="array" ref="AZ25">[2]!FRCK25.3</f>
        <v>5,93</v>
      </c>
      <c r="BA25" t="str" cm="1">
        <f t="array" ref="BA25">[2]!FRCK25.103</f>
        <v>-30,00</v>
      </c>
    </row>
    <row r="26" spans="1:53" x14ac:dyDescent="0.25">
      <c r="A26" t="s">
        <v>91</v>
      </c>
      <c r="B26" t="str" cm="1">
        <f t="array" ref="B26">[2]!FRCM25.DAT</f>
        <v>12/09/2024</v>
      </c>
      <c r="C26" t="str" cm="1">
        <f t="array" ref="C26">[2]!FRCM25.HOR</f>
        <v>14:55:51</v>
      </c>
      <c r="D26" cm="1">
        <f t="array" ref="D26">[2]!FRCM25.ULT</f>
        <v>5.76</v>
      </c>
      <c r="E26" cm="1">
        <f t="array" ref="E26">[2]!FRCM25.ABE</f>
        <v>5.74</v>
      </c>
      <c r="F26" cm="1">
        <f t="array" ref="F26">[2]!FRCM25.MAX</f>
        <v>5.76</v>
      </c>
      <c r="G26" cm="1">
        <f t="array" ref="G26">[2]!FRCM25.MIN</f>
        <v>5.74</v>
      </c>
      <c r="H26" cm="1">
        <f t="array" ref="H26">[2]!FRCM25.FEC</f>
        <v>5.74</v>
      </c>
      <c r="I26" cm="1">
        <f t="array" ref="I26">[2]!FRCM25.PEX</f>
        <v>0</v>
      </c>
      <c r="J26" cm="1">
        <f t="array" ref="J26">[2]!FRCM25.VAR</f>
        <v>0.34843205574912872</v>
      </c>
      <c r="K26" cm="1">
        <f t="array" ref="K26">[2]!FRCM25.VARPTS</f>
        <v>1.9999999999999574E-2</v>
      </c>
      <c r="L26" cm="1">
        <f t="array" ref="L26">[2]!FRCM25.MED</f>
        <v>5.75</v>
      </c>
      <c r="M26" t="s">
        <v>84</v>
      </c>
      <c r="N26" cm="1">
        <f t="array" ref="N26">[2]!FRCM25.NEG</f>
        <v>2</v>
      </c>
      <c r="O26" cm="1">
        <f t="array" ref="O26">[2]!FRCM25.QUL</f>
        <v>30</v>
      </c>
      <c r="P26" cm="1">
        <f t="array" ref="P26">[2]!FRCM25.QTT</f>
        <v>10951</v>
      </c>
      <c r="Q26" cm="1">
        <f t="array" ref="Q26">[2]!FRCM25.VOL</f>
        <v>536366922.93000001</v>
      </c>
      <c r="R26" cm="1">
        <f t="array" ref="R26">[2]!FRCM25.OCP</f>
        <v>5.74</v>
      </c>
      <c r="S26" cm="1">
        <f t="array" ref="S26">[2]!FRCM25.OVD</f>
        <v>5.75</v>
      </c>
      <c r="T26" cm="1">
        <f t="array" ref="T26">[2]!FRCM25.VOC</f>
        <v>100</v>
      </c>
      <c r="U26" cm="1">
        <f t="array" ref="U26">[2]!FRCM25.VOV</f>
        <v>1000</v>
      </c>
      <c r="V26" cm="1">
        <f t="array" ref="V26">[2]!FRCM25.AJU</f>
        <v>5.74</v>
      </c>
      <c r="W26" cm="1">
        <f t="array" ref="W26">[2]!FRCM25.AJA</f>
        <v>0</v>
      </c>
      <c r="X26" cm="1">
        <f t="array" ref="X26">[2]!FRCM25.PRT</f>
        <v>0</v>
      </c>
      <c r="Y26" cm="1">
        <f t="array" ref="Y26">[2]!FRCM25.QTE</f>
        <v>0</v>
      </c>
      <c r="Z26" cm="1">
        <f t="array" ref="Z26">[2]!FRCM25.VPJ</f>
        <v>633059175.58128428</v>
      </c>
      <c r="AA26" cm="1">
        <f t="array" ref="AA26">[2]!FRCM25.SEM</f>
        <v>0.52356020942407266</v>
      </c>
      <c r="AB26" cm="1">
        <f t="array" ref="AB26">[2]!FRCM25.MES</f>
        <v>-4.3189368770764229</v>
      </c>
      <c r="AC26" cm="1">
        <f t="array" ref="AC26">[2]!FRCM25.3M</f>
        <v>-10.973724884080383</v>
      </c>
      <c r="AD26" cm="1">
        <f t="array" ref="AD26">[2]!FRCM25.6M</f>
        <v>-12.594840667678314</v>
      </c>
      <c r="AE26" cm="1">
        <f t="array" ref="AE26">[2]!FRCM25.12M</f>
        <v>-12.594840667678314</v>
      </c>
      <c r="AF26" cm="1">
        <f t="array" ref="AF26">[2]!FRCM25.ANO</f>
        <v>-12.594840667678314</v>
      </c>
      <c r="AG26" cm="1">
        <f t="array" ref="AG26">[2]!FRCM25.TRIM</f>
        <v>-12.06106870229009</v>
      </c>
      <c r="AH26" cm="1">
        <f t="array" ref="AH26">[2]!FRCM25.SEMES</f>
        <v>-12.06106870229009</v>
      </c>
      <c r="AI26" t="str" cm="1">
        <f t="array" ref="AI26">[2]!FRCM25.VEN</f>
        <v>02/06/2025</v>
      </c>
      <c r="AJ26" t="str" cm="1">
        <f t="array" ref="AJ26">[2]!FRCM25.VAL</f>
        <v>28/04/2025</v>
      </c>
      <c r="AK26" cm="1">
        <f t="array" ref="AK26">[2]!FRCM25.CAB</f>
        <v>0</v>
      </c>
      <c r="AL26" t="str" cm="1">
        <f t="array" ref="AL26">[2]!FRCM25.EST</f>
        <v>Inibido</v>
      </c>
      <c r="AM26" cm="1">
        <f t="array" ref="AM26">[2]!FRCM25.BLACK</f>
        <v>0</v>
      </c>
      <c r="AN26" cm="1">
        <f t="array" ref="AN26">[2]!FRCM25.IMPVT</f>
        <v>0</v>
      </c>
      <c r="AO26" cm="1">
        <f t="array" ref="AO26">[2]!FRCM25.DELTA</f>
        <v>0</v>
      </c>
      <c r="AP26" cm="1">
        <f t="array" ref="AP26">[2]!FRCM25.GAMA</f>
        <v>0</v>
      </c>
      <c r="AQ26" cm="1">
        <f t="array" ref="AQ26">[2]!FRCM25.THETA</f>
        <v>0</v>
      </c>
      <c r="AR26" cm="1">
        <f t="array" ref="AR26">[2]!FRCM25.RHO</f>
        <v>0</v>
      </c>
      <c r="AS26" cm="1">
        <f t="array" ref="AS26">[2]!FRCM25.VEGA</f>
        <v>0</v>
      </c>
      <c r="AT26" cm="1">
        <f t="array" ref="AT26">[2]!FRCM25.VIA</f>
        <v>0</v>
      </c>
      <c r="AU26" cm="1">
        <f t="array" ref="AU26">[2]!FRCM25.VIB</f>
        <v>0</v>
      </c>
      <c r="AV26" cm="1">
        <f t="array" ref="AV26">[2]!FRCM25.DOBRAR</f>
        <v>0</v>
      </c>
      <c r="AW26" cm="1">
        <f t="array" ref="AW26">[2]!FRCM25.VIVH</f>
        <v>0</v>
      </c>
      <c r="AX26" cm="1">
        <f t="array" ref="AX26">[2]!FRCM25.VINT</f>
        <v>0</v>
      </c>
      <c r="AY26" cm="1">
        <f t="array" ref="AY26">[2]!FRCM25.VEXT</f>
        <v>0</v>
      </c>
      <c r="AZ26" t="str" cm="1">
        <f t="array" ref="AZ26">[2]!FRCM25.3</f>
        <v>5,82</v>
      </c>
      <c r="BA26" t="str" cm="1">
        <f t="array" ref="BA26">[2]!FRCM25.103</f>
        <v>-30,00</v>
      </c>
    </row>
    <row r="27" spans="1:53" x14ac:dyDescent="0.25">
      <c r="A27" t="s">
        <v>92</v>
      </c>
      <c r="B27" t="str" cm="1">
        <f t="array" ref="B27">[2]!FRCN25.DAT</f>
        <v>12/09/2024</v>
      </c>
      <c r="C27" t="str" cm="1">
        <f t="array" ref="C27">[2]!FRCN25.HOR</f>
        <v>16:21:31</v>
      </c>
      <c r="D27" cm="1">
        <f t="array" ref="D27">[2]!FRCN25.ULT</f>
        <v>5.65</v>
      </c>
      <c r="E27" cm="1">
        <f t="array" ref="E27">[2]!FRCN25.ABE</f>
        <v>5.65</v>
      </c>
      <c r="F27" cm="1">
        <f t="array" ref="F27">[2]!FRCN25.MAX</f>
        <v>5.67</v>
      </c>
      <c r="G27" cm="1">
        <f t="array" ref="G27">[2]!FRCN25.MIN</f>
        <v>5.65</v>
      </c>
      <c r="H27" cm="1">
        <f t="array" ref="H27">[2]!FRCN25.FEC</f>
        <v>5.65</v>
      </c>
      <c r="I27" cm="1">
        <f t="array" ref="I27">[2]!FRCN25.PEX</f>
        <v>0</v>
      </c>
      <c r="J27" cm="1">
        <f t="array" ref="J27">[2]!FRCN25.VAR</f>
        <v>0</v>
      </c>
      <c r="K27" cm="1">
        <f t="array" ref="K27">[2]!FRCN25.VARPTS</f>
        <v>0</v>
      </c>
      <c r="L27" cm="1">
        <f t="array" ref="L27">[2]!FRCN25.MED</f>
        <v>5.6549999999999994</v>
      </c>
      <c r="M27" t="s">
        <v>84</v>
      </c>
      <c r="N27" cm="1">
        <f t="array" ref="N27">[2]!FRCN25.NEG</f>
        <v>8</v>
      </c>
      <c r="O27" cm="1">
        <f t="array" ref="O27">[2]!FRCN25.QUL</f>
        <v>390</v>
      </c>
      <c r="P27" cm="1">
        <f t="array" ref="P27">[2]!FRCN25.QTT</f>
        <v>21685</v>
      </c>
      <c r="Q27" cm="1">
        <f t="array" ref="Q27">[2]!FRCN25.VOL</f>
        <v>2575951162.6500001</v>
      </c>
      <c r="R27" cm="1">
        <f t="array" ref="R27">[2]!FRCN25.OCP</f>
        <v>5.64</v>
      </c>
      <c r="S27" cm="1">
        <f t="array" ref="S27">[2]!FRCN25.OVD</f>
        <v>5.65</v>
      </c>
      <c r="T27" cm="1">
        <f t="array" ref="T27">[2]!FRCN25.VOC</f>
        <v>500</v>
      </c>
      <c r="U27" cm="1">
        <f t="array" ref="U27">[2]!FRCN25.VOV</f>
        <v>110</v>
      </c>
      <c r="V27" cm="1">
        <f t="array" ref="V27">[2]!FRCN25.AJU</f>
        <v>5.65</v>
      </c>
      <c r="W27" cm="1">
        <f t="array" ref="W27">[2]!FRCN25.AJA</f>
        <v>0</v>
      </c>
      <c r="X27" cm="1">
        <f t="array" ref="X27">[2]!FRCN25.PRT</f>
        <v>0</v>
      </c>
      <c r="Y27" cm="1">
        <f t="array" ref="Y27">[2]!FRCN25.QTE</f>
        <v>0</v>
      </c>
      <c r="Z27" cm="1">
        <f t="array" ref="Z27">[2]!FRCN25.VPJ</f>
        <v>2575951162.6500001</v>
      </c>
      <c r="AA27" cm="1">
        <f t="array" ref="AA27">[2]!FRCN25.SEM</f>
        <v>0.35523978685613611</v>
      </c>
      <c r="AB27" cm="1">
        <f t="array" ref="AB27">[2]!FRCN25.MES</f>
        <v>-4.2372881355932197</v>
      </c>
      <c r="AC27" cm="1">
        <f t="array" ref="AC27">[2]!FRCN25.3M</f>
        <v>-12.403100775193796</v>
      </c>
      <c r="AD27" cm="1">
        <f t="array" ref="AD27">[2]!FRCN25.6M</f>
        <v>-7.2249589490968731</v>
      </c>
      <c r="AE27" cm="1">
        <f t="array" ref="AE27">[2]!FRCN25.12M</f>
        <v>-10.601265822784809</v>
      </c>
      <c r="AF27" cm="1">
        <f t="array" ref="AF27">[2]!FRCN25.ANO</f>
        <v>3.2906764168190072</v>
      </c>
      <c r="AG27" cm="1">
        <f t="array" ref="AG27">[2]!FRCN25.TRIM</f>
        <v>-13.871951219512196</v>
      </c>
      <c r="AH27" cm="1">
        <f t="array" ref="AH27">[2]!FRCN25.SEMES</f>
        <v>-13.871951219512196</v>
      </c>
      <c r="AI27" t="str" cm="1">
        <f t="array" ref="AI27">[2]!FRCN25.VEN</f>
        <v>01/07/2025</v>
      </c>
      <c r="AJ27" t="str" cm="1">
        <f t="array" ref="AJ27">[2]!FRCN25.VAL</f>
        <v>28/05/2025</v>
      </c>
      <c r="AK27" cm="1">
        <f t="array" ref="AK27">[2]!FRCN25.CAB</f>
        <v>0</v>
      </c>
      <c r="AL27" t="str" cm="1">
        <f t="array" ref="AL27">[2]!FRCN25.EST</f>
        <v>Inibido</v>
      </c>
      <c r="AM27" cm="1">
        <f t="array" ref="AM27">[2]!FRCN25.BLACK</f>
        <v>0</v>
      </c>
      <c r="AN27" cm="1">
        <f t="array" ref="AN27">[2]!FRCN25.IMPVT</f>
        <v>0</v>
      </c>
      <c r="AO27" cm="1">
        <f t="array" ref="AO27">[2]!FRCN25.DELTA</f>
        <v>0</v>
      </c>
      <c r="AP27" cm="1">
        <f t="array" ref="AP27">[2]!FRCN25.GAMA</f>
        <v>0</v>
      </c>
      <c r="AQ27" cm="1">
        <f t="array" ref="AQ27">[2]!FRCN25.THETA</f>
        <v>0</v>
      </c>
      <c r="AR27" cm="1">
        <f t="array" ref="AR27">[2]!FRCN25.RHO</f>
        <v>0</v>
      </c>
      <c r="AS27" cm="1">
        <f t="array" ref="AS27">[2]!FRCN25.VEGA</f>
        <v>0</v>
      </c>
      <c r="AT27" cm="1">
        <f t="array" ref="AT27">[2]!FRCN25.VIA</f>
        <v>0</v>
      </c>
      <c r="AU27" cm="1">
        <f t="array" ref="AU27">[2]!FRCN25.VIB</f>
        <v>0</v>
      </c>
      <c r="AV27" cm="1">
        <f t="array" ref="AV27">[2]!FRCN25.DOBRAR</f>
        <v>0</v>
      </c>
      <c r="AW27" cm="1">
        <f t="array" ref="AW27">[2]!FRCN25.VIVH</f>
        <v>0</v>
      </c>
      <c r="AX27" cm="1">
        <f t="array" ref="AX27">[2]!FRCN25.VINT</f>
        <v>0</v>
      </c>
      <c r="AY27" cm="1">
        <f t="array" ref="AY27">[2]!FRCN25.VEXT</f>
        <v>0</v>
      </c>
      <c r="AZ27" t="str" cm="1">
        <f t="array" ref="AZ27">[2]!FRCN25.3</f>
        <v>5,73</v>
      </c>
      <c r="BA27" t="str" cm="1">
        <f t="array" ref="BA27">[2]!FRCN25.103</f>
        <v>-40,00</v>
      </c>
    </row>
    <row r="28" spans="1:53" x14ac:dyDescent="0.25">
      <c r="A28" t="s">
        <v>93</v>
      </c>
      <c r="B28" t="str" cm="1">
        <f t="array" ref="B28">[2]!FRCQ25.DAT</f>
        <v>12/09/2024</v>
      </c>
      <c r="C28" t="str" cm="1">
        <f t="array" ref="C28">[2]!FRCQ25.HOR</f>
        <v>16:21:55</v>
      </c>
      <c r="D28" cm="1">
        <f t="array" ref="D28">[2]!FRCQ25.ULT</f>
        <v>5.61</v>
      </c>
      <c r="E28" cm="1">
        <f t="array" ref="E28">[2]!FRCQ25.ABE</f>
        <v>5.61</v>
      </c>
      <c r="F28" cm="1">
        <f t="array" ref="F28">[2]!FRCQ25.MAX</f>
        <v>5.61</v>
      </c>
      <c r="G28" cm="1">
        <f t="array" ref="G28">[2]!FRCQ25.MIN</f>
        <v>5.61</v>
      </c>
      <c r="H28" cm="1">
        <f t="array" ref="H28">[2]!FRCQ25.FEC</f>
        <v>5.61</v>
      </c>
      <c r="I28" cm="1">
        <f t="array" ref="I28">[2]!FRCQ25.PEX</f>
        <v>0</v>
      </c>
      <c r="J28" cm="1">
        <f t="array" ref="J28">[2]!FRCQ25.VAR</f>
        <v>0</v>
      </c>
      <c r="K28" cm="1">
        <f t="array" ref="K28">[2]!FRCQ25.VARPTS</f>
        <v>0</v>
      </c>
      <c r="L28" cm="1">
        <f t="array" ref="L28">[2]!FRCQ25.MED</f>
        <v>5.61</v>
      </c>
      <c r="M28" t="s">
        <v>84</v>
      </c>
      <c r="N28" cm="1">
        <f t="array" ref="N28">[2]!FRCQ25.NEG</f>
        <v>7</v>
      </c>
      <c r="O28" cm="1">
        <f t="array" ref="O28">[2]!FRCQ25.QUL</f>
        <v>70</v>
      </c>
      <c r="P28" cm="1">
        <f t="array" ref="P28">[2]!FRCQ25.QTT</f>
        <v>10595</v>
      </c>
      <c r="Q28" cm="1">
        <f t="array" ref="Q28">[2]!FRCQ25.VOL</f>
        <v>516807226.55000001</v>
      </c>
      <c r="R28" cm="1">
        <f t="array" ref="R28">[2]!FRCQ25.OCP</f>
        <v>5.6000000000000005</v>
      </c>
      <c r="S28" cm="1">
        <f t="array" ref="S28">[2]!FRCQ25.OVD</f>
        <v>5.61</v>
      </c>
      <c r="T28" cm="1">
        <f t="array" ref="T28">[2]!FRCQ25.VOC</f>
        <v>1270</v>
      </c>
      <c r="U28" cm="1">
        <f t="array" ref="U28">[2]!FRCQ25.VOV</f>
        <v>160</v>
      </c>
      <c r="V28" cm="1">
        <f t="array" ref="V28">[2]!FRCQ25.AJU</f>
        <v>5.61</v>
      </c>
      <c r="W28" cm="1">
        <f t="array" ref="W28">[2]!FRCQ25.AJA</f>
        <v>0</v>
      </c>
      <c r="X28" cm="1">
        <f t="array" ref="X28">[2]!FRCQ25.PRT</f>
        <v>0</v>
      </c>
      <c r="Y28" cm="1">
        <f t="array" ref="Y28">[2]!FRCQ25.QTE</f>
        <v>0</v>
      </c>
      <c r="Z28" cm="1">
        <f t="array" ref="Z28">[2]!FRCQ25.VPJ</f>
        <v>516807226.55000001</v>
      </c>
      <c r="AA28" cm="1">
        <f t="array" ref="AA28">[2]!FRCQ25.SEM</f>
        <v>0</v>
      </c>
      <c r="AB28" cm="1">
        <f t="array" ref="AB28">[2]!FRCQ25.MES</f>
        <v>-2.0942408376963368</v>
      </c>
      <c r="AC28" cm="1">
        <f t="array" ref="AC28">[2]!FRCQ25.3M</f>
        <v>-6.9651741293532323</v>
      </c>
      <c r="AD28" cm="1">
        <f t="array" ref="AD28">[2]!FRCQ25.6M</f>
        <v>-6.9651741293532323</v>
      </c>
      <c r="AE28" cm="1">
        <f t="array" ref="AE28">[2]!FRCQ25.12M</f>
        <v>-6.9651741293532323</v>
      </c>
      <c r="AF28" cm="1">
        <f t="array" ref="AF28">[2]!FRCQ25.ANO</f>
        <v>-6.9651741293532323</v>
      </c>
      <c r="AG28" cm="1">
        <f t="array" ref="AG28">[2]!FRCQ25.TRIM</f>
        <v>-6.9651741293532323</v>
      </c>
      <c r="AH28" cm="1">
        <f t="array" ref="AH28">[2]!FRCQ25.SEMES</f>
        <v>-6.9651741293532323</v>
      </c>
      <c r="AI28" t="str" cm="1">
        <f t="array" ref="AI28">[2]!FRCQ25.VEN</f>
        <v>01/08/2025</v>
      </c>
      <c r="AJ28" t="str" cm="1">
        <f t="array" ref="AJ28">[2]!FRCQ25.VAL</f>
        <v>26/06/2025</v>
      </c>
      <c r="AK28" cm="1">
        <f t="array" ref="AK28">[2]!FRCQ25.CAB</f>
        <v>0</v>
      </c>
      <c r="AL28" t="str" cm="1">
        <f t="array" ref="AL28">[2]!FRCQ25.EST</f>
        <v>Inibido</v>
      </c>
      <c r="AM28" cm="1">
        <f t="array" ref="AM28">[2]!FRCQ25.BLACK</f>
        <v>0</v>
      </c>
      <c r="AN28" cm="1">
        <f t="array" ref="AN28">[2]!FRCQ25.IMPVT</f>
        <v>0</v>
      </c>
      <c r="AO28" cm="1">
        <f t="array" ref="AO28">[2]!FRCQ25.DELTA</f>
        <v>0</v>
      </c>
      <c r="AP28" cm="1">
        <f t="array" ref="AP28">[2]!FRCQ25.GAMA</f>
        <v>0</v>
      </c>
      <c r="AQ28" cm="1">
        <f t="array" ref="AQ28">[2]!FRCQ25.THETA</f>
        <v>0</v>
      </c>
      <c r="AR28" cm="1">
        <f t="array" ref="AR28">[2]!FRCQ25.RHO</f>
        <v>0</v>
      </c>
      <c r="AS28" cm="1">
        <f t="array" ref="AS28">[2]!FRCQ25.VEGA</f>
        <v>0</v>
      </c>
      <c r="AT28" cm="1">
        <f t="array" ref="AT28">[2]!FRCQ25.VIA</f>
        <v>0</v>
      </c>
      <c r="AU28" cm="1">
        <f t="array" ref="AU28">[2]!FRCQ25.VIB</f>
        <v>0</v>
      </c>
      <c r="AV28" cm="1">
        <f t="array" ref="AV28">[2]!FRCQ25.DOBRAR</f>
        <v>0</v>
      </c>
      <c r="AW28" cm="1">
        <f t="array" ref="AW28">[2]!FRCQ25.VIVH</f>
        <v>0</v>
      </c>
      <c r="AX28" cm="1">
        <f t="array" ref="AX28">[2]!FRCQ25.VINT</f>
        <v>0</v>
      </c>
      <c r="AY28" cm="1">
        <f t="array" ref="AY28">[2]!FRCQ25.VEXT</f>
        <v>0</v>
      </c>
      <c r="AZ28" t="str" cm="1">
        <f t="array" ref="AZ28">[2]!FRCQ25.3</f>
        <v>5,70</v>
      </c>
      <c r="BA28" t="str" cm="1">
        <f t="array" ref="BA28">[2]!FRCQ25.103</f>
        <v>0,00</v>
      </c>
    </row>
    <row r="29" spans="1:53" x14ac:dyDescent="0.25">
      <c r="A29" t="s">
        <v>94</v>
      </c>
      <c r="B29" t="str" cm="1">
        <f t="array" ref="B29">[2]!FRCU25.DAT</f>
        <v>12/09/2024</v>
      </c>
      <c r="C29" t="str" cm="1">
        <f t="array" ref="C29">[2]!FRCU25.HOR</f>
        <v>15:42:37</v>
      </c>
      <c r="D29" cm="1">
        <f t="array" ref="D29">[2]!FRCU25.ULT</f>
        <v>5.47</v>
      </c>
      <c r="E29" cm="1">
        <f t="array" ref="E29">[2]!FRCU25.ABE</f>
        <v>5.47</v>
      </c>
      <c r="F29" cm="1">
        <f t="array" ref="F29">[2]!FRCU25.MAX</f>
        <v>5.47</v>
      </c>
      <c r="G29" cm="1">
        <f t="array" ref="G29">[2]!FRCU25.MIN</f>
        <v>5.47</v>
      </c>
      <c r="H29" cm="1">
        <f t="array" ref="H29">[2]!FRCU25.FEC</f>
        <v>5.45</v>
      </c>
      <c r="I29" cm="1">
        <f t="array" ref="I29">[2]!FRCU25.PEX</f>
        <v>0</v>
      </c>
      <c r="J29" cm="1">
        <f t="array" ref="J29">[2]!FRCU25.VAR</f>
        <v>0.36697247706423752</v>
      </c>
      <c r="K29" cm="1">
        <f t="array" ref="K29">[2]!FRCU25.VARPTS</f>
        <v>1.9999999999999574E-2</v>
      </c>
      <c r="L29" cm="1">
        <f t="array" ref="L29">[2]!FRCU25.MED</f>
        <v>5.47</v>
      </c>
      <c r="M29" t="s">
        <v>84</v>
      </c>
      <c r="N29" cm="1">
        <f t="array" ref="N29">[2]!FRCU25.NEG</f>
        <v>1</v>
      </c>
      <c r="O29" cm="1">
        <f t="array" ref="O29">[2]!FRCU25.QUL</f>
        <v>10</v>
      </c>
      <c r="P29" cm="1">
        <f t="array" ref="P29">[2]!FRCU25.QTT</f>
        <v>20</v>
      </c>
      <c r="Q29" cm="1">
        <f t="array" ref="Q29">[2]!FRCU25.VOL</f>
        <v>974563.9</v>
      </c>
      <c r="R29" cm="1">
        <f t="array" ref="R29">[2]!FRCU25.OCP</f>
        <v>5.46</v>
      </c>
      <c r="S29" cm="1">
        <f t="array" ref="S29">[2]!FRCU25.OVD</f>
        <v>0</v>
      </c>
      <c r="T29" cm="1">
        <f t="array" ref="T29">[2]!FRCU25.VOC</f>
        <v>60</v>
      </c>
      <c r="U29" cm="1">
        <f t="array" ref="U29">[2]!FRCU25.VOV</f>
        <v>0</v>
      </c>
      <c r="V29" cm="1">
        <f t="array" ref="V29">[2]!FRCU25.AJU</f>
        <v>5.45</v>
      </c>
      <c r="W29" cm="1">
        <f t="array" ref="W29">[2]!FRCU25.AJA</f>
        <v>5.45</v>
      </c>
      <c r="X29" cm="1">
        <f t="array" ref="X29">[2]!FRCU25.PRT</f>
        <v>0</v>
      </c>
      <c r="Y29" cm="1">
        <f t="array" ref="Y29">[2]!FRCU25.QTE</f>
        <v>0</v>
      </c>
      <c r="Z29" cm="1">
        <f t="array" ref="Z29">[2]!FRCU25.VPJ</f>
        <v>1016641.5647638367</v>
      </c>
      <c r="AA29" cm="1">
        <f t="array" ref="AA29">[2]!FRCU25.SEM</f>
        <v>0.36697247706421238</v>
      </c>
      <c r="AB29" cm="1">
        <f t="array" ref="AB29">[2]!FRCU25.MES</f>
        <v>-5.5267702936096761</v>
      </c>
      <c r="AC29" cm="1">
        <f t="array" ref="AC29">[2]!FRCU25.3M</f>
        <v>-5.5267702936096761</v>
      </c>
      <c r="AD29" cm="1">
        <f t="array" ref="AD29">[2]!FRCU25.6M</f>
        <v>-5.5267702936096761</v>
      </c>
      <c r="AE29" cm="1">
        <f t="array" ref="AE29">[2]!FRCU25.12M</f>
        <v>-5.5267702936096761</v>
      </c>
      <c r="AF29" cm="1">
        <f t="array" ref="AF29">[2]!FRCU25.ANO</f>
        <v>-5.5267702936096761</v>
      </c>
      <c r="AG29" cm="1">
        <f t="array" ref="AG29">[2]!FRCU25.TRIM</f>
        <v>-5.5267702936096761</v>
      </c>
      <c r="AH29" cm="1">
        <f t="array" ref="AH29">[2]!FRCU25.SEMES</f>
        <v>-5.5267702936096761</v>
      </c>
      <c r="AI29" t="str" cm="1">
        <f t="array" ref="AI29">[2]!FRCU25.VEN</f>
        <v>01/09/2025</v>
      </c>
      <c r="AJ29" t="str" cm="1">
        <f t="array" ref="AJ29">[2]!FRCU25.VAL</f>
        <v>29/07/2025</v>
      </c>
      <c r="AK29" cm="1">
        <f t="array" ref="AK29">[2]!FRCU25.CAB</f>
        <v>0</v>
      </c>
      <c r="AL29" t="str" cm="1">
        <f t="array" ref="AL29">[2]!FRCU25.EST</f>
        <v>Inibido</v>
      </c>
      <c r="AM29" cm="1">
        <f t="array" ref="AM29">[2]!FRCU25.BLACK</f>
        <v>0</v>
      </c>
      <c r="AN29" cm="1">
        <f t="array" ref="AN29">[2]!FRCU25.IMPVT</f>
        <v>0</v>
      </c>
      <c r="AO29" cm="1">
        <f t="array" ref="AO29">[2]!FRCU25.DELTA</f>
        <v>0</v>
      </c>
      <c r="AP29" cm="1">
        <f t="array" ref="AP29">[2]!FRCU25.GAMA</f>
        <v>0</v>
      </c>
      <c r="AQ29" cm="1">
        <f t="array" ref="AQ29">[2]!FRCU25.THETA</f>
        <v>0</v>
      </c>
      <c r="AR29" cm="1">
        <f t="array" ref="AR29">[2]!FRCU25.RHO</f>
        <v>0</v>
      </c>
      <c r="AS29" cm="1">
        <f t="array" ref="AS29">[2]!FRCU25.VEGA</f>
        <v>0</v>
      </c>
      <c r="AT29" cm="1">
        <f t="array" ref="AT29">[2]!FRCU25.VIA</f>
        <v>0</v>
      </c>
      <c r="AU29" cm="1">
        <f t="array" ref="AU29">[2]!FRCU25.VIB</f>
        <v>0</v>
      </c>
      <c r="AV29" cm="1">
        <f t="array" ref="AV29">[2]!FRCU25.DOBRAR</f>
        <v>0</v>
      </c>
      <c r="AW29" cm="1">
        <f t="array" ref="AW29">[2]!FRCU25.VIVH</f>
        <v>0</v>
      </c>
      <c r="AX29" cm="1">
        <f t="array" ref="AX29">[2]!FRCU25.VINT</f>
        <v>0</v>
      </c>
      <c r="AY29" cm="1">
        <f t="array" ref="AY29">[2]!FRCU25.VEXT</f>
        <v>0</v>
      </c>
      <c r="AZ29" t="str" cm="1">
        <f t="array" ref="AZ29">[2]!FRCU25.3</f>
        <v/>
      </c>
      <c r="BA29" t="str" cm="1">
        <f t="array" ref="BA29">[2]!FRCU25.103</f>
        <v>-10,00</v>
      </c>
    </row>
    <row r="30" spans="1:53" x14ac:dyDescent="0.25">
      <c r="A30" t="s">
        <v>95</v>
      </c>
      <c r="B30" t="str" cm="1">
        <f t="array" ref="B30">[2]!FRCV25.DAT</f>
        <v>12/09/2024</v>
      </c>
      <c r="C30" t="str" cm="1">
        <f t="array" ref="C30">[2]!FRCV25.HOR</f>
        <v>15:50:32</v>
      </c>
      <c r="D30" cm="1">
        <f t="array" ref="D30">[2]!FRCV25.ULT</f>
        <v>5.44</v>
      </c>
      <c r="E30" cm="1">
        <f t="array" ref="E30">[2]!FRCV25.ABE</f>
        <v>5.44</v>
      </c>
      <c r="F30" cm="1">
        <f t="array" ref="F30">[2]!FRCV25.MAX</f>
        <v>5.44</v>
      </c>
      <c r="G30" cm="1">
        <f t="array" ref="G30">[2]!FRCV25.MIN</f>
        <v>5.44</v>
      </c>
      <c r="H30" cm="1">
        <f t="array" ref="H30">[2]!FRCV25.FEC</f>
        <v>5.42</v>
      </c>
      <c r="I30" cm="1">
        <f t="array" ref="I30">[2]!FRCV25.PEX</f>
        <v>0</v>
      </c>
      <c r="J30" cm="1">
        <f t="array" ref="J30">[2]!FRCV25.VAR</f>
        <v>0.36900369003691935</v>
      </c>
      <c r="K30" cm="1">
        <f t="array" ref="K30">[2]!FRCV25.VARPTS</f>
        <v>2.0000000000000462E-2</v>
      </c>
      <c r="L30" cm="1">
        <f t="array" ref="L30">[2]!FRCV25.MED</f>
        <v>5.44</v>
      </c>
      <c r="M30" t="s">
        <v>84</v>
      </c>
      <c r="N30" cm="1">
        <f t="array" ref="N30">[2]!FRCV25.NEG</f>
        <v>4</v>
      </c>
      <c r="O30" cm="1">
        <f t="array" ref="O30">[2]!FRCV25.QUL</f>
        <v>2030</v>
      </c>
      <c r="P30" cm="1">
        <f t="array" ref="P30">[2]!FRCV25.QTT</f>
        <v>7889</v>
      </c>
      <c r="Q30" cm="1">
        <f t="array" ref="Q30">[2]!FRCV25.VOL</f>
        <v>383376796.17000002</v>
      </c>
      <c r="R30" cm="1">
        <f t="array" ref="R30">[2]!FRCV25.OCP</f>
        <v>5.42</v>
      </c>
      <c r="S30" cm="1">
        <f t="array" ref="S30">[2]!FRCV25.OVD</f>
        <v>5.45</v>
      </c>
      <c r="T30" cm="1">
        <f t="array" ref="T30">[2]!FRCV25.VOC</f>
        <v>100</v>
      </c>
      <c r="U30" cm="1">
        <f t="array" ref="U30">[2]!FRCV25.VOV</f>
        <v>500</v>
      </c>
      <c r="V30" cm="1">
        <f t="array" ref="V30">[2]!FRCV25.AJU</f>
        <v>5.42</v>
      </c>
      <c r="W30" cm="1">
        <f t="array" ref="W30">[2]!FRCV25.AJA</f>
        <v>5.42</v>
      </c>
      <c r="X30" cm="1">
        <f t="array" ref="X30">[2]!FRCV25.PRT</f>
        <v>0</v>
      </c>
      <c r="Y30" cm="1">
        <f t="array" ref="Y30">[2]!FRCV25.QTE</f>
        <v>0</v>
      </c>
      <c r="Z30" cm="1">
        <f t="array" ref="Z30">[2]!FRCV25.VPJ</f>
        <v>392217248.43634295</v>
      </c>
      <c r="AA30" cm="1">
        <f t="array" ref="AA30">[2]!FRCV25.SEM</f>
        <v>0.36900369003690892</v>
      </c>
      <c r="AB30" cm="1">
        <f t="array" ref="AB30">[2]!FRCV25.MES</f>
        <v>-4.5614035087719262</v>
      </c>
      <c r="AC30" cm="1">
        <f t="array" ref="AC30">[2]!FRCV25.3M</f>
        <v>-14.465408805031444</v>
      </c>
      <c r="AD30" cm="1">
        <f t="array" ref="AD30">[2]!FRCV25.6M</f>
        <v>-8.877721943048579</v>
      </c>
      <c r="AE30" cm="1">
        <f t="array" ref="AE30">[2]!FRCV25.12M</f>
        <v>-12.258064516129028</v>
      </c>
      <c r="AF30" cm="1">
        <f t="array" ref="AF30">[2]!FRCV25.ANO</f>
        <v>1.1152416356877417</v>
      </c>
      <c r="AG30" cm="1">
        <f t="array" ref="AG30">[2]!FRCV25.TRIM</f>
        <v>-15.658914728682166</v>
      </c>
      <c r="AH30" cm="1">
        <f t="array" ref="AH30">[2]!FRCV25.SEMES</f>
        <v>-15.658914728682166</v>
      </c>
      <c r="AI30" t="str" cm="1">
        <f t="array" ref="AI30">[2]!FRCV25.VEN</f>
        <v>01/10/2025</v>
      </c>
      <c r="AJ30" t="str" cm="1">
        <f t="array" ref="AJ30">[2]!FRCV25.VAL</f>
        <v>27/08/2025</v>
      </c>
      <c r="AK30" cm="1">
        <f t="array" ref="AK30">[2]!FRCV25.CAB</f>
        <v>0</v>
      </c>
      <c r="AL30" t="str" cm="1">
        <f t="array" ref="AL30">[2]!FRCV25.EST</f>
        <v>Inibido</v>
      </c>
      <c r="AM30" cm="1">
        <f t="array" ref="AM30">[2]!FRCV25.BLACK</f>
        <v>0</v>
      </c>
      <c r="AN30" cm="1">
        <f t="array" ref="AN30">[2]!FRCV25.IMPVT</f>
        <v>0</v>
      </c>
      <c r="AO30" cm="1">
        <f t="array" ref="AO30">[2]!FRCV25.DELTA</f>
        <v>0</v>
      </c>
      <c r="AP30" cm="1">
        <f t="array" ref="AP30">[2]!FRCV25.GAMA</f>
        <v>0</v>
      </c>
      <c r="AQ30" cm="1">
        <f t="array" ref="AQ30">[2]!FRCV25.THETA</f>
        <v>0</v>
      </c>
      <c r="AR30" cm="1">
        <f t="array" ref="AR30">[2]!FRCV25.RHO</f>
        <v>0</v>
      </c>
      <c r="AS30" cm="1">
        <f t="array" ref="AS30">[2]!FRCV25.VEGA</f>
        <v>0</v>
      </c>
      <c r="AT30" cm="1">
        <f t="array" ref="AT30">[2]!FRCV25.VIA</f>
        <v>0</v>
      </c>
      <c r="AU30" cm="1">
        <f t="array" ref="AU30">[2]!FRCV25.VIB</f>
        <v>0</v>
      </c>
      <c r="AV30" cm="1">
        <f t="array" ref="AV30">[2]!FRCV25.DOBRAR</f>
        <v>0</v>
      </c>
      <c r="AW30" cm="1">
        <f t="array" ref="AW30">[2]!FRCV25.VIVH</f>
        <v>0</v>
      </c>
      <c r="AX30" cm="1">
        <f t="array" ref="AX30">[2]!FRCV25.VINT</f>
        <v>0</v>
      </c>
      <c r="AY30" cm="1">
        <f t="array" ref="AY30">[2]!FRCV25.VEXT</f>
        <v>0</v>
      </c>
      <c r="AZ30" t="str" cm="1">
        <f t="array" ref="AZ30">[2]!FRCV25.3</f>
        <v>5,52</v>
      </c>
      <c r="BA30" t="str" cm="1">
        <f t="array" ref="BA30">[2]!FRCV25.103</f>
        <v>-20,00</v>
      </c>
    </row>
    <row r="31" spans="1:53" x14ac:dyDescent="0.25">
      <c r="A31" t="s">
        <v>96</v>
      </c>
      <c r="B31" t="str" cm="1">
        <f t="array" ref="B31">[2]!FRCF26.DAT</f>
        <v>12/09/2024</v>
      </c>
      <c r="C31" t="str" cm="1">
        <f t="array" ref="C31">[2]!FRCF26.HOR</f>
        <v>16:25:20</v>
      </c>
      <c r="D31" cm="1">
        <f t="array" ref="D31">[2]!FRCF26.ULT</f>
        <v>5.28</v>
      </c>
      <c r="E31" cm="1">
        <f t="array" ref="E31">[2]!FRCF26.ABE</f>
        <v>5.29</v>
      </c>
      <c r="F31" cm="1">
        <f t="array" ref="F31">[2]!FRCF26.MAX</f>
        <v>5.29</v>
      </c>
      <c r="G31" cm="1">
        <f t="array" ref="G31">[2]!FRCF26.MIN</f>
        <v>5.28</v>
      </c>
      <c r="H31" cm="1">
        <f t="array" ref="H31">[2]!FRCF26.FEC</f>
        <v>5.28</v>
      </c>
      <c r="I31" cm="1">
        <f t="array" ref="I31">[2]!FRCF26.PEX</f>
        <v>0</v>
      </c>
      <c r="J31" cm="1">
        <f t="array" ref="J31">[2]!FRCF26.VAR</f>
        <v>0</v>
      </c>
      <c r="K31" cm="1">
        <f t="array" ref="K31">[2]!FRCF26.VARPTS</f>
        <v>0</v>
      </c>
      <c r="L31" cm="1">
        <f t="array" ref="L31">[2]!FRCF26.MED</f>
        <v>5.2850000000000001</v>
      </c>
      <c r="M31" t="s">
        <v>84</v>
      </c>
      <c r="N31" cm="1">
        <f t="array" ref="N31">[2]!FRCF26.NEG</f>
        <v>18</v>
      </c>
      <c r="O31" cm="1">
        <f t="array" ref="O31">[2]!FRCF26.QUL</f>
        <v>100</v>
      </c>
      <c r="P31" cm="1">
        <f t="array" ref="P31">[2]!FRCF26.QTT</f>
        <v>5036</v>
      </c>
      <c r="Q31" cm="1">
        <f t="array" ref="Q31">[2]!FRCF26.VOL</f>
        <v>591320339.58000004</v>
      </c>
      <c r="R31" cm="1">
        <f t="array" ref="R31">[2]!FRCF26.OCP</f>
        <v>5.28</v>
      </c>
      <c r="S31" cm="1">
        <f t="array" ref="S31">[2]!FRCF26.OVD</f>
        <v>5.29</v>
      </c>
      <c r="T31" cm="1">
        <f t="array" ref="T31">[2]!FRCF26.VOC</f>
        <v>620</v>
      </c>
      <c r="U31" cm="1">
        <f t="array" ref="U31">[2]!FRCF26.VOV</f>
        <v>700</v>
      </c>
      <c r="V31" cm="1">
        <f t="array" ref="V31">[2]!FRCF26.AJU</f>
        <v>5.28</v>
      </c>
      <c r="W31" cm="1">
        <f t="array" ref="W31">[2]!FRCF26.AJA</f>
        <v>5.28</v>
      </c>
      <c r="X31" cm="1">
        <f t="array" ref="X31">[2]!FRCF26.PRT</f>
        <v>0</v>
      </c>
      <c r="Y31" cm="1">
        <f t="array" ref="Y31">[2]!FRCF26.QTE</f>
        <v>0</v>
      </c>
      <c r="Z31" cm="1">
        <f t="array" ref="Z31">[2]!FRCF26.VPJ</f>
        <v>591320339.58000004</v>
      </c>
      <c r="AA31" cm="1">
        <f t="array" ref="AA31">[2]!FRCF26.SEM</f>
        <v>0</v>
      </c>
      <c r="AB31" cm="1">
        <f t="array" ref="AB31">[2]!FRCF26.MES</f>
        <v>-5.206463195691204</v>
      </c>
      <c r="AC31" cm="1">
        <f t="array" ref="AC31">[2]!FRCF26.3M</f>
        <v>-16.323296354992078</v>
      </c>
      <c r="AD31" cm="1">
        <f t="array" ref="AD31">[2]!FRCF26.6M</f>
        <v>-9.8976109215017072</v>
      </c>
      <c r="AE31" cm="1">
        <f t="array" ref="AE31">[2]!FRCF26.12M</f>
        <v>-13.584288052373159</v>
      </c>
      <c r="AF31" cm="1">
        <f t="array" ref="AF31">[2]!FRCF26.ANO</f>
        <v>-0.18903591682419257</v>
      </c>
      <c r="AG31" cm="1">
        <f t="array" ref="AG31">[2]!FRCF26.TRIM</f>
        <v>-17.241379310344822</v>
      </c>
      <c r="AH31" cm="1">
        <f t="array" ref="AH31">[2]!FRCF26.SEMES</f>
        <v>-17.241379310344822</v>
      </c>
      <c r="AI31" t="str" cm="1">
        <f t="array" ref="AI31">[2]!FRCF26.VEN</f>
        <v>02/01/2026</v>
      </c>
      <c r="AJ31" t="str" cm="1">
        <f t="array" ref="AJ31">[2]!FRCF26.VAL</f>
        <v>26/11/2025</v>
      </c>
      <c r="AK31" cm="1">
        <f t="array" ref="AK31">[2]!FRCF26.CAB</f>
        <v>0</v>
      </c>
      <c r="AL31" t="str" cm="1">
        <f t="array" ref="AL31">[2]!FRCF26.EST</f>
        <v>Inibido</v>
      </c>
      <c r="AM31" cm="1">
        <f t="array" ref="AM31">[2]!FRCF26.BLACK</f>
        <v>0</v>
      </c>
      <c r="AN31" cm="1">
        <f t="array" ref="AN31">[2]!FRCF26.IMPVT</f>
        <v>0</v>
      </c>
      <c r="AO31" cm="1">
        <f t="array" ref="AO31">[2]!FRCF26.DELTA</f>
        <v>0</v>
      </c>
      <c r="AP31" cm="1">
        <f t="array" ref="AP31">[2]!FRCF26.GAMA</f>
        <v>0</v>
      </c>
      <c r="AQ31" cm="1">
        <f t="array" ref="AQ31">[2]!FRCF26.THETA</f>
        <v>0</v>
      </c>
      <c r="AR31" cm="1">
        <f t="array" ref="AR31">[2]!FRCF26.RHO</f>
        <v>0</v>
      </c>
      <c r="AS31" cm="1">
        <f t="array" ref="AS31">[2]!FRCF26.VEGA</f>
        <v>0</v>
      </c>
      <c r="AT31" cm="1">
        <f t="array" ref="AT31">[2]!FRCF26.VIA</f>
        <v>0</v>
      </c>
      <c r="AU31" cm="1">
        <f t="array" ref="AU31">[2]!FRCF26.VIB</f>
        <v>0</v>
      </c>
      <c r="AV31" cm="1">
        <f t="array" ref="AV31">[2]!FRCF26.DOBRAR</f>
        <v>0</v>
      </c>
      <c r="AW31" cm="1">
        <f t="array" ref="AW31">[2]!FRCF26.VIVH</f>
        <v>0</v>
      </c>
      <c r="AX31" cm="1">
        <f t="array" ref="AX31">[2]!FRCF26.VINT</f>
        <v>0</v>
      </c>
      <c r="AY31" cm="1">
        <f t="array" ref="AY31">[2]!FRCF26.VEXT</f>
        <v>0</v>
      </c>
      <c r="AZ31" t="str" cm="1">
        <f t="array" ref="AZ31">[2]!FRCF26.3</f>
        <v>5,38</v>
      </c>
      <c r="BA31" t="str" cm="1">
        <f t="array" ref="BA31">[2]!FRCF26.103</f>
        <v>-10,00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dólar sintético</vt:lpstr>
      <vt:lpstr>feriados </vt:lpstr>
      <vt:lpstr>Planilha2</vt:lpstr>
      <vt:lpstr>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 D</dc:creator>
  <cp:lastModifiedBy>Milena Nicolau</cp:lastModifiedBy>
  <dcterms:created xsi:type="dcterms:W3CDTF">2024-09-10T02:14:48Z</dcterms:created>
  <dcterms:modified xsi:type="dcterms:W3CDTF">2024-09-13T18:23:56Z</dcterms:modified>
</cp:coreProperties>
</file>