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loi\OneDrive\Curso Valuation\201908 Online\"/>
    </mc:Choice>
  </mc:AlternateContent>
  <bookViews>
    <workbookView xWindow="0" yWindow="0" windowWidth="23040" windowHeight="8808" activeTab="2"/>
  </bookViews>
  <sheets>
    <sheet name="Capa" sheetId="6" r:id="rId1"/>
    <sheet name="BD" sheetId="1" r:id="rId2"/>
    <sheet name="Premissas" sheetId="2" r:id="rId3"/>
    <sheet name="Modelo" sheetId="3" r:id="rId4"/>
    <sheet name="Valuation" sheetId="4" r:id="rId5"/>
    <sheet name="Color Code" sheetId="5" r:id="rId6"/>
    <sheet name="Fórmulas-Formulas" sheetId="7" r:id="rId7"/>
  </sheets>
  <externalReferences>
    <externalReference r:id="rId8"/>
  </externalReferences>
  <definedNames>
    <definedName name="AlíquotaIR">Capa!$H$5</definedName>
    <definedName name="Amortização">Modelo!$71:$71</definedName>
    <definedName name="AtivoTotal">Modelo!$5:$5</definedName>
    <definedName name="CaixaYE_CP">Modelo!$8:$8</definedName>
    <definedName name="CaixaYE_LP">Modelo!$16:$16</definedName>
    <definedName name="CambioMedio">Premissas!$4:$4</definedName>
    <definedName name="CAPEX">Premissas!$196:$196</definedName>
    <definedName name="CapitalDeGiro">Modelo!$177:$177</definedName>
    <definedName name="Cenário">Capa!$G$10</definedName>
    <definedName name="ContasAReceber">Modelo!$9:$9</definedName>
    <definedName name="CPV">Premissas!$67:$67</definedName>
    <definedName name="CustoCaixa">Premissas!$84:$84</definedName>
    <definedName name="Deduções">Premissas!$14:$14</definedName>
    <definedName name="Depreciação">Modelo!$69:$69</definedName>
    <definedName name="DívidaBruta">Modelo!$65:$65</definedName>
    <definedName name="DívidaLíquida">Modelo!$67:$67</definedName>
    <definedName name="Dividendos">Modelo!$96:$96</definedName>
    <definedName name="EBIT">Modelo!$85:$85</definedName>
    <definedName name="EBITDA">Premissas!$176:$176</definedName>
    <definedName name="EBITDAAjustado">Premissas!$193:$193</definedName>
    <definedName name="Estoques">Modelo!$10:$10</definedName>
    <definedName name="FCFE">Modelo!$127:$127</definedName>
    <definedName name="FCFF">Modelo!$125:$125</definedName>
    <definedName name="Fornecedores">Modelo!$28:$28</definedName>
    <definedName name="g">Valuation!$C$6</definedName>
    <definedName name="Imobilizado">Modelo!$22:$22</definedName>
    <definedName name="ImpostoRenda">Modelo!$92:$92</definedName>
    <definedName name="InflaçãoBR">Premissas!$8:$8</definedName>
    <definedName name="InflaçãoMundo">Premissas!$9:$9</definedName>
    <definedName name="Intangível">Modelo!$23:$23</definedName>
    <definedName name="Kd">Modelo!$106:$106</definedName>
    <definedName name="Ke">Valuation!$C$5</definedName>
    <definedName name="LucroBruto">Premissas!$112:$112</definedName>
    <definedName name="LucroLiquido">Modelo!$93:$93</definedName>
    <definedName name="MarketCap">Modelo!$180:$180</definedName>
    <definedName name="MMAções">Capa!$H$3</definedName>
    <definedName name="Modelo">Modelo!$1:$205</definedName>
    <definedName name="PatrimLíquido">Modelo!$47:$47</definedName>
    <definedName name="PIBBrasil">Premissas!$5:$5</definedName>
    <definedName name="PIBMundo">Premissas!$6:$6</definedName>
    <definedName name="ReceitaBruta">Premissas!$11:$11</definedName>
    <definedName name="ReceitaLíquida">Premissas!$17:$17</definedName>
    <definedName name="ResultadoFinanceiro">Modelo!$86:$86</definedName>
    <definedName name="SELIC">Premissas!$7:$7</definedName>
    <definedName name="SGPS_MultPIB">Capa!$H$14</definedName>
    <definedName name="SGPS_SGA_Atac">Capa!$H$12</definedName>
    <definedName name="SGPS_SGA_Varej">Capa!$H$13</definedName>
    <definedName name="TP">Valuation!$D$22</definedName>
    <definedName name="UE">[1]AUX!$B$9:$B$16</definedName>
    <definedName name="ÚltimoPreço">Capa!$H$1</definedName>
    <definedName name="WACC">Valuation!$O$3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2" i="2" l="1"/>
  <c r="Q152" i="2" s="1"/>
  <c r="R152" i="2" s="1"/>
  <c r="S152" i="2" s="1"/>
  <c r="T152" i="2" s="1"/>
  <c r="U152" i="2" s="1"/>
  <c r="V152" i="2" s="1"/>
  <c r="W152" i="2" s="1"/>
  <c r="X152" i="2" s="1"/>
  <c r="Y152" i="2" s="1"/>
  <c r="Z152" i="2" s="1"/>
  <c r="AA152" i="2" s="1"/>
  <c r="AB152" i="2" s="1"/>
  <c r="AC152" i="2" s="1"/>
  <c r="AD152" i="2" s="1"/>
  <c r="AE152" i="2" s="1"/>
  <c r="AF152" i="2" s="1"/>
  <c r="AG152" i="2" s="1"/>
  <c r="AH152" i="2" s="1"/>
  <c r="AI152" i="2" s="1"/>
  <c r="AJ152" i="2" s="1"/>
  <c r="AK152" i="2" s="1"/>
  <c r="AL152" i="2" s="1"/>
  <c r="AM152" i="2" s="1"/>
  <c r="AN152" i="2" s="1"/>
  <c r="AO152" i="2" s="1"/>
  <c r="AP152" i="2" s="1"/>
  <c r="AQ152" i="2" s="1"/>
  <c r="AR152" i="2" s="1"/>
  <c r="AS152" i="2" s="1"/>
  <c r="AT152" i="2" s="1"/>
  <c r="AU152" i="2" s="1"/>
  <c r="AV152" i="2" s="1"/>
  <c r="AW152" i="2" s="1"/>
  <c r="AX152" i="2" s="1"/>
  <c r="AY152" i="2" s="1"/>
  <c r="AZ152" i="2" s="1"/>
  <c r="BA152" i="2" s="1"/>
  <c r="BB152" i="2" s="1"/>
  <c r="BC152" i="2" s="1"/>
  <c r="BD152" i="2" s="1"/>
  <c r="T104" i="3"/>
  <c r="Q9" i="4" l="1"/>
  <c r="N15" i="4"/>
  <c r="O102" i="3"/>
  <c r="O88" i="3" s="1"/>
  <c r="N11" i="2"/>
  <c r="F38" i="4" l="1"/>
  <c r="F37" i="4"/>
  <c r="O36" i="2"/>
  <c r="N76" i="3" l="1"/>
  <c r="N81" i="3"/>
  <c r="N87" i="3"/>
  <c r="N86" i="3" s="1"/>
  <c r="N88" i="3"/>
  <c r="N89" i="3"/>
  <c r="N90" i="3"/>
  <c r="N92" i="3"/>
  <c r="N101" i="3"/>
  <c r="O101" i="3"/>
  <c r="O87" i="3" s="1"/>
  <c r="N102" i="3"/>
  <c r="N106" i="3"/>
  <c r="N65" i="3"/>
  <c r="N66" i="3"/>
  <c r="N67" i="3"/>
  <c r="O69" i="3"/>
  <c r="O71" i="3"/>
  <c r="N72" i="3"/>
  <c r="N54" i="3"/>
  <c r="N53" i="3"/>
  <c r="N52" i="3"/>
  <c r="N51" i="3"/>
  <c r="N49" i="3"/>
  <c r="N48" i="3"/>
  <c r="N47" i="3"/>
  <c r="N46" i="3" s="1"/>
  <c r="N45" i="3"/>
  <c r="N44" i="3"/>
  <c r="N43" i="3"/>
  <c r="N42" i="3"/>
  <c r="N39" i="3"/>
  <c r="N38" i="3" s="1"/>
  <c r="N37" i="3"/>
  <c r="N34" i="3"/>
  <c r="N33" i="3"/>
  <c r="N32" i="3"/>
  <c r="N29" i="3"/>
  <c r="N27" i="3" s="1"/>
  <c r="N28" i="3"/>
  <c r="N23" i="3"/>
  <c r="N22" i="3"/>
  <c r="N21" i="3"/>
  <c r="N20" i="3" s="1"/>
  <c r="N18" i="3"/>
  <c r="N16" i="3"/>
  <c r="N15" i="3" s="1"/>
  <c r="N12" i="3"/>
  <c r="N11" i="3"/>
  <c r="N10" i="3"/>
  <c r="N9" i="3"/>
  <c r="N8" i="3"/>
  <c r="N7" i="3" s="1"/>
  <c r="N200" i="2"/>
  <c r="N199" i="2"/>
  <c r="N196" i="2" s="1"/>
  <c r="N197" i="2" s="1"/>
  <c r="N193" i="2"/>
  <c r="N174" i="2"/>
  <c r="N173" i="2"/>
  <c r="N172" i="2"/>
  <c r="N171" i="2"/>
  <c r="N170" i="2"/>
  <c r="N69" i="3" s="1"/>
  <c r="N70" i="3" s="1"/>
  <c r="N147" i="2"/>
  <c r="N146" i="2"/>
  <c r="N145" i="2"/>
  <c r="N144" i="2"/>
  <c r="N143" i="2"/>
  <c r="N142" i="2"/>
  <c r="N134" i="2"/>
  <c r="N133" i="2"/>
  <c r="N132" i="2"/>
  <c r="N131" i="2"/>
  <c r="N130" i="2"/>
  <c r="N136" i="2" s="1"/>
  <c r="N129" i="2"/>
  <c r="N82" i="3" s="1"/>
  <c r="N109" i="2"/>
  <c r="N107" i="2"/>
  <c r="N106" i="2" s="1"/>
  <c r="N86" i="2" s="1"/>
  <c r="N104" i="2"/>
  <c r="N105" i="2" s="1"/>
  <c r="O105" i="2" s="1"/>
  <c r="N102" i="2"/>
  <c r="N110" i="2" s="1"/>
  <c r="O110" i="2" s="1"/>
  <c r="N81" i="2"/>
  <c r="N78" i="2"/>
  <c r="N93" i="2" s="1"/>
  <c r="N75" i="2"/>
  <c r="N90" i="2" s="1"/>
  <c r="N91" i="2" s="1"/>
  <c r="N73" i="2"/>
  <c r="N71" i="2"/>
  <c r="N67" i="2"/>
  <c r="N79" i="3" s="1"/>
  <c r="N54" i="2"/>
  <c r="N53" i="2"/>
  <c r="N52" i="2"/>
  <c r="N51" i="2"/>
  <c r="N62" i="2" s="1"/>
  <c r="N50" i="2"/>
  <c r="N46" i="2"/>
  <c r="N45" i="2"/>
  <c r="N44" i="2"/>
  <c r="N43" i="2"/>
  <c r="N42" i="2"/>
  <c r="N38" i="2"/>
  <c r="N35" i="2"/>
  <c r="N30" i="2"/>
  <c r="N28" i="2"/>
  <c r="N26" i="2"/>
  <c r="N24" i="2"/>
  <c r="N22" i="2"/>
  <c r="N20" i="2"/>
  <c r="N116" i="2" s="1"/>
  <c r="N17" i="2"/>
  <c r="N14" i="2"/>
  <c r="N15" i="2" s="1"/>
  <c r="N96" i="2" l="1"/>
  <c r="N97" i="2" s="1"/>
  <c r="N153" i="2"/>
  <c r="N18" i="2"/>
  <c r="N61" i="2"/>
  <c r="N63" i="2"/>
  <c r="N140" i="2"/>
  <c r="N151" i="2"/>
  <c r="N62" i="3"/>
  <c r="N94" i="2"/>
  <c r="N112" i="2"/>
  <c r="N61" i="3"/>
  <c r="N64" i="2"/>
  <c r="N127" i="2"/>
  <c r="N128" i="2" s="1"/>
  <c r="N60" i="3"/>
  <c r="N77" i="3"/>
  <c r="N78" i="3" s="1"/>
  <c r="N149" i="2"/>
  <c r="N32" i="2"/>
  <c r="N69" i="2"/>
  <c r="N83" i="3"/>
  <c r="N115" i="2"/>
  <c r="N122" i="2" s="1"/>
  <c r="O35" i="2"/>
  <c r="N138" i="2"/>
  <c r="N88" i="2"/>
  <c r="N89" i="2" s="1"/>
  <c r="N39" i="2"/>
  <c r="N139" i="2"/>
  <c r="N152" i="2"/>
  <c r="O106" i="3"/>
  <c r="N6" i="3"/>
  <c r="N5" i="3"/>
  <c r="N55" i="3" s="1"/>
  <c r="N25" i="3"/>
  <c r="N24" i="3" s="1"/>
  <c r="N123" i="2"/>
  <c r="N159" i="2"/>
  <c r="N84" i="2"/>
  <c r="N68" i="2" s="1"/>
  <c r="N70" i="2" s="1"/>
  <c r="N87" i="2"/>
  <c r="N117" i="2"/>
  <c r="N137" i="2"/>
  <c r="N74" i="2"/>
  <c r="N108" i="2"/>
  <c r="O108" i="2" s="1"/>
  <c r="N118" i="2"/>
  <c r="N76" i="2"/>
  <c r="N150" i="2"/>
  <c r="N79" i="2"/>
  <c r="N113" i="2"/>
  <c r="O52" i="2"/>
  <c r="P52" i="2" s="1"/>
  <c r="Q52" i="2" s="1"/>
  <c r="R52" i="2" s="1"/>
  <c r="S52" i="2" s="1"/>
  <c r="T52" i="2" s="1"/>
  <c r="U52" i="2" s="1"/>
  <c r="V52" i="2" s="1"/>
  <c r="W52" i="2" s="1"/>
  <c r="X52" i="2" s="1"/>
  <c r="Y52" i="2" s="1"/>
  <c r="Z52" i="2" s="1"/>
  <c r="O53" i="2"/>
  <c r="P53" i="2" s="1"/>
  <c r="Q53" i="2" s="1"/>
  <c r="N158" i="2" l="1"/>
  <c r="N99" i="2"/>
  <c r="N100" i="2" s="1"/>
  <c r="N155" i="2"/>
  <c r="N80" i="3"/>
  <c r="N85" i="3" s="1"/>
  <c r="N91" i="3" s="1"/>
  <c r="N93" i="3" s="1"/>
  <c r="N95" i="3" s="1"/>
  <c r="N107" i="3"/>
  <c r="N100" i="3"/>
  <c r="N59" i="3"/>
  <c r="N120" i="2"/>
  <c r="N164" i="2"/>
  <c r="N182" i="2"/>
  <c r="N187" i="2" s="1"/>
  <c r="N163" i="2"/>
  <c r="N181" i="2"/>
  <c r="N186" i="2" s="1"/>
  <c r="N125" i="2"/>
  <c r="N161" i="2"/>
  <c r="N124" i="2"/>
  <c r="N160" i="2"/>
  <c r="N156" i="2" l="1"/>
  <c r="N176" i="2"/>
  <c r="N157" i="2"/>
  <c r="N104" i="3"/>
  <c r="N183" i="2"/>
  <c r="N188" i="2" s="1"/>
  <c r="N165" i="2"/>
  <c r="N184" i="2"/>
  <c r="N189" i="2" s="1"/>
  <c r="N166" i="2"/>
  <c r="M11" i="4"/>
  <c r="L11" i="4"/>
  <c r="K11" i="4"/>
  <c r="J11" i="4"/>
  <c r="I11" i="4"/>
  <c r="H11" i="4"/>
  <c r="G11" i="4"/>
  <c r="F11" i="4"/>
  <c r="E11" i="4"/>
  <c r="D11" i="4"/>
  <c r="N98" i="3" l="1"/>
  <c r="N99" i="3" s="1"/>
  <c r="N191" i="2"/>
  <c r="N178" i="2"/>
  <c r="N177" i="2"/>
  <c r="M11" i="2"/>
  <c r="N12" i="2" s="1"/>
  <c r="M102" i="3" l="1"/>
  <c r="L102" i="3"/>
  <c r="K102" i="3"/>
  <c r="J102" i="3"/>
  <c r="I102" i="3"/>
  <c r="H102" i="3"/>
  <c r="G102" i="3"/>
  <c r="F102" i="3"/>
  <c r="E102" i="3"/>
  <c r="D102" i="3"/>
  <c r="L6" i="3"/>
  <c r="K6" i="3"/>
  <c r="J6" i="3"/>
  <c r="I6" i="3"/>
  <c r="H6" i="3"/>
  <c r="G6" i="3"/>
  <c r="F6" i="3"/>
  <c r="E6" i="3"/>
  <c r="D6" i="3"/>
  <c r="L3" i="3" l="1"/>
  <c r="K3" i="3"/>
  <c r="J3" i="3"/>
  <c r="I3" i="3"/>
  <c r="H3" i="3"/>
  <c r="G3" i="3"/>
  <c r="M3" i="3"/>
  <c r="L193" i="2"/>
  <c r="K193" i="2"/>
  <c r="J193" i="2"/>
  <c r="I193" i="2"/>
  <c r="H193" i="2"/>
  <c r="G193" i="2"/>
  <c r="F193" i="2"/>
  <c r="E193" i="2"/>
  <c r="D193" i="2"/>
  <c r="M193" i="2"/>
  <c r="G142" i="2"/>
  <c r="G83" i="3" s="1"/>
  <c r="H142" i="2"/>
  <c r="H83" i="3" s="1"/>
  <c r="G129" i="2"/>
  <c r="G82" i="3" s="1"/>
  <c r="H129" i="2"/>
  <c r="H82" i="3" s="1"/>
  <c r="L46" i="2"/>
  <c r="K46" i="2"/>
  <c r="J46" i="2"/>
  <c r="I46" i="2"/>
  <c r="L45" i="2"/>
  <c r="K45" i="2"/>
  <c r="J45" i="2"/>
  <c r="I45" i="2"/>
  <c r="L44" i="2"/>
  <c r="K44" i="2"/>
  <c r="J44" i="2"/>
  <c r="I44" i="2"/>
  <c r="L43" i="2"/>
  <c r="K43" i="2"/>
  <c r="J43" i="2"/>
  <c r="I43" i="2"/>
  <c r="L42" i="2"/>
  <c r="K42" i="2"/>
  <c r="J42" i="2"/>
  <c r="I42" i="2"/>
  <c r="L54" i="2"/>
  <c r="K54" i="2"/>
  <c r="J54" i="2"/>
  <c r="I54" i="2"/>
  <c r="L53" i="2"/>
  <c r="K53" i="2"/>
  <c r="J53" i="2"/>
  <c r="I53" i="2"/>
  <c r="L52" i="2"/>
  <c r="K52" i="2"/>
  <c r="J52" i="2"/>
  <c r="I52" i="2"/>
  <c r="L51" i="2"/>
  <c r="K51" i="2"/>
  <c r="J51" i="2"/>
  <c r="I51" i="2"/>
  <c r="L50" i="2"/>
  <c r="K50" i="2"/>
  <c r="J50" i="2"/>
  <c r="I50" i="2"/>
  <c r="N56" i="2" s="1"/>
  <c r="N57" i="2" s="1"/>
  <c r="M54" i="2"/>
  <c r="M53" i="2"/>
  <c r="M52" i="2"/>
  <c r="M51" i="2"/>
  <c r="M50" i="2"/>
  <c r="M46" i="2"/>
  <c r="M45" i="2"/>
  <c r="M44" i="2"/>
  <c r="M43" i="2"/>
  <c r="M42" i="2"/>
  <c r="J78" i="2"/>
  <c r="L179" i="3"/>
  <c r="K179" i="3"/>
  <c r="J179" i="3"/>
  <c r="I179" i="3"/>
  <c r="H179" i="3"/>
  <c r="G179" i="3"/>
  <c r="F179" i="3"/>
  <c r="E179" i="3"/>
  <c r="D179" i="3"/>
  <c r="M179" i="3"/>
  <c r="L178" i="3"/>
  <c r="K178" i="3"/>
  <c r="J178" i="3"/>
  <c r="I178" i="3"/>
  <c r="H178" i="3"/>
  <c r="G178" i="3"/>
  <c r="F178" i="3"/>
  <c r="E178" i="3"/>
  <c r="D178" i="3"/>
  <c r="M178" i="3"/>
  <c r="L92" i="3"/>
  <c r="K92" i="3"/>
  <c r="J92" i="3"/>
  <c r="I92" i="3"/>
  <c r="H92" i="3"/>
  <c r="G92" i="3"/>
  <c r="F92" i="3"/>
  <c r="E92" i="3"/>
  <c r="D92" i="3"/>
  <c r="C92" i="3"/>
  <c r="M92" i="3"/>
  <c r="L90" i="3"/>
  <c r="K90" i="3"/>
  <c r="J90" i="3"/>
  <c r="I90" i="3"/>
  <c r="H90" i="3"/>
  <c r="G90" i="3"/>
  <c r="F90" i="3"/>
  <c r="E90" i="3"/>
  <c r="D90" i="3"/>
  <c r="L89" i="3"/>
  <c r="K89" i="3"/>
  <c r="J89" i="3"/>
  <c r="I89" i="3"/>
  <c r="H89" i="3"/>
  <c r="G89" i="3"/>
  <c r="F89" i="3"/>
  <c r="E89" i="3"/>
  <c r="D89" i="3"/>
  <c r="L88" i="3"/>
  <c r="K88" i="3"/>
  <c r="J88" i="3"/>
  <c r="I88" i="3"/>
  <c r="H88" i="3"/>
  <c r="G88" i="3"/>
  <c r="F88" i="3"/>
  <c r="E88" i="3"/>
  <c r="D88" i="3"/>
  <c r="L87" i="3"/>
  <c r="K87" i="3"/>
  <c r="J87" i="3"/>
  <c r="I87" i="3"/>
  <c r="H87" i="3"/>
  <c r="G87" i="3"/>
  <c r="F87" i="3"/>
  <c r="E87" i="3"/>
  <c r="D87" i="3"/>
  <c r="M90" i="3"/>
  <c r="M89" i="3"/>
  <c r="M88" i="3"/>
  <c r="M87" i="3"/>
  <c r="D82" i="3"/>
  <c r="K81" i="3"/>
  <c r="J81" i="3"/>
  <c r="I81" i="3"/>
  <c r="H81" i="3"/>
  <c r="G81" i="3"/>
  <c r="F81" i="3"/>
  <c r="E81" i="3"/>
  <c r="E82" i="3" s="1"/>
  <c r="D81" i="3"/>
  <c r="M81" i="3"/>
  <c r="L81" i="3"/>
  <c r="F83" i="3"/>
  <c r="E83" i="3"/>
  <c r="D83" i="3"/>
  <c r="L28" i="2"/>
  <c r="K28" i="2"/>
  <c r="J28" i="2"/>
  <c r="I28" i="2"/>
  <c r="H28" i="2"/>
  <c r="G28" i="2"/>
  <c r="M28" i="2"/>
  <c r="N29" i="2" s="1"/>
  <c r="L134" i="2"/>
  <c r="K134" i="2"/>
  <c r="J134" i="2"/>
  <c r="I134" i="2"/>
  <c r="L133" i="2"/>
  <c r="K133" i="2"/>
  <c r="J133" i="2"/>
  <c r="I133" i="2"/>
  <c r="L132" i="2"/>
  <c r="K132" i="2"/>
  <c r="J132" i="2"/>
  <c r="I132" i="2"/>
  <c r="L131" i="2"/>
  <c r="K131" i="2"/>
  <c r="J131" i="2"/>
  <c r="I131" i="2"/>
  <c r="L130" i="2"/>
  <c r="K130" i="2"/>
  <c r="J130" i="2"/>
  <c r="I130" i="2"/>
  <c r="L129" i="2"/>
  <c r="K129" i="2"/>
  <c r="K82" i="3" s="1"/>
  <c r="J129" i="2"/>
  <c r="J82" i="3" s="1"/>
  <c r="I129" i="2"/>
  <c r="I82" i="3" s="1"/>
  <c r="F82" i="3"/>
  <c r="L147" i="2"/>
  <c r="K147" i="2"/>
  <c r="J147" i="2"/>
  <c r="I147" i="2"/>
  <c r="L146" i="2"/>
  <c r="K146" i="2"/>
  <c r="J146" i="2"/>
  <c r="I146" i="2"/>
  <c r="L145" i="2"/>
  <c r="K145" i="2"/>
  <c r="J145" i="2"/>
  <c r="I145" i="2"/>
  <c r="L144" i="2"/>
  <c r="K144" i="2"/>
  <c r="J144" i="2"/>
  <c r="I144" i="2"/>
  <c r="L143" i="2"/>
  <c r="K143" i="2"/>
  <c r="J143" i="2"/>
  <c r="I143" i="2"/>
  <c r="L142" i="2"/>
  <c r="L83" i="3" s="1"/>
  <c r="K142" i="2"/>
  <c r="K83" i="3" s="1"/>
  <c r="J142" i="2"/>
  <c r="J83" i="3" s="1"/>
  <c r="I142" i="2"/>
  <c r="I83" i="3" s="1"/>
  <c r="L174" i="2"/>
  <c r="K174" i="2"/>
  <c r="J174" i="2"/>
  <c r="I174" i="2"/>
  <c r="H174" i="2"/>
  <c r="G174" i="2"/>
  <c r="F174" i="2"/>
  <c r="E174" i="2"/>
  <c r="D174" i="2"/>
  <c r="L173" i="2"/>
  <c r="K173" i="2"/>
  <c r="J173" i="2"/>
  <c r="I173" i="2"/>
  <c r="H173" i="2"/>
  <c r="G173" i="2"/>
  <c r="F173" i="2"/>
  <c r="E173" i="2"/>
  <c r="D173" i="2"/>
  <c r="L172" i="2"/>
  <c r="K172" i="2"/>
  <c r="J172" i="2"/>
  <c r="I172" i="2"/>
  <c r="H172" i="2"/>
  <c r="G172" i="2"/>
  <c r="F172" i="2"/>
  <c r="E172" i="2"/>
  <c r="D172" i="2"/>
  <c r="L171" i="2"/>
  <c r="K171" i="2"/>
  <c r="J171" i="2"/>
  <c r="I171" i="2"/>
  <c r="H171" i="2"/>
  <c r="G171" i="2"/>
  <c r="F171" i="2"/>
  <c r="E171" i="2"/>
  <c r="D171" i="2"/>
  <c r="L170" i="2"/>
  <c r="L69" i="3" s="1"/>
  <c r="K170" i="2"/>
  <c r="K69" i="3" s="1"/>
  <c r="J170" i="2"/>
  <c r="J69" i="3" s="1"/>
  <c r="I170" i="2"/>
  <c r="I69" i="3" s="1"/>
  <c r="H170" i="2"/>
  <c r="H69" i="3" s="1"/>
  <c r="G170" i="2"/>
  <c r="G69" i="3" s="1"/>
  <c r="F170" i="2"/>
  <c r="F69" i="3" s="1"/>
  <c r="E170" i="2"/>
  <c r="E69" i="3" s="1"/>
  <c r="D170" i="2"/>
  <c r="D69" i="3" s="1"/>
  <c r="M174" i="2"/>
  <c r="M173" i="2"/>
  <c r="M172" i="2"/>
  <c r="M171" i="2"/>
  <c r="M170" i="2"/>
  <c r="M147" i="2"/>
  <c r="M146" i="2"/>
  <c r="M145" i="2"/>
  <c r="M144" i="2"/>
  <c r="M143" i="2"/>
  <c r="M142" i="2"/>
  <c r="M83" i="3" s="1"/>
  <c r="M134" i="2"/>
  <c r="M133" i="2"/>
  <c r="M132" i="2"/>
  <c r="M131" i="2"/>
  <c r="M130" i="2"/>
  <c r="M129" i="2"/>
  <c r="L67" i="2"/>
  <c r="K67" i="2"/>
  <c r="J67" i="2"/>
  <c r="I67" i="2"/>
  <c r="H67" i="2"/>
  <c r="G67" i="2"/>
  <c r="F67" i="2"/>
  <c r="E67" i="2"/>
  <c r="D67" i="2"/>
  <c r="M67" i="2"/>
  <c r="F30" i="2"/>
  <c r="G30" i="2"/>
  <c r="L30" i="2"/>
  <c r="K30" i="2"/>
  <c r="J30" i="2"/>
  <c r="I30" i="2"/>
  <c r="H30" i="2"/>
  <c r="M30" i="2"/>
  <c r="N31" i="2" s="1"/>
  <c r="V31" i="2"/>
  <c r="W31" i="2" s="1"/>
  <c r="X31" i="2" s="1"/>
  <c r="Y31" i="2" s="1"/>
  <c r="Z31" i="2" s="1"/>
  <c r="AA31" i="2" s="1"/>
  <c r="AB31" i="2" s="1"/>
  <c r="AC31" i="2" s="1"/>
  <c r="AD31" i="2" s="1"/>
  <c r="AE31" i="2" s="1"/>
  <c r="AF31" i="2" s="1"/>
  <c r="AG31" i="2" s="1"/>
  <c r="AH31" i="2" s="1"/>
  <c r="AI31" i="2" s="1"/>
  <c r="AJ31" i="2" s="1"/>
  <c r="AK31" i="2" s="1"/>
  <c r="AL31" i="2" s="1"/>
  <c r="AM31" i="2" s="1"/>
  <c r="AN31" i="2" s="1"/>
  <c r="AO31" i="2" s="1"/>
  <c r="AP31" i="2" s="1"/>
  <c r="AQ31" i="2" s="1"/>
  <c r="AR31" i="2" s="1"/>
  <c r="AS31" i="2" s="1"/>
  <c r="AT31" i="2" s="1"/>
  <c r="AU31" i="2" s="1"/>
  <c r="AV31" i="2" s="1"/>
  <c r="AW31" i="2" s="1"/>
  <c r="AX31" i="2" s="1"/>
  <c r="AY31" i="2" s="1"/>
  <c r="AZ31" i="2" s="1"/>
  <c r="BA31" i="2" s="1"/>
  <c r="BB31" i="2" s="1"/>
  <c r="BC31" i="2" s="1"/>
  <c r="BD31" i="2" s="1"/>
  <c r="L109" i="2"/>
  <c r="K109" i="2"/>
  <c r="J109" i="2"/>
  <c r="I109" i="2"/>
  <c r="H109" i="2"/>
  <c r="G109" i="2"/>
  <c r="F109" i="2"/>
  <c r="E109" i="2"/>
  <c r="D109" i="2"/>
  <c r="M109" i="2"/>
  <c r="L107" i="2"/>
  <c r="K107" i="2"/>
  <c r="J107" i="2"/>
  <c r="I107" i="2"/>
  <c r="H107" i="2"/>
  <c r="G107" i="2"/>
  <c r="F107" i="2"/>
  <c r="E107" i="2"/>
  <c r="D107" i="2"/>
  <c r="M107" i="2"/>
  <c r="L104" i="2"/>
  <c r="K104" i="2"/>
  <c r="J104" i="2"/>
  <c r="I104" i="2"/>
  <c r="H104" i="2"/>
  <c r="G104" i="2"/>
  <c r="F104" i="2"/>
  <c r="E104" i="2"/>
  <c r="D104" i="2"/>
  <c r="M104" i="2"/>
  <c r="L102" i="2"/>
  <c r="K102" i="2"/>
  <c r="J102" i="2"/>
  <c r="I102" i="2"/>
  <c r="H102" i="2"/>
  <c r="G102" i="2"/>
  <c r="F102" i="2"/>
  <c r="M102" i="2"/>
  <c r="AN56" i="2" l="1"/>
  <c r="AN50" i="2" s="1"/>
  <c r="M82" i="3"/>
  <c r="M69" i="3"/>
  <c r="L63" i="2"/>
  <c r="J62" i="2"/>
  <c r="J64" i="2"/>
  <c r="P56" i="2"/>
  <c r="X56" i="2"/>
  <c r="K64" i="2"/>
  <c r="AR56" i="2"/>
  <c r="AR50" i="2" s="1"/>
  <c r="AS56" i="2"/>
  <c r="AS50" i="2" s="1"/>
  <c r="AB56" i="2"/>
  <c r="AB50" i="2" s="1"/>
  <c r="K61" i="2"/>
  <c r="BA56" i="2"/>
  <c r="BA50" i="2" s="1"/>
  <c r="L61" i="2"/>
  <c r="V56" i="2"/>
  <c r="AZ56" i="2"/>
  <c r="AZ50" i="2" s="1"/>
  <c r="J61" i="2"/>
  <c r="J63" i="2"/>
  <c r="K62" i="2"/>
  <c r="K63" i="2"/>
  <c r="AD56" i="2"/>
  <c r="AD50" i="2" s="1"/>
  <c r="AF56" i="2"/>
  <c r="AF50" i="2" s="1"/>
  <c r="M63" i="2"/>
  <c r="I62" i="2"/>
  <c r="I64" i="2"/>
  <c r="L56" i="2"/>
  <c r="L57" i="2" s="1"/>
  <c r="AY56" i="2"/>
  <c r="AY50" i="2" s="1"/>
  <c r="AQ56" i="2"/>
  <c r="AQ50" i="2" s="1"/>
  <c r="AI56" i="2"/>
  <c r="AI50" i="2" s="1"/>
  <c r="AA56" i="2"/>
  <c r="AA50" i="2" s="1"/>
  <c r="S56" i="2"/>
  <c r="K56" i="2"/>
  <c r="K57" i="2" s="1"/>
  <c r="AW56" i="2"/>
  <c r="AW50" i="2" s="1"/>
  <c r="Y56" i="2"/>
  <c r="I56" i="2"/>
  <c r="I57" i="2" s="1"/>
  <c r="AX56" i="2"/>
  <c r="AX50" i="2" s="1"/>
  <c r="AP56" i="2"/>
  <c r="AP50" i="2" s="1"/>
  <c r="AH56" i="2"/>
  <c r="AH50" i="2" s="1"/>
  <c r="Z56" i="2"/>
  <c r="R56" i="2"/>
  <c r="J56" i="2"/>
  <c r="J57" i="2" s="1"/>
  <c r="AO56" i="2"/>
  <c r="AO50" i="2" s="1"/>
  <c r="AG56" i="2"/>
  <c r="AG50" i="2" s="1"/>
  <c r="Q56" i="2"/>
  <c r="BC56" i="2"/>
  <c r="BC50" i="2" s="1"/>
  <c r="AU56" i="2"/>
  <c r="AU50" i="2" s="1"/>
  <c r="AM56" i="2"/>
  <c r="AM50" i="2" s="1"/>
  <c r="AE56" i="2"/>
  <c r="AE50" i="2" s="1"/>
  <c r="W56" i="2"/>
  <c r="O56" i="2"/>
  <c r="BB56" i="2"/>
  <c r="BB50" i="2" s="1"/>
  <c r="AT56" i="2"/>
  <c r="AT50" i="2" s="1"/>
  <c r="AL56" i="2"/>
  <c r="AL50" i="2" s="1"/>
  <c r="M56" i="2"/>
  <c r="AC56" i="2"/>
  <c r="AC50" i="2" s="1"/>
  <c r="AV56" i="2"/>
  <c r="AV50" i="2" s="1"/>
  <c r="L62" i="2"/>
  <c r="L64" i="2"/>
  <c r="T56" i="2"/>
  <c r="AJ56" i="2"/>
  <c r="AJ50" i="2" s="1"/>
  <c r="BD56" i="2"/>
  <c r="BD50" i="2" s="1"/>
  <c r="I61" i="2"/>
  <c r="I63" i="2"/>
  <c r="U56" i="2"/>
  <c r="AK56" i="2"/>
  <c r="AK50" i="2" s="1"/>
  <c r="M61" i="2"/>
  <c r="N60" i="2" s="1"/>
  <c r="M62" i="2"/>
  <c r="M64" i="2"/>
  <c r="I29" i="2"/>
  <c r="M29" i="2"/>
  <c r="H29" i="2"/>
  <c r="L29" i="2"/>
  <c r="J29" i="2"/>
  <c r="K29" i="2"/>
  <c r="L82" i="3"/>
  <c r="G32" i="2"/>
  <c r="M31" i="2"/>
  <c r="H106" i="2"/>
  <c r="D106" i="2"/>
  <c r="I31" i="2"/>
  <c r="M106" i="2"/>
  <c r="K106" i="2"/>
  <c r="K31" i="2"/>
  <c r="F106" i="2"/>
  <c r="L31" i="2"/>
  <c r="J31" i="2"/>
  <c r="I106" i="2"/>
  <c r="J106" i="2"/>
  <c r="L106" i="2"/>
  <c r="G106" i="2"/>
  <c r="H31" i="2"/>
  <c r="O30" i="2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AG30" i="2" s="1"/>
  <c r="AH30" i="2" s="1"/>
  <c r="AI30" i="2" s="1"/>
  <c r="AJ30" i="2" s="1"/>
  <c r="AK30" i="2" s="1"/>
  <c r="AL30" i="2" s="1"/>
  <c r="AM30" i="2" s="1"/>
  <c r="AN30" i="2" s="1"/>
  <c r="AO30" i="2" s="1"/>
  <c r="AP30" i="2" s="1"/>
  <c r="AQ30" i="2" s="1"/>
  <c r="AR30" i="2" s="1"/>
  <c r="AS30" i="2" s="1"/>
  <c r="AT30" i="2" s="1"/>
  <c r="AU30" i="2" s="1"/>
  <c r="AV30" i="2" s="1"/>
  <c r="AW30" i="2" s="1"/>
  <c r="AX30" i="2" s="1"/>
  <c r="AY30" i="2" s="1"/>
  <c r="AZ30" i="2" s="1"/>
  <c r="BA30" i="2" s="1"/>
  <c r="BB30" i="2" s="1"/>
  <c r="BC30" i="2" s="1"/>
  <c r="BD30" i="2" s="1"/>
  <c r="I110" i="2"/>
  <c r="J110" i="2"/>
  <c r="I108" i="2"/>
  <c r="E106" i="2"/>
  <c r="I105" i="2"/>
  <c r="J105" i="2"/>
  <c r="L108" i="2"/>
  <c r="K108" i="2"/>
  <c r="M108" i="2"/>
  <c r="P108" i="2" s="1"/>
  <c r="K105" i="2"/>
  <c r="K110" i="2"/>
  <c r="L110" i="2"/>
  <c r="J108" i="2"/>
  <c r="L105" i="2"/>
  <c r="M110" i="2"/>
  <c r="M105" i="2"/>
  <c r="L78" i="2"/>
  <c r="K78" i="2"/>
  <c r="J93" i="2"/>
  <c r="I78" i="2"/>
  <c r="I93" i="2" s="1"/>
  <c r="H78" i="2"/>
  <c r="H93" i="2" s="1"/>
  <c r="G78" i="2"/>
  <c r="G93" i="2" s="1"/>
  <c r="F78" i="2"/>
  <c r="F93" i="2" s="1"/>
  <c r="E78" i="2"/>
  <c r="E93" i="2" s="1"/>
  <c r="D78" i="2"/>
  <c r="D93" i="2" s="1"/>
  <c r="L75" i="2"/>
  <c r="L117" i="2" s="1"/>
  <c r="K75" i="2"/>
  <c r="K117" i="2" s="1"/>
  <c r="J75" i="2"/>
  <c r="J117" i="2" s="1"/>
  <c r="I75" i="2"/>
  <c r="I117" i="2" s="1"/>
  <c r="H75" i="2"/>
  <c r="H117" i="2" s="1"/>
  <c r="G75" i="2"/>
  <c r="G117" i="2" s="1"/>
  <c r="F75" i="2"/>
  <c r="E75" i="2"/>
  <c r="D75" i="2"/>
  <c r="L73" i="2"/>
  <c r="K73" i="2"/>
  <c r="J73" i="2"/>
  <c r="I73" i="2"/>
  <c r="H73" i="2"/>
  <c r="G73" i="2"/>
  <c r="F73" i="2"/>
  <c r="E73" i="2"/>
  <c r="D73" i="2"/>
  <c r="D88" i="2" s="1"/>
  <c r="L71" i="2"/>
  <c r="K71" i="2"/>
  <c r="J71" i="2"/>
  <c r="I71" i="2"/>
  <c r="H71" i="2"/>
  <c r="G71" i="2"/>
  <c r="F71" i="2"/>
  <c r="E71" i="2"/>
  <c r="D71" i="2"/>
  <c r="M75" i="2"/>
  <c r="M78" i="2"/>
  <c r="M71" i="2"/>
  <c r="N72" i="2" s="1"/>
  <c r="M73" i="2"/>
  <c r="L35" i="2"/>
  <c r="K35" i="2"/>
  <c r="J35" i="2"/>
  <c r="I35" i="2"/>
  <c r="H35" i="2"/>
  <c r="G35" i="2"/>
  <c r="F35" i="2"/>
  <c r="E35" i="2"/>
  <c r="D35" i="2"/>
  <c r="M35" i="2"/>
  <c r="N36" i="2" s="1"/>
  <c r="L38" i="2"/>
  <c r="K38" i="2"/>
  <c r="J38" i="2"/>
  <c r="I38" i="2"/>
  <c r="H38" i="2"/>
  <c r="G38" i="2"/>
  <c r="F38" i="2"/>
  <c r="E38" i="2"/>
  <c r="D38" i="2"/>
  <c r="M38" i="2"/>
  <c r="L26" i="2"/>
  <c r="K26" i="2"/>
  <c r="J26" i="2"/>
  <c r="I26" i="2"/>
  <c r="H26" i="2"/>
  <c r="G26" i="2"/>
  <c r="F26" i="2"/>
  <c r="E26" i="2"/>
  <c r="D26" i="2"/>
  <c r="M26" i="2"/>
  <c r="N27" i="2" s="1"/>
  <c r="L24" i="2"/>
  <c r="K24" i="2"/>
  <c r="J24" i="2"/>
  <c r="I24" i="2"/>
  <c r="H24" i="2"/>
  <c r="G24" i="2"/>
  <c r="F24" i="2"/>
  <c r="E24" i="2"/>
  <c r="D24" i="2"/>
  <c r="M24" i="2"/>
  <c r="N25" i="2" s="1"/>
  <c r="L22" i="2"/>
  <c r="K22" i="2"/>
  <c r="J22" i="2"/>
  <c r="I22" i="2"/>
  <c r="H22" i="2"/>
  <c r="G22" i="2"/>
  <c r="F22" i="2"/>
  <c r="E22" i="2"/>
  <c r="D22" i="2"/>
  <c r="M22" i="2"/>
  <c r="N23" i="2" s="1"/>
  <c r="L138" i="2"/>
  <c r="K138" i="2"/>
  <c r="J138" i="2"/>
  <c r="I138" i="2"/>
  <c r="F28" i="2"/>
  <c r="E28" i="2"/>
  <c r="D28" i="2"/>
  <c r="O33" i="2"/>
  <c r="L28" i="3"/>
  <c r="K28" i="3"/>
  <c r="J28" i="3"/>
  <c r="I28" i="3"/>
  <c r="H28" i="3"/>
  <c r="G28" i="3"/>
  <c r="F28" i="3"/>
  <c r="E28" i="3"/>
  <c r="D28" i="3"/>
  <c r="M28" i="3"/>
  <c r="L54" i="3"/>
  <c r="K54" i="3"/>
  <c r="J54" i="3"/>
  <c r="I54" i="3"/>
  <c r="H54" i="3"/>
  <c r="G54" i="3"/>
  <c r="F54" i="3"/>
  <c r="E54" i="3"/>
  <c r="D54" i="3"/>
  <c r="M54" i="3"/>
  <c r="O54" i="3" s="1"/>
  <c r="P54" i="3" s="1"/>
  <c r="Q54" i="3" s="1"/>
  <c r="R54" i="3" s="1"/>
  <c r="S54" i="3" s="1"/>
  <c r="T54" i="3" s="1"/>
  <c r="U54" i="3" s="1"/>
  <c r="V54" i="3" s="1"/>
  <c r="W54" i="3" s="1"/>
  <c r="X54" i="3" s="1"/>
  <c r="Y54" i="3" s="1"/>
  <c r="Z54" i="3" s="1"/>
  <c r="AA54" i="3" s="1"/>
  <c r="AB54" i="3" s="1"/>
  <c r="AC54" i="3" s="1"/>
  <c r="AD54" i="3" s="1"/>
  <c r="AE54" i="3" s="1"/>
  <c r="AF54" i="3" s="1"/>
  <c r="AG54" i="3" s="1"/>
  <c r="AH54" i="3" s="1"/>
  <c r="AI54" i="3" s="1"/>
  <c r="AJ54" i="3" s="1"/>
  <c r="AK54" i="3" s="1"/>
  <c r="AL54" i="3" s="1"/>
  <c r="AM54" i="3" s="1"/>
  <c r="AN54" i="3" s="1"/>
  <c r="AO54" i="3" s="1"/>
  <c r="AP54" i="3" s="1"/>
  <c r="AQ54" i="3" s="1"/>
  <c r="AR54" i="3" s="1"/>
  <c r="AS54" i="3" s="1"/>
  <c r="AT54" i="3" s="1"/>
  <c r="AU54" i="3" s="1"/>
  <c r="AV54" i="3" s="1"/>
  <c r="AW54" i="3" s="1"/>
  <c r="AX54" i="3" s="1"/>
  <c r="AY54" i="3" s="1"/>
  <c r="AZ54" i="3" s="1"/>
  <c r="BA54" i="3" s="1"/>
  <c r="BB54" i="3" s="1"/>
  <c r="BC54" i="3" s="1"/>
  <c r="BD54" i="3" s="1"/>
  <c r="L53" i="3"/>
  <c r="K53" i="3"/>
  <c r="J53" i="3"/>
  <c r="I53" i="3"/>
  <c r="H53" i="3"/>
  <c r="G53" i="3"/>
  <c r="F53" i="3"/>
  <c r="E53" i="3"/>
  <c r="D53" i="3"/>
  <c r="L52" i="3"/>
  <c r="K52" i="3"/>
  <c r="J52" i="3"/>
  <c r="I52" i="3"/>
  <c r="H52" i="3"/>
  <c r="G52" i="3"/>
  <c r="F52" i="3"/>
  <c r="E52" i="3"/>
  <c r="D52" i="3"/>
  <c r="L51" i="3"/>
  <c r="K51" i="3"/>
  <c r="J51" i="3"/>
  <c r="I51" i="3"/>
  <c r="H51" i="3"/>
  <c r="G51" i="3"/>
  <c r="F51" i="3"/>
  <c r="E51" i="3"/>
  <c r="D51" i="3"/>
  <c r="L49" i="3"/>
  <c r="K49" i="3"/>
  <c r="J49" i="3"/>
  <c r="I49" i="3"/>
  <c r="H49" i="3"/>
  <c r="G49" i="3"/>
  <c r="F49" i="3"/>
  <c r="E49" i="3"/>
  <c r="D49" i="3"/>
  <c r="L48" i="3"/>
  <c r="K48" i="3"/>
  <c r="J48" i="3"/>
  <c r="I48" i="3"/>
  <c r="H48" i="3"/>
  <c r="G48" i="3"/>
  <c r="F48" i="3"/>
  <c r="F47" i="3" s="1"/>
  <c r="F46" i="3" s="1"/>
  <c r="E48" i="3"/>
  <c r="D48" i="3"/>
  <c r="L45" i="3"/>
  <c r="K45" i="3"/>
  <c r="J45" i="3"/>
  <c r="I45" i="3"/>
  <c r="H45" i="3"/>
  <c r="G45" i="3"/>
  <c r="F45" i="3"/>
  <c r="E45" i="3"/>
  <c r="D45" i="3"/>
  <c r="L44" i="3"/>
  <c r="K44" i="3"/>
  <c r="J44" i="3"/>
  <c r="I44" i="3"/>
  <c r="H44" i="3"/>
  <c r="G44" i="3"/>
  <c r="F44" i="3"/>
  <c r="E44" i="3"/>
  <c r="D44" i="3"/>
  <c r="L43" i="3"/>
  <c r="K43" i="3"/>
  <c r="J43" i="3"/>
  <c r="I43" i="3"/>
  <c r="H43" i="3"/>
  <c r="G43" i="3"/>
  <c r="F43" i="3"/>
  <c r="E43" i="3"/>
  <c r="D43" i="3"/>
  <c r="L42" i="3"/>
  <c r="K42" i="3"/>
  <c r="J42" i="3"/>
  <c r="I42" i="3"/>
  <c r="I39" i="3" s="1"/>
  <c r="H42" i="3"/>
  <c r="H39" i="3" s="1"/>
  <c r="G42" i="3"/>
  <c r="G39" i="3" s="1"/>
  <c r="F42" i="3"/>
  <c r="F39" i="3" s="1"/>
  <c r="F41" i="3" s="1"/>
  <c r="E42" i="3"/>
  <c r="E39" i="3" s="1"/>
  <c r="E41" i="3" s="1"/>
  <c r="E40" i="3" s="1"/>
  <c r="D42" i="3"/>
  <c r="L39" i="3"/>
  <c r="K39" i="3"/>
  <c r="K41" i="3" s="1"/>
  <c r="J39" i="3"/>
  <c r="J38" i="3" s="1"/>
  <c r="D39" i="3"/>
  <c r="D41" i="3" s="1"/>
  <c r="L37" i="3"/>
  <c r="K37" i="3"/>
  <c r="J37" i="3"/>
  <c r="I37" i="3"/>
  <c r="H37" i="3"/>
  <c r="G37" i="3"/>
  <c r="F37" i="3"/>
  <c r="E37" i="3"/>
  <c r="D37" i="3"/>
  <c r="L34" i="3"/>
  <c r="K34" i="3"/>
  <c r="J34" i="3"/>
  <c r="I34" i="3"/>
  <c r="H34" i="3"/>
  <c r="G34" i="3"/>
  <c r="F34" i="3"/>
  <c r="E34" i="3"/>
  <c r="D34" i="3"/>
  <c r="L33" i="3"/>
  <c r="K33" i="3"/>
  <c r="J33" i="3"/>
  <c r="I33" i="3"/>
  <c r="H33" i="3"/>
  <c r="G33" i="3"/>
  <c r="F33" i="3"/>
  <c r="E33" i="3"/>
  <c r="D33" i="3"/>
  <c r="L32" i="3"/>
  <c r="K32" i="3"/>
  <c r="J32" i="3"/>
  <c r="J29" i="3" s="1"/>
  <c r="J27" i="3" s="1"/>
  <c r="I32" i="3"/>
  <c r="H32" i="3"/>
  <c r="H29" i="3" s="1"/>
  <c r="G32" i="3"/>
  <c r="G29" i="3" s="1"/>
  <c r="F32" i="3"/>
  <c r="F29" i="3" s="1"/>
  <c r="F31" i="3" s="1"/>
  <c r="E32" i="3"/>
  <c r="D32" i="3"/>
  <c r="L29" i="3"/>
  <c r="K29" i="3"/>
  <c r="K31" i="3" s="1"/>
  <c r="I29" i="3"/>
  <c r="I31" i="3" s="1"/>
  <c r="E29" i="3"/>
  <c r="E31" i="3" s="1"/>
  <c r="E30" i="3" s="1"/>
  <c r="D29" i="3"/>
  <c r="L23" i="3"/>
  <c r="K23" i="3"/>
  <c r="J23" i="3"/>
  <c r="J20" i="3" s="1"/>
  <c r="I23" i="3"/>
  <c r="H23" i="3"/>
  <c r="G23" i="3"/>
  <c r="F23" i="3"/>
  <c r="F20" i="3" s="1"/>
  <c r="E23" i="3"/>
  <c r="D23" i="3"/>
  <c r="L22" i="3"/>
  <c r="K22" i="3"/>
  <c r="K20" i="3" s="1"/>
  <c r="J22" i="3"/>
  <c r="I22" i="3"/>
  <c r="H22" i="3"/>
  <c r="G22" i="3"/>
  <c r="F22" i="3"/>
  <c r="E22" i="3"/>
  <c r="D22" i="3"/>
  <c r="L21" i="3"/>
  <c r="K21" i="3"/>
  <c r="J21" i="3"/>
  <c r="I21" i="3"/>
  <c r="H21" i="3"/>
  <c r="G21" i="3"/>
  <c r="F21" i="3"/>
  <c r="E21" i="3"/>
  <c r="E20" i="3" s="1"/>
  <c r="D21" i="3"/>
  <c r="L18" i="3"/>
  <c r="K18" i="3"/>
  <c r="K15" i="3" s="1"/>
  <c r="J18" i="3"/>
  <c r="I18" i="3"/>
  <c r="H18" i="3"/>
  <c r="G18" i="3"/>
  <c r="F18" i="3"/>
  <c r="F15" i="3" s="1"/>
  <c r="E18" i="3"/>
  <c r="D18" i="3"/>
  <c r="L16" i="3"/>
  <c r="K16" i="3"/>
  <c r="J16" i="3"/>
  <c r="J15" i="3" s="1"/>
  <c r="I16" i="3"/>
  <c r="I15" i="3" s="1"/>
  <c r="H16" i="3"/>
  <c r="G16" i="3"/>
  <c r="F16" i="3"/>
  <c r="E16" i="3"/>
  <c r="D16" i="3"/>
  <c r="E15" i="3"/>
  <c r="L12" i="3"/>
  <c r="K12" i="3"/>
  <c r="J12" i="3"/>
  <c r="I12" i="3"/>
  <c r="H12" i="3"/>
  <c r="G12" i="3"/>
  <c r="F12" i="3"/>
  <c r="E12" i="3"/>
  <c r="D12" i="3"/>
  <c r="L11" i="3"/>
  <c r="K11" i="3"/>
  <c r="J11" i="3"/>
  <c r="I11" i="3"/>
  <c r="H11" i="3"/>
  <c r="G11" i="3"/>
  <c r="F11" i="3"/>
  <c r="E11" i="3"/>
  <c r="D11" i="3"/>
  <c r="L10" i="3"/>
  <c r="K10" i="3"/>
  <c r="J10" i="3"/>
  <c r="I10" i="3"/>
  <c r="H10" i="3"/>
  <c r="G10" i="3"/>
  <c r="F10" i="3"/>
  <c r="E10" i="3"/>
  <c r="D10" i="3"/>
  <c r="L9" i="3"/>
  <c r="K9" i="3"/>
  <c r="J9" i="3"/>
  <c r="I9" i="3"/>
  <c r="H9" i="3"/>
  <c r="G9" i="3"/>
  <c r="F9" i="3"/>
  <c r="E9" i="3"/>
  <c r="D9" i="3"/>
  <c r="L8" i="3"/>
  <c r="K8" i="3"/>
  <c r="K7" i="3" s="1"/>
  <c r="J8" i="3"/>
  <c r="I8" i="3"/>
  <c r="H8" i="3"/>
  <c r="G8" i="3"/>
  <c r="F8" i="3"/>
  <c r="E8" i="3"/>
  <c r="D8" i="3"/>
  <c r="L7" i="3"/>
  <c r="D7" i="3"/>
  <c r="M45" i="3"/>
  <c r="M22" i="3"/>
  <c r="M18" i="3"/>
  <c r="M51" i="3"/>
  <c r="M52" i="3"/>
  <c r="M48" i="3"/>
  <c r="M49" i="3"/>
  <c r="M53" i="3"/>
  <c r="M16" i="3"/>
  <c r="M12" i="3"/>
  <c r="M11" i="3"/>
  <c r="M10" i="3"/>
  <c r="M9" i="3"/>
  <c r="M8" i="3"/>
  <c r="M44" i="3"/>
  <c r="M42" i="3"/>
  <c r="M39" i="3" s="1"/>
  <c r="M37" i="3"/>
  <c r="M34" i="3"/>
  <c r="M33" i="3"/>
  <c r="M32" i="3"/>
  <c r="M29" i="3" s="1"/>
  <c r="M23" i="3"/>
  <c r="M21" i="3"/>
  <c r="M43" i="3"/>
  <c r="H200" i="2"/>
  <c r="G200" i="2"/>
  <c r="F200" i="2"/>
  <c r="E200" i="2"/>
  <c r="D200" i="2"/>
  <c r="H199" i="2"/>
  <c r="G199" i="2"/>
  <c r="F199" i="2"/>
  <c r="E199" i="2"/>
  <c r="D199" i="2"/>
  <c r="I200" i="2"/>
  <c r="I199" i="2"/>
  <c r="J200" i="2"/>
  <c r="J199" i="2"/>
  <c r="K200" i="2"/>
  <c r="K199" i="2"/>
  <c r="L200" i="2"/>
  <c r="L199" i="2"/>
  <c r="M200" i="2"/>
  <c r="M199" i="2"/>
  <c r="Q108" i="2" l="1"/>
  <c r="Q110" i="2" s="1"/>
  <c r="P110" i="2"/>
  <c r="L60" i="2"/>
  <c r="J60" i="2"/>
  <c r="M57" i="2"/>
  <c r="O63" i="2"/>
  <c r="O64" i="2"/>
  <c r="O45" i="2" s="1"/>
  <c r="K60" i="2"/>
  <c r="AA52" i="2"/>
  <c r="AB52" i="2" s="1"/>
  <c r="AC52" i="2" s="1"/>
  <c r="AD52" i="2" s="1"/>
  <c r="AE52" i="2" s="1"/>
  <c r="AF52" i="2" s="1"/>
  <c r="AG52" i="2" s="1"/>
  <c r="AH52" i="2" s="1"/>
  <c r="AI52" i="2" s="1"/>
  <c r="AJ52" i="2" s="1"/>
  <c r="AK52" i="2" s="1"/>
  <c r="AL52" i="2" s="1"/>
  <c r="AM52" i="2" s="1"/>
  <c r="AN52" i="2" s="1"/>
  <c r="AO52" i="2" s="1"/>
  <c r="AP52" i="2" s="1"/>
  <c r="AQ52" i="2" s="1"/>
  <c r="AR52" i="2" s="1"/>
  <c r="AS52" i="2" s="1"/>
  <c r="AT52" i="2" s="1"/>
  <c r="AU52" i="2" s="1"/>
  <c r="AV52" i="2" s="1"/>
  <c r="AW52" i="2" s="1"/>
  <c r="AX52" i="2" s="1"/>
  <c r="AY52" i="2" s="1"/>
  <c r="AZ52" i="2" s="1"/>
  <c r="BA52" i="2" s="1"/>
  <c r="BB52" i="2" s="1"/>
  <c r="BC52" i="2" s="1"/>
  <c r="BD52" i="2" s="1"/>
  <c r="O61" i="2"/>
  <c r="O60" i="2" s="1"/>
  <c r="M60" i="2"/>
  <c r="K124" i="2"/>
  <c r="K160" i="2"/>
  <c r="L124" i="2"/>
  <c r="L160" i="2"/>
  <c r="G124" i="2"/>
  <c r="H124" i="2"/>
  <c r="I124" i="2"/>
  <c r="I160" i="2"/>
  <c r="J124" i="2"/>
  <c r="J160" i="2"/>
  <c r="O62" i="2"/>
  <c r="J118" i="2"/>
  <c r="G47" i="3"/>
  <c r="G46" i="3" s="1"/>
  <c r="H118" i="2"/>
  <c r="D15" i="3"/>
  <c r="L15" i="3"/>
  <c r="H47" i="3"/>
  <c r="M47" i="3"/>
  <c r="M46" i="3" s="1"/>
  <c r="J47" i="3"/>
  <c r="J46" i="3" s="1"/>
  <c r="K47" i="3"/>
  <c r="K46" i="3" s="1"/>
  <c r="L118" i="2"/>
  <c r="E7" i="3"/>
  <c r="H15" i="3"/>
  <c r="D47" i="3"/>
  <c r="L47" i="3"/>
  <c r="G15" i="3"/>
  <c r="E38" i="3"/>
  <c r="D38" i="3"/>
  <c r="L38" i="3"/>
  <c r="I47" i="3"/>
  <c r="I46" i="3" s="1"/>
  <c r="J7" i="3"/>
  <c r="I7" i="3"/>
  <c r="H7" i="3"/>
  <c r="G118" i="2"/>
  <c r="D20" i="3"/>
  <c r="L20" i="3"/>
  <c r="I139" i="2"/>
  <c r="I118" i="2"/>
  <c r="E46" i="3"/>
  <c r="E47" i="3"/>
  <c r="G7" i="3"/>
  <c r="F7" i="3"/>
  <c r="K139" i="2"/>
  <c r="K118" i="2"/>
  <c r="K136" i="2"/>
  <c r="I20" i="3"/>
  <c r="H20" i="3"/>
  <c r="G20" i="3"/>
  <c r="L136" i="2"/>
  <c r="K38" i="3"/>
  <c r="L41" i="3"/>
  <c r="L40" i="3" s="1"/>
  <c r="D40" i="3"/>
  <c r="M138" i="2"/>
  <c r="M117" i="2"/>
  <c r="M139" i="2"/>
  <c r="M118" i="2"/>
  <c r="K86" i="2"/>
  <c r="I152" i="2"/>
  <c r="H86" i="2"/>
  <c r="K149" i="2"/>
  <c r="K151" i="2"/>
  <c r="M152" i="2"/>
  <c r="L149" i="2"/>
  <c r="L151" i="2"/>
  <c r="I136" i="2"/>
  <c r="I149" i="2"/>
  <c r="J151" i="2"/>
  <c r="J139" i="2"/>
  <c r="J152" i="2"/>
  <c r="J136" i="2"/>
  <c r="J149" i="2"/>
  <c r="K152" i="2"/>
  <c r="M136" i="2"/>
  <c r="M149" i="2"/>
  <c r="F86" i="2"/>
  <c r="I151" i="2"/>
  <c r="L139" i="2"/>
  <c r="L152" i="2"/>
  <c r="M151" i="2"/>
  <c r="I86" i="2"/>
  <c r="E88" i="2"/>
  <c r="E89" i="2" s="1"/>
  <c r="F88" i="2"/>
  <c r="F89" i="2" s="1"/>
  <c r="J86" i="2"/>
  <c r="M86" i="2"/>
  <c r="G86" i="2"/>
  <c r="G76" i="2"/>
  <c r="G88" i="2"/>
  <c r="G89" i="2" s="1"/>
  <c r="G74" i="2"/>
  <c r="F90" i="2"/>
  <c r="F91" i="2" s="1"/>
  <c r="F76" i="2"/>
  <c r="H88" i="2"/>
  <c r="H89" i="2" s="1"/>
  <c r="H74" i="2"/>
  <c r="D90" i="2"/>
  <c r="D91" i="2" s="1"/>
  <c r="D76" i="2"/>
  <c r="K93" i="2"/>
  <c r="K94" i="2" s="1"/>
  <c r="K79" i="2"/>
  <c r="E90" i="2"/>
  <c r="E91" i="2" s="1"/>
  <c r="E76" i="2"/>
  <c r="M93" i="2"/>
  <c r="M79" i="2"/>
  <c r="I88" i="2"/>
  <c r="I89" i="2" s="1"/>
  <c r="I74" i="2"/>
  <c r="H76" i="2"/>
  <c r="L93" i="2"/>
  <c r="L94" i="2" s="1"/>
  <c r="L79" i="2"/>
  <c r="J88" i="2"/>
  <c r="J89" i="2" s="1"/>
  <c r="J74" i="2"/>
  <c r="L86" i="2"/>
  <c r="K88" i="2"/>
  <c r="K89" i="2" s="1"/>
  <c r="K74" i="2"/>
  <c r="E72" i="2"/>
  <c r="L88" i="2"/>
  <c r="L89" i="2" s="1"/>
  <c r="L74" i="2"/>
  <c r="M90" i="2"/>
  <c r="M76" i="2"/>
  <c r="I90" i="2"/>
  <c r="I91" i="2" s="1"/>
  <c r="I76" i="2"/>
  <c r="H90" i="2"/>
  <c r="H91" i="2" s="1"/>
  <c r="J90" i="2"/>
  <c r="J91" i="2" s="1"/>
  <c r="J76" i="2"/>
  <c r="L90" i="2"/>
  <c r="L91" i="2" s="1"/>
  <c r="L76" i="2"/>
  <c r="G90" i="2"/>
  <c r="G91" i="2" s="1"/>
  <c r="K90" i="2"/>
  <c r="K91" i="2" s="1"/>
  <c r="K76" i="2"/>
  <c r="M88" i="2"/>
  <c r="M74" i="2"/>
  <c r="D72" i="2"/>
  <c r="D86" i="2"/>
  <c r="E86" i="2"/>
  <c r="L72" i="2"/>
  <c r="F72" i="2"/>
  <c r="D89" i="2"/>
  <c r="H72" i="2"/>
  <c r="G72" i="2"/>
  <c r="K72" i="2"/>
  <c r="I72" i="2"/>
  <c r="J72" i="2"/>
  <c r="J196" i="2"/>
  <c r="M196" i="2"/>
  <c r="K27" i="3"/>
  <c r="K25" i="3" s="1"/>
  <c r="K24" i="3" s="1"/>
  <c r="L196" i="2"/>
  <c r="I196" i="2"/>
  <c r="F196" i="2"/>
  <c r="E27" i="3"/>
  <c r="E25" i="3" s="1"/>
  <c r="E24" i="3" s="1"/>
  <c r="D196" i="2"/>
  <c r="G196" i="2"/>
  <c r="E196" i="2"/>
  <c r="H196" i="2"/>
  <c r="D27" i="3"/>
  <c r="L27" i="3"/>
  <c r="K196" i="2"/>
  <c r="I30" i="3"/>
  <c r="D31" i="3"/>
  <c r="D30" i="3" s="1"/>
  <c r="L31" i="3"/>
  <c r="L30" i="3" s="1"/>
  <c r="I27" i="3"/>
  <c r="D46" i="3"/>
  <c r="L46" i="3"/>
  <c r="H46" i="3"/>
  <c r="G31" i="3"/>
  <c r="G30" i="3" s="1"/>
  <c r="H31" i="3"/>
  <c r="H30" i="3" s="1"/>
  <c r="H27" i="3"/>
  <c r="G27" i="3"/>
  <c r="I38" i="3"/>
  <c r="I41" i="3"/>
  <c r="I40" i="3" s="1"/>
  <c r="G41" i="3"/>
  <c r="G40" i="3"/>
  <c r="G38" i="3"/>
  <c r="J25" i="3"/>
  <c r="J24" i="3" s="1"/>
  <c r="H41" i="3"/>
  <c r="H40" i="3"/>
  <c r="H38" i="3"/>
  <c r="F27" i="3"/>
  <c r="K30" i="3"/>
  <c r="J31" i="3"/>
  <c r="J30" i="3" s="1"/>
  <c r="K40" i="3"/>
  <c r="J41" i="3"/>
  <c r="J40" i="3" s="1"/>
  <c r="F38" i="3"/>
  <c r="F30" i="3"/>
  <c r="F40" i="3"/>
  <c r="L81" i="2"/>
  <c r="L96" i="2" s="1"/>
  <c r="K81" i="2"/>
  <c r="K96" i="2" s="1"/>
  <c r="J81" i="2"/>
  <c r="I81" i="2"/>
  <c r="I96" i="2" s="1"/>
  <c r="I97" i="2" s="1"/>
  <c r="H81" i="2"/>
  <c r="H96" i="2" s="1"/>
  <c r="H97" i="2" s="1"/>
  <c r="G81" i="2"/>
  <c r="G96" i="2" s="1"/>
  <c r="G97" i="2" s="1"/>
  <c r="F81" i="2"/>
  <c r="F96" i="2" s="1"/>
  <c r="F97" i="2" s="1"/>
  <c r="E81" i="2"/>
  <c r="E96" i="2" s="1"/>
  <c r="E97" i="2" s="1"/>
  <c r="D81" i="2"/>
  <c r="D96" i="2" s="1"/>
  <c r="D97" i="2" s="1"/>
  <c r="M81" i="2"/>
  <c r="L32" i="2"/>
  <c r="K32" i="2"/>
  <c r="J32" i="2"/>
  <c r="I32" i="2"/>
  <c r="H32" i="2"/>
  <c r="H25" i="2"/>
  <c r="I23" i="2"/>
  <c r="L20" i="2"/>
  <c r="K20" i="2"/>
  <c r="J20" i="2"/>
  <c r="J116" i="2" s="1"/>
  <c r="I20" i="2"/>
  <c r="H20" i="2"/>
  <c r="G20" i="2"/>
  <c r="G116" i="2" s="1"/>
  <c r="F20" i="2"/>
  <c r="E20" i="2"/>
  <c r="D20" i="2"/>
  <c r="D21" i="2" s="1"/>
  <c r="O26" i="2" l="1"/>
  <c r="O27" i="2" s="1"/>
  <c r="O151" i="2"/>
  <c r="M89" i="2"/>
  <c r="O89" i="2" s="1"/>
  <c r="P89" i="2" s="1"/>
  <c r="M96" i="2"/>
  <c r="M84" i="2" s="1"/>
  <c r="M94" i="2"/>
  <c r="O44" i="2"/>
  <c r="M91" i="2"/>
  <c r="O79" i="2"/>
  <c r="J165" i="2"/>
  <c r="J183" i="2"/>
  <c r="J188" i="2" s="1"/>
  <c r="K165" i="2"/>
  <c r="K183" i="2"/>
  <c r="K188" i="2" s="1"/>
  <c r="L183" i="2"/>
  <c r="L188" i="2" s="1"/>
  <c r="L165" i="2"/>
  <c r="I165" i="2"/>
  <c r="I183" i="2"/>
  <c r="I188" i="2" s="1"/>
  <c r="M125" i="2"/>
  <c r="M161" i="2"/>
  <c r="G123" i="2"/>
  <c r="M124" i="2"/>
  <c r="M160" i="2"/>
  <c r="L125" i="2"/>
  <c r="L161" i="2"/>
  <c r="I125" i="2"/>
  <c r="I161" i="2"/>
  <c r="K125" i="2"/>
  <c r="K161" i="2"/>
  <c r="J125" i="2"/>
  <c r="J161" i="2"/>
  <c r="H125" i="2"/>
  <c r="J123" i="2"/>
  <c r="J159" i="2"/>
  <c r="G125" i="2"/>
  <c r="L69" i="2"/>
  <c r="F69" i="2"/>
  <c r="H69" i="2"/>
  <c r="J96" i="2"/>
  <c r="J97" i="2" s="1"/>
  <c r="J69" i="2"/>
  <c r="K69" i="2"/>
  <c r="M69" i="2"/>
  <c r="G69" i="2"/>
  <c r="I69" i="2"/>
  <c r="L25" i="3"/>
  <c r="L24" i="3" s="1"/>
  <c r="D25" i="3"/>
  <c r="D24" i="3" s="1"/>
  <c r="H25" i="3"/>
  <c r="H24" i="3" s="1"/>
  <c r="L115" i="2"/>
  <c r="K150" i="2"/>
  <c r="K116" i="2"/>
  <c r="H115" i="2"/>
  <c r="L150" i="2"/>
  <c r="L116" i="2"/>
  <c r="I150" i="2"/>
  <c r="I116" i="2"/>
  <c r="J115" i="2"/>
  <c r="G115" i="2"/>
  <c r="K115" i="2"/>
  <c r="H39" i="2"/>
  <c r="H116" i="2"/>
  <c r="I115" i="2"/>
  <c r="G25" i="3"/>
  <c r="G24" i="3" s="1"/>
  <c r="I25" i="3"/>
  <c r="I24" i="3" s="1"/>
  <c r="F25" i="3"/>
  <c r="F24" i="3" s="1"/>
  <c r="M115" i="2"/>
  <c r="J137" i="2"/>
  <c r="J150" i="2"/>
  <c r="K39" i="2"/>
  <c r="K137" i="2"/>
  <c r="L39" i="2"/>
  <c r="L137" i="2"/>
  <c r="I39" i="2"/>
  <c r="I137" i="2"/>
  <c r="K84" i="2"/>
  <c r="K68" i="2" s="1"/>
  <c r="K97" i="2"/>
  <c r="L84" i="2"/>
  <c r="L68" i="2" s="1"/>
  <c r="L97" i="2"/>
  <c r="H84" i="2"/>
  <c r="H68" i="2" s="1"/>
  <c r="G87" i="2"/>
  <c r="I84" i="2"/>
  <c r="I68" i="2" s="1"/>
  <c r="L87" i="2"/>
  <c r="G84" i="2"/>
  <c r="G68" i="2" s="1"/>
  <c r="K87" i="2"/>
  <c r="H87" i="2"/>
  <c r="I87" i="2"/>
  <c r="J39" i="2"/>
  <c r="J87" i="2"/>
  <c r="F84" i="2"/>
  <c r="F68" i="2" s="1"/>
  <c r="L33" i="2"/>
  <c r="I33" i="2"/>
  <c r="J33" i="2"/>
  <c r="K33" i="2"/>
  <c r="L23" i="2"/>
  <c r="H23" i="2"/>
  <c r="G25" i="2"/>
  <c r="J23" i="2"/>
  <c r="K23" i="2"/>
  <c r="L27" i="2"/>
  <c r="G23" i="2"/>
  <c r="I27" i="2"/>
  <c r="K25" i="2"/>
  <c r="I25" i="2"/>
  <c r="J27" i="2"/>
  <c r="L25" i="2"/>
  <c r="K27" i="2"/>
  <c r="H27" i="2"/>
  <c r="J25" i="2"/>
  <c r="G21" i="2"/>
  <c r="H21" i="2"/>
  <c r="E21" i="2"/>
  <c r="J21" i="2"/>
  <c r="L21" i="2"/>
  <c r="I21" i="2"/>
  <c r="K21" i="2"/>
  <c r="F21" i="2"/>
  <c r="L36" i="2"/>
  <c r="H36" i="2"/>
  <c r="G36" i="2"/>
  <c r="M32" i="2"/>
  <c r="N33" i="2" s="1"/>
  <c r="M27" i="2"/>
  <c r="M25" i="2"/>
  <c r="M20" i="2"/>
  <c r="N21" i="2" s="1"/>
  <c r="L17" i="2"/>
  <c r="K17" i="2"/>
  <c r="J17" i="2"/>
  <c r="I17" i="2"/>
  <c r="I153" i="2" s="1"/>
  <c r="H17" i="2"/>
  <c r="H112" i="2" s="1"/>
  <c r="H113" i="2" s="1"/>
  <c r="G17" i="2"/>
  <c r="F17" i="2"/>
  <c r="E17" i="2"/>
  <c r="D17" i="2"/>
  <c r="M17" i="2"/>
  <c r="L14" i="2"/>
  <c r="K14" i="2"/>
  <c r="J14" i="2"/>
  <c r="I14" i="2"/>
  <c r="H14" i="2"/>
  <c r="G14" i="2"/>
  <c r="F14" i="2"/>
  <c r="E14" i="2"/>
  <c r="D14" i="2"/>
  <c r="M14" i="2"/>
  <c r="O136" i="2" l="1"/>
  <c r="M97" i="2"/>
  <c r="M68" i="2"/>
  <c r="O91" i="2"/>
  <c r="M153" i="2"/>
  <c r="J166" i="2"/>
  <c r="J184" i="2"/>
  <c r="J189" i="2" s="1"/>
  <c r="M165" i="2"/>
  <c r="M183" i="2"/>
  <c r="K166" i="2"/>
  <c r="K184" i="2"/>
  <c r="K189" i="2" s="1"/>
  <c r="J164" i="2"/>
  <c r="J182" i="2"/>
  <c r="J187" i="2" s="1"/>
  <c r="M166" i="2"/>
  <c r="M184" i="2"/>
  <c r="M116" i="2"/>
  <c r="M137" i="2"/>
  <c r="I184" i="2"/>
  <c r="I189" i="2" s="1"/>
  <c r="I166" i="2"/>
  <c r="L166" i="2"/>
  <c r="L184" i="2"/>
  <c r="L189" i="2" s="1"/>
  <c r="H123" i="2"/>
  <c r="H122" i="2"/>
  <c r="M122" i="2"/>
  <c r="M158" i="2"/>
  <c r="K122" i="2"/>
  <c r="K158" i="2"/>
  <c r="K123" i="2"/>
  <c r="K159" i="2"/>
  <c r="G122" i="2"/>
  <c r="J122" i="2"/>
  <c r="J158" i="2"/>
  <c r="L122" i="2"/>
  <c r="L158" i="2"/>
  <c r="I122" i="2"/>
  <c r="I158" i="2"/>
  <c r="I123" i="2"/>
  <c r="I159" i="2"/>
  <c r="L123" i="2"/>
  <c r="L159" i="2"/>
  <c r="J84" i="2"/>
  <c r="J68" i="2" s="1"/>
  <c r="M150" i="2"/>
  <c r="L140" i="2"/>
  <c r="L153" i="2"/>
  <c r="J140" i="2"/>
  <c r="J153" i="2"/>
  <c r="K140" i="2"/>
  <c r="K153" i="2"/>
  <c r="O149" i="2"/>
  <c r="I112" i="2"/>
  <c r="I113" i="2" s="1"/>
  <c r="I140" i="2"/>
  <c r="M112" i="2"/>
  <c r="M140" i="2"/>
  <c r="F99" i="2"/>
  <c r="F112" i="2"/>
  <c r="F113" i="2" s="1"/>
  <c r="J112" i="2"/>
  <c r="J113" i="2" s="1"/>
  <c r="L99" i="2"/>
  <c r="L112" i="2"/>
  <c r="L113" i="2" s="1"/>
  <c r="K99" i="2"/>
  <c r="K112" i="2"/>
  <c r="K113" i="2" s="1"/>
  <c r="E197" i="2"/>
  <c r="E112" i="2"/>
  <c r="D197" i="2"/>
  <c r="D112" i="2"/>
  <c r="G99" i="2"/>
  <c r="G112" i="2"/>
  <c r="G113" i="2" s="1"/>
  <c r="M99" i="2"/>
  <c r="I99" i="2"/>
  <c r="H99" i="2"/>
  <c r="M39" i="2"/>
  <c r="M87" i="2"/>
  <c r="M18" i="2"/>
  <c r="J197" i="2"/>
  <c r="J18" i="2"/>
  <c r="K197" i="2"/>
  <c r="K18" i="2"/>
  <c r="F197" i="2"/>
  <c r="F18" i="2"/>
  <c r="L197" i="2"/>
  <c r="L18" i="2"/>
  <c r="G197" i="2"/>
  <c r="G18" i="2"/>
  <c r="H197" i="2"/>
  <c r="H18" i="2"/>
  <c r="I197" i="2"/>
  <c r="I18" i="2"/>
  <c r="M33" i="2"/>
  <c r="M36" i="2"/>
  <c r="K36" i="2"/>
  <c r="I36" i="2"/>
  <c r="J36" i="2"/>
  <c r="J127" i="2"/>
  <c r="M23" i="2"/>
  <c r="L127" i="2"/>
  <c r="M127" i="2"/>
  <c r="I127" i="2"/>
  <c r="K127" i="2"/>
  <c r="M72" i="2"/>
  <c r="O140" i="2" l="1"/>
  <c r="O97" i="2"/>
  <c r="M123" i="2"/>
  <c r="O137" i="2"/>
  <c r="M113" i="2"/>
  <c r="M189" i="2"/>
  <c r="M188" i="2"/>
  <c r="O153" i="2"/>
  <c r="I163" i="2"/>
  <c r="I181" i="2"/>
  <c r="I186" i="2" s="1"/>
  <c r="K163" i="2"/>
  <c r="K181" i="2"/>
  <c r="K186" i="2" s="1"/>
  <c r="L181" i="2"/>
  <c r="L186" i="2" s="1"/>
  <c r="L163" i="2"/>
  <c r="M181" i="2"/>
  <c r="M163" i="2"/>
  <c r="L164" i="2"/>
  <c r="L182" i="2"/>
  <c r="L187" i="2" s="1"/>
  <c r="J163" i="2"/>
  <c r="J181" i="2"/>
  <c r="J186" i="2" s="1"/>
  <c r="I164" i="2"/>
  <c r="I182" i="2"/>
  <c r="I187" i="2" s="1"/>
  <c r="M159" i="2"/>
  <c r="K164" i="2"/>
  <c r="K182" i="2"/>
  <c r="K187" i="2" s="1"/>
  <c r="J99" i="2"/>
  <c r="O39" i="2"/>
  <c r="R108" i="2"/>
  <c r="R110" i="2" s="1"/>
  <c r="O32" i="2"/>
  <c r="M155" i="2"/>
  <c r="F11" i="2"/>
  <c r="E11" i="2"/>
  <c r="D11" i="2"/>
  <c r="L11" i="2"/>
  <c r="K11" i="2"/>
  <c r="J11" i="2"/>
  <c r="I11" i="2"/>
  <c r="H11" i="2"/>
  <c r="G11" i="2"/>
  <c r="M186" i="2" l="1"/>
  <c r="R18" i="6"/>
  <c r="M176" i="2"/>
  <c r="M157" i="2"/>
  <c r="M164" i="2"/>
  <c r="M182" i="2"/>
  <c r="O130" i="2"/>
  <c r="O96" i="2"/>
  <c r="O143" i="2"/>
  <c r="S108" i="2"/>
  <c r="S110" i="2" s="1"/>
  <c r="O28" i="2"/>
  <c r="M309" i="1"/>
  <c r="R15" i="6" l="1"/>
  <c r="M177" i="2"/>
  <c r="M191" i="2"/>
  <c r="M187" i="2"/>
  <c r="O29" i="2"/>
  <c r="O46" i="2"/>
  <c r="O145" i="2"/>
  <c r="T108" i="2"/>
  <c r="T110" i="2" s="1"/>
  <c r="O90" i="2"/>
  <c r="R9" i="4"/>
  <c r="S9" i="4" s="1"/>
  <c r="T9" i="4" s="1"/>
  <c r="U9" i="4" s="1"/>
  <c r="V9" i="4" s="1"/>
  <c r="W9" i="4" s="1"/>
  <c r="X9" i="4" s="1"/>
  <c r="Y9" i="4" s="1"/>
  <c r="Z9" i="4" s="1"/>
  <c r="AA9" i="4" s="1"/>
  <c r="AB9" i="4" s="1"/>
  <c r="AC9" i="4" s="1"/>
  <c r="AD9" i="4" s="1"/>
  <c r="AE9" i="4" s="1"/>
  <c r="AF9" i="4" s="1"/>
  <c r="AG9" i="4" s="1"/>
  <c r="AH9" i="4" s="1"/>
  <c r="AI9" i="4" s="1"/>
  <c r="AJ9" i="4" s="1"/>
  <c r="AK9" i="4" s="1"/>
  <c r="AL9" i="4" s="1"/>
  <c r="AM9" i="4" s="1"/>
  <c r="AN9" i="4" s="1"/>
  <c r="AO9" i="4" s="1"/>
  <c r="AP9" i="4" s="1"/>
  <c r="AQ9" i="4" s="1"/>
  <c r="AR9" i="4" s="1"/>
  <c r="AS9" i="4" s="1"/>
  <c r="AT9" i="4" s="1"/>
  <c r="AU9" i="4" s="1"/>
  <c r="AV9" i="4" s="1"/>
  <c r="AW9" i="4" s="1"/>
  <c r="AX9" i="4" s="1"/>
  <c r="U108" i="2" l="1"/>
  <c r="U110" i="2" s="1"/>
  <c r="M21" i="2"/>
  <c r="V108" i="2" l="1"/>
  <c r="W108" i="2" l="1"/>
  <c r="W110" i="2" s="1"/>
  <c r="V110" i="2"/>
  <c r="X108" i="2" l="1"/>
  <c r="X110" i="2" s="1"/>
  <c r="G23" i="6"/>
  <c r="H23" i="6"/>
  <c r="G28" i="6"/>
  <c r="H28" i="6"/>
  <c r="G39" i="6"/>
  <c r="H39" i="6"/>
  <c r="F23" i="6"/>
  <c r="F28" i="6"/>
  <c r="F39" i="6"/>
  <c r="Y108" i="2" l="1"/>
  <c r="Y110" i="2" s="1"/>
  <c r="D103" i="3"/>
  <c r="Z108" i="2" l="1"/>
  <c r="AA108" i="2"/>
  <c r="Z110" i="2"/>
  <c r="BD179" i="3"/>
  <c r="BC179" i="3"/>
  <c r="BB179" i="3"/>
  <c r="BA179" i="3"/>
  <c r="AZ179" i="3"/>
  <c r="AY179" i="3"/>
  <c r="AX179" i="3"/>
  <c r="AW179" i="3"/>
  <c r="AV179" i="3"/>
  <c r="AU179" i="3"/>
  <c r="AT179" i="3"/>
  <c r="AS179" i="3"/>
  <c r="AR179" i="3"/>
  <c r="AQ179" i="3"/>
  <c r="AP179" i="3"/>
  <c r="AO179" i="3"/>
  <c r="AN179" i="3"/>
  <c r="AM179" i="3"/>
  <c r="AL179" i="3"/>
  <c r="AK179" i="3"/>
  <c r="AJ179" i="3"/>
  <c r="AI179" i="3"/>
  <c r="AH179" i="3"/>
  <c r="AG179" i="3"/>
  <c r="AF179" i="3"/>
  <c r="AE179" i="3"/>
  <c r="AD179" i="3"/>
  <c r="AC179" i="3"/>
  <c r="AB179" i="3"/>
  <c r="AA179" i="3"/>
  <c r="Z179" i="3"/>
  <c r="Y179" i="3"/>
  <c r="X179" i="3"/>
  <c r="W179" i="3"/>
  <c r="V179" i="3"/>
  <c r="U179" i="3"/>
  <c r="T179" i="3"/>
  <c r="S179" i="3"/>
  <c r="R179" i="3"/>
  <c r="Q179" i="3"/>
  <c r="P179" i="3"/>
  <c r="O179" i="3"/>
  <c r="N179" i="3"/>
  <c r="AB108" i="2" l="1"/>
  <c r="AB110" i="2" s="1"/>
  <c r="AA110" i="2"/>
  <c r="E39" i="6"/>
  <c r="AC108" i="2" l="1"/>
  <c r="E28" i="6"/>
  <c r="E23" i="6"/>
  <c r="AC110" i="2" l="1"/>
  <c r="AD108" i="2"/>
  <c r="D23" i="6"/>
  <c r="D39" i="6"/>
  <c r="D28" i="6"/>
  <c r="G10" i="6"/>
  <c r="H13" i="6" s="1"/>
  <c r="AE108" i="2" l="1"/>
  <c r="AF108" i="2" s="1"/>
  <c r="AF110" i="2" s="1"/>
  <c r="AD110" i="2"/>
  <c r="H14" i="6"/>
  <c r="O51" i="2" s="1"/>
  <c r="H12" i="6"/>
  <c r="O50" i="2" l="1"/>
  <c r="P51" i="2"/>
  <c r="O139" i="2"/>
  <c r="P139" i="2" s="1"/>
  <c r="O138" i="2"/>
  <c r="O132" i="2" s="1"/>
  <c r="AE110" i="2"/>
  <c r="AG108" i="2"/>
  <c r="T197" i="2"/>
  <c r="U197" i="2" s="1"/>
  <c r="P138" i="2" l="1"/>
  <c r="Q138" i="2" s="1"/>
  <c r="R138" i="2" s="1"/>
  <c r="S138" i="2" s="1"/>
  <c r="P50" i="2"/>
  <c r="Q51" i="2"/>
  <c r="Q139" i="2"/>
  <c r="R139" i="2" s="1"/>
  <c r="S139" i="2" s="1"/>
  <c r="AG110" i="2"/>
  <c r="AH108" i="2"/>
  <c r="O57" i="2"/>
  <c r="O43" i="2"/>
  <c r="V197" i="2"/>
  <c r="W197" i="2" s="1"/>
  <c r="Q50" i="2" l="1"/>
  <c r="T139" i="2"/>
  <c r="U139" i="2" s="1"/>
  <c r="T138" i="2"/>
  <c r="U138" i="2" s="1"/>
  <c r="V138" i="2" s="1"/>
  <c r="AI108" i="2"/>
  <c r="AH110" i="2"/>
  <c r="O42" i="2"/>
  <c r="O24" i="2"/>
  <c r="P57" i="2"/>
  <c r="X197" i="2"/>
  <c r="W138" i="2" l="1"/>
  <c r="V139" i="2"/>
  <c r="AI110" i="2"/>
  <c r="AJ108" i="2"/>
  <c r="AJ110" i="2" s="1"/>
  <c r="O25" i="2"/>
  <c r="O22" i="2"/>
  <c r="Y197" i="2"/>
  <c r="Z197" i="2" s="1"/>
  <c r="O88" i="2" l="1"/>
  <c r="O146" i="2"/>
  <c r="O144" i="2" s="1"/>
  <c r="O20" i="2"/>
  <c r="W139" i="2"/>
  <c r="X138" i="2"/>
  <c r="Y138" i="2" s="1"/>
  <c r="AK108" i="2"/>
  <c r="AL108" i="2" s="1"/>
  <c r="AL110" i="2" s="1"/>
  <c r="AA197" i="2"/>
  <c r="AB197" i="2" s="1"/>
  <c r="O150" i="2" l="1"/>
  <c r="Z138" i="2"/>
  <c r="AA138" i="2" s="1"/>
  <c r="X139" i="2"/>
  <c r="AK110" i="2"/>
  <c r="AM108" i="2"/>
  <c r="AC197" i="2"/>
  <c r="AD197" i="2" s="1"/>
  <c r="AE197" i="2" s="1"/>
  <c r="Y139" i="2" l="1"/>
  <c r="AB138" i="2"/>
  <c r="AC138" i="2" s="1"/>
  <c r="AM110" i="2"/>
  <c r="AN108" i="2"/>
  <c r="AF197" i="2"/>
  <c r="AG197" i="2" s="1"/>
  <c r="AD138" i="2" l="1"/>
  <c r="Z139" i="2"/>
  <c r="AA139" i="2" s="1"/>
  <c r="AN110" i="2"/>
  <c r="AO108" i="2"/>
  <c r="AH197" i="2"/>
  <c r="AI197" i="2" s="1"/>
  <c r="AE138" i="2" l="1"/>
  <c r="AF138" i="2" s="1"/>
  <c r="AG138" i="2" s="1"/>
  <c r="AH138" i="2" s="1"/>
  <c r="AB139" i="2"/>
  <c r="AP108" i="2"/>
  <c r="AQ108" i="2" s="1"/>
  <c r="AO110" i="2"/>
  <c r="AJ197" i="2"/>
  <c r="AK197" i="2" s="1"/>
  <c r="AI138" i="2" l="1"/>
  <c r="AC139" i="2"/>
  <c r="AD139" i="2" s="1"/>
  <c r="AR108" i="2"/>
  <c r="AR110" i="2" s="1"/>
  <c r="AQ110" i="2"/>
  <c r="AP110" i="2"/>
  <c r="AL197" i="2"/>
  <c r="AM197" i="2" s="1"/>
  <c r="AJ138" i="2" l="1"/>
  <c r="AK138" i="2" s="1"/>
  <c r="AL138" i="2" s="1"/>
  <c r="AE139" i="2"/>
  <c r="AS108" i="2"/>
  <c r="AT108" i="2"/>
  <c r="AS110" i="2"/>
  <c r="AN197" i="2"/>
  <c r="AO197" i="2" s="1"/>
  <c r="AF139" i="2" l="1"/>
  <c r="AG139" i="2" s="1"/>
  <c r="AM138" i="2"/>
  <c r="AU108" i="2"/>
  <c r="AT110" i="2"/>
  <c r="AP197" i="2"/>
  <c r="AQ197" i="2" s="1"/>
  <c r="AH139" i="2" l="1"/>
  <c r="AI139" i="2" s="1"/>
  <c r="AN138" i="2"/>
  <c r="AO138" i="2" s="1"/>
  <c r="AU110" i="2"/>
  <c r="AV108" i="2"/>
  <c r="AR197" i="2"/>
  <c r="AS197" i="2" s="1"/>
  <c r="AP138" i="2" l="1"/>
  <c r="AQ138" i="2" s="1"/>
  <c r="AJ139" i="2"/>
  <c r="AK139" i="2" s="1"/>
  <c r="AL139" i="2" s="1"/>
  <c r="AW108" i="2"/>
  <c r="AX108" i="2" s="1"/>
  <c r="AV110" i="2"/>
  <c r="AT197" i="2"/>
  <c r="AU197" i="2" s="1"/>
  <c r="AM139" i="2" l="1"/>
  <c r="AR138" i="2"/>
  <c r="AY108" i="2"/>
  <c r="AZ108" i="2" s="1"/>
  <c r="AX110" i="2"/>
  <c r="AW110" i="2"/>
  <c r="AV197" i="2"/>
  <c r="AW197" i="2" s="1"/>
  <c r="AS138" i="2" l="1"/>
  <c r="AN139" i="2"/>
  <c r="AO139" i="2" s="1"/>
  <c r="BA108" i="2"/>
  <c r="BA110" i="2" s="1"/>
  <c r="AZ110" i="2"/>
  <c r="AY110" i="2"/>
  <c r="AX197" i="2"/>
  <c r="AY197" i="2" s="1"/>
  <c r="AP139" i="2" l="1"/>
  <c r="AQ139" i="2" s="1"/>
  <c r="AT138" i="2"/>
  <c r="AU138" i="2" s="1"/>
  <c r="BB108" i="2"/>
  <c r="BB110" i="2" s="1"/>
  <c r="AZ197" i="2"/>
  <c r="BA197" i="2" s="1"/>
  <c r="AV138" i="2" l="1"/>
  <c r="AR139" i="2"/>
  <c r="BC108" i="2"/>
  <c r="BC110" i="2" s="1"/>
  <c r="BB197" i="2"/>
  <c r="BC197" i="2" s="1"/>
  <c r="BD197" i="2" s="1"/>
  <c r="BD108" i="2" l="1"/>
  <c r="BD110" i="2" s="1"/>
  <c r="AS139" i="2"/>
  <c r="AT139" i="2" s="1"/>
  <c r="AW138" i="2"/>
  <c r="N130" i="3"/>
  <c r="O18" i="3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Z18" i="3" s="1"/>
  <c r="AA18" i="3" s="1"/>
  <c r="AB18" i="3" s="1"/>
  <c r="AC18" i="3" s="1"/>
  <c r="AD18" i="3" s="1"/>
  <c r="AE18" i="3" s="1"/>
  <c r="AF18" i="3" s="1"/>
  <c r="AG18" i="3" s="1"/>
  <c r="AH18" i="3" s="1"/>
  <c r="AI18" i="3" s="1"/>
  <c r="AJ18" i="3" s="1"/>
  <c r="AK18" i="3" s="1"/>
  <c r="AL18" i="3" s="1"/>
  <c r="AM18" i="3" s="1"/>
  <c r="AN18" i="3" s="1"/>
  <c r="AO18" i="3" s="1"/>
  <c r="AP18" i="3" s="1"/>
  <c r="AQ18" i="3" s="1"/>
  <c r="AR18" i="3" s="1"/>
  <c r="AS18" i="3" s="1"/>
  <c r="AT18" i="3" s="1"/>
  <c r="AU18" i="3" s="1"/>
  <c r="AV18" i="3" s="1"/>
  <c r="AW18" i="3" s="1"/>
  <c r="AX18" i="3" s="1"/>
  <c r="AY18" i="3" s="1"/>
  <c r="AZ18" i="3" s="1"/>
  <c r="BA18" i="3" s="1"/>
  <c r="BB18" i="3" s="1"/>
  <c r="BC18" i="3" s="1"/>
  <c r="BD18" i="3" s="1"/>
  <c r="N178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P72" i="3"/>
  <c r="Q72" i="3" s="1"/>
  <c r="R72" i="3" s="1"/>
  <c r="S72" i="3" s="1"/>
  <c r="T72" i="3" s="1"/>
  <c r="U72" i="3" s="1"/>
  <c r="V72" i="3" s="1"/>
  <c r="W72" i="3" s="1"/>
  <c r="X72" i="3" s="1"/>
  <c r="Y72" i="3" s="1"/>
  <c r="Z72" i="3" s="1"/>
  <c r="AA72" i="3" s="1"/>
  <c r="AB72" i="3" s="1"/>
  <c r="AC72" i="3" s="1"/>
  <c r="AD72" i="3" s="1"/>
  <c r="AE72" i="3" s="1"/>
  <c r="AF72" i="3" s="1"/>
  <c r="AG72" i="3" s="1"/>
  <c r="AH72" i="3" s="1"/>
  <c r="AI72" i="3" s="1"/>
  <c r="AJ72" i="3" s="1"/>
  <c r="AK72" i="3" s="1"/>
  <c r="AL72" i="3" s="1"/>
  <c r="AM72" i="3" s="1"/>
  <c r="AN72" i="3" s="1"/>
  <c r="AO72" i="3" s="1"/>
  <c r="AP72" i="3" s="1"/>
  <c r="AQ72" i="3" s="1"/>
  <c r="AR72" i="3" s="1"/>
  <c r="AS72" i="3" s="1"/>
  <c r="AT72" i="3" s="1"/>
  <c r="AU72" i="3" s="1"/>
  <c r="AV72" i="3" s="1"/>
  <c r="AW72" i="3" s="1"/>
  <c r="AX72" i="3" s="1"/>
  <c r="AY72" i="3" s="1"/>
  <c r="AZ72" i="3" s="1"/>
  <c r="BA72" i="3" s="1"/>
  <c r="BB72" i="3" s="1"/>
  <c r="BC72" i="3" s="1"/>
  <c r="BD72" i="3" s="1"/>
  <c r="L115" i="3"/>
  <c r="K115" i="3"/>
  <c r="J115" i="3"/>
  <c r="H115" i="3"/>
  <c r="G115" i="3"/>
  <c r="F115" i="3"/>
  <c r="E115" i="3"/>
  <c r="O17" i="3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Z17" i="3" s="1"/>
  <c r="AA17" i="3" s="1"/>
  <c r="AB17" i="3" s="1"/>
  <c r="AC17" i="3" s="1"/>
  <c r="AD17" i="3" s="1"/>
  <c r="AE17" i="3" s="1"/>
  <c r="AF17" i="3" s="1"/>
  <c r="AG17" i="3" s="1"/>
  <c r="AH17" i="3" s="1"/>
  <c r="AI17" i="3" s="1"/>
  <c r="AJ17" i="3" s="1"/>
  <c r="AK17" i="3" s="1"/>
  <c r="AL17" i="3" s="1"/>
  <c r="AM17" i="3" s="1"/>
  <c r="AN17" i="3" s="1"/>
  <c r="AO17" i="3" s="1"/>
  <c r="AP17" i="3" s="1"/>
  <c r="AQ17" i="3" s="1"/>
  <c r="AR17" i="3" s="1"/>
  <c r="AS17" i="3" s="1"/>
  <c r="AT17" i="3" s="1"/>
  <c r="AU17" i="3" s="1"/>
  <c r="AV17" i="3" s="1"/>
  <c r="AW17" i="3" s="1"/>
  <c r="AX17" i="3" s="1"/>
  <c r="AY17" i="3" s="1"/>
  <c r="AZ17" i="3" s="1"/>
  <c r="BA17" i="3" s="1"/>
  <c r="BB17" i="3" s="1"/>
  <c r="BC17" i="3" s="1"/>
  <c r="BD17" i="3" s="1"/>
  <c r="O13" i="3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AB13" i="3" s="1"/>
  <c r="AC13" i="3" s="1"/>
  <c r="AD13" i="3" s="1"/>
  <c r="AE13" i="3" s="1"/>
  <c r="AF13" i="3" s="1"/>
  <c r="AG13" i="3" s="1"/>
  <c r="AH13" i="3" s="1"/>
  <c r="AI13" i="3" s="1"/>
  <c r="AJ13" i="3" s="1"/>
  <c r="AK13" i="3" s="1"/>
  <c r="AL13" i="3" s="1"/>
  <c r="AM13" i="3" s="1"/>
  <c r="AN13" i="3" s="1"/>
  <c r="AO13" i="3" s="1"/>
  <c r="AP13" i="3" s="1"/>
  <c r="AQ13" i="3" s="1"/>
  <c r="AR13" i="3" s="1"/>
  <c r="AS13" i="3" s="1"/>
  <c r="AT13" i="3" s="1"/>
  <c r="AU13" i="3" s="1"/>
  <c r="AV13" i="3" s="1"/>
  <c r="AW13" i="3" s="1"/>
  <c r="AX13" i="3" s="1"/>
  <c r="AY13" i="3" s="1"/>
  <c r="AZ13" i="3" s="1"/>
  <c r="BA13" i="3" s="1"/>
  <c r="BB13" i="3" s="1"/>
  <c r="BC13" i="3" s="1"/>
  <c r="BD13" i="3" s="1"/>
  <c r="O16" i="3"/>
  <c r="O12" i="3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Z12" i="3" s="1"/>
  <c r="AA12" i="3" s="1"/>
  <c r="AB12" i="3" s="1"/>
  <c r="AC12" i="3" s="1"/>
  <c r="AD12" i="3" s="1"/>
  <c r="AE12" i="3" s="1"/>
  <c r="AF12" i="3" s="1"/>
  <c r="AG12" i="3" s="1"/>
  <c r="AH12" i="3" s="1"/>
  <c r="AI12" i="3" s="1"/>
  <c r="AJ12" i="3" s="1"/>
  <c r="AK12" i="3" s="1"/>
  <c r="AL12" i="3" s="1"/>
  <c r="AM12" i="3" s="1"/>
  <c r="AN12" i="3" s="1"/>
  <c r="AO12" i="3" s="1"/>
  <c r="AP12" i="3" s="1"/>
  <c r="AQ12" i="3" s="1"/>
  <c r="AR12" i="3" s="1"/>
  <c r="AS12" i="3" s="1"/>
  <c r="AT12" i="3" s="1"/>
  <c r="AU12" i="3" s="1"/>
  <c r="AV12" i="3" s="1"/>
  <c r="AW12" i="3" s="1"/>
  <c r="AX12" i="3" s="1"/>
  <c r="AY12" i="3" s="1"/>
  <c r="AZ12" i="3" s="1"/>
  <c r="BA12" i="3" s="1"/>
  <c r="BB12" i="3" s="1"/>
  <c r="BC12" i="3" s="1"/>
  <c r="BD12" i="3" s="1"/>
  <c r="M106" i="3"/>
  <c r="L106" i="3"/>
  <c r="O52" i="3"/>
  <c r="P52" i="3" s="1"/>
  <c r="Q52" i="3" s="1"/>
  <c r="R52" i="3" s="1"/>
  <c r="S52" i="3" s="1"/>
  <c r="T52" i="3" s="1"/>
  <c r="U52" i="3" s="1"/>
  <c r="V52" i="3" s="1"/>
  <c r="W52" i="3" s="1"/>
  <c r="X52" i="3" s="1"/>
  <c r="Y52" i="3" s="1"/>
  <c r="Z52" i="3" s="1"/>
  <c r="AA52" i="3" s="1"/>
  <c r="AB52" i="3" s="1"/>
  <c r="AC52" i="3" s="1"/>
  <c r="AD52" i="3" s="1"/>
  <c r="AE52" i="3" s="1"/>
  <c r="AF52" i="3" s="1"/>
  <c r="AG52" i="3" s="1"/>
  <c r="AH52" i="3" s="1"/>
  <c r="AI52" i="3" s="1"/>
  <c r="AJ52" i="3" s="1"/>
  <c r="AK52" i="3" s="1"/>
  <c r="AL52" i="3" s="1"/>
  <c r="AM52" i="3" s="1"/>
  <c r="AN52" i="3" s="1"/>
  <c r="AO52" i="3" s="1"/>
  <c r="AP52" i="3" s="1"/>
  <c r="AQ52" i="3" s="1"/>
  <c r="AR52" i="3" s="1"/>
  <c r="AS52" i="3" s="1"/>
  <c r="AT52" i="3" s="1"/>
  <c r="AU52" i="3" s="1"/>
  <c r="AV52" i="3" s="1"/>
  <c r="AW52" i="3" s="1"/>
  <c r="AX52" i="3" s="1"/>
  <c r="AY52" i="3" s="1"/>
  <c r="AZ52" i="3" s="1"/>
  <c r="BA52" i="3" s="1"/>
  <c r="BB52" i="3" s="1"/>
  <c r="BC52" i="3" s="1"/>
  <c r="BD52" i="3" s="1"/>
  <c r="O51" i="3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AN51" i="3" s="1"/>
  <c r="AO51" i="3" s="1"/>
  <c r="AP51" i="3" s="1"/>
  <c r="AQ51" i="3" s="1"/>
  <c r="AR51" i="3" s="1"/>
  <c r="AS51" i="3" s="1"/>
  <c r="AT51" i="3" s="1"/>
  <c r="AU51" i="3" s="1"/>
  <c r="AV51" i="3" s="1"/>
  <c r="AW51" i="3" s="1"/>
  <c r="AX51" i="3" s="1"/>
  <c r="AY51" i="3" s="1"/>
  <c r="AZ51" i="3" s="1"/>
  <c r="BA51" i="3" s="1"/>
  <c r="BB51" i="3" s="1"/>
  <c r="BC51" i="3" s="1"/>
  <c r="BD51" i="3" s="1"/>
  <c r="O50" i="3"/>
  <c r="P50" i="3" s="1"/>
  <c r="Q50" i="3" s="1"/>
  <c r="R50" i="3" s="1"/>
  <c r="S50" i="3" s="1"/>
  <c r="T50" i="3" s="1"/>
  <c r="U50" i="3" s="1"/>
  <c r="V50" i="3" s="1"/>
  <c r="W50" i="3" s="1"/>
  <c r="X50" i="3" s="1"/>
  <c r="Y50" i="3" s="1"/>
  <c r="Z50" i="3" s="1"/>
  <c r="AA50" i="3" s="1"/>
  <c r="AB50" i="3" s="1"/>
  <c r="AC50" i="3" s="1"/>
  <c r="AD50" i="3" s="1"/>
  <c r="AE50" i="3" s="1"/>
  <c r="AF50" i="3" s="1"/>
  <c r="AG50" i="3" s="1"/>
  <c r="AH50" i="3" s="1"/>
  <c r="AI50" i="3" s="1"/>
  <c r="AJ50" i="3" s="1"/>
  <c r="AK50" i="3" s="1"/>
  <c r="AL50" i="3" s="1"/>
  <c r="AM50" i="3" s="1"/>
  <c r="AN50" i="3" s="1"/>
  <c r="AO50" i="3" s="1"/>
  <c r="AP50" i="3" s="1"/>
  <c r="AQ50" i="3" s="1"/>
  <c r="AR50" i="3" s="1"/>
  <c r="AS50" i="3" s="1"/>
  <c r="AT50" i="3" s="1"/>
  <c r="AU50" i="3" s="1"/>
  <c r="AV50" i="3" s="1"/>
  <c r="AW50" i="3" s="1"/>
  <c r="AX50" i="3" s="1"/>
  <c r="AY50" i="3" s="1"/>
  <c r="AZ50" i="3" s="1"/>
  <c r="BA50" i="3" s="1"/>
  <c r="BB50" i="3" s="1"/>
  <c r="BC50" i="3" s="1"/>
  <c r="BD50" i="3" s="1"/>
  <c r="O49" i="3"/>
  <c r="P49" i="3" s="1"/>
  <c r="Q49" i="3" s="1"/>
  <c r="R49" i="3" s="1"/>
  <c r="S49" i="3" s="1"/>
  <c r="T49" i="3" s="1"/>
  <c r="U49" i="3" s="1"/>
  <c r="V49" i="3" s="1"/>
  <c r="W49" i="3" s="1"/>
  <c r="X49" i="3" s="1"/>
  <c r="Y49" i="3" s="1"/>
  <c r="Z49" i="3" s="1"/>
  <c r="AA49" i="3" s="1"/>
  <c r="AB49" i="3" s="1"/>
  <c r="AC49" i="3" s="1"/>
  <c r="AD49" i="3" s="1"/>
  <c r="AE49" i="3" s="1"/>
  <c r="AF49" i="3" s="1"/>
  <c r="AG49" i="3" s="1"/>
  <c r="AH49" i="3" s="1"/>
  <c r="AI49" i="3" s="1"/>
  <c r="AJ49" i="3" s="1"/>
  <c r="AK49" i="3" s="1"/>
  <c r="AL49" i="3" s="1"/>
  <c r="AM49" i="3" s="1"/>
  <c r="AN49" i="3" s="1"/>
  <c r="AO49" i="3" s="1"/>
  <c r="AP49" i="3" s="1"/>
  <c r="AQ49" i="3" s="1"/>
  <c r="AR49" i="3" s="1"/>
  <c r="AS49" i="3" s="1"/>
  <c r="AT49" i="3" s="1"/>
  <c r="AU49" i="3" s="1"/>
  <c r="AV49" i="3" s="1"/>
  <c r="AW49" i="3" s="1"/>
  <c r="AX49" i="3" s="1"/>
  <c r="AY49" i="3" s="1"/>
  <c r="AZ49" i="3" s="1"/>
  <c r="BA49" i="3" s="1"/>
  <c r="BB49" i="3" s="1"/>
  <c r="BC49" i="3" s="1"/>
  <c r="BD49" i="3" s="1"/>
  <c r="O48" i="3"/>
  <c r="P48" i="3" s="1"/>
  <c r="Q48" i="3" s="1"/>
  <c r="R48" i="3" s="1"/>
  <c r="S48" i="3" s="1"/>
  <c r="T48" i="3" s="1"/>
  <c r="U48" i="3" s="1"/>
  <c r="V48" i="3" s="1"/>
  <c r="W48" i="3" s="1"/>
  <c r="X48" i="3" s="1"/>
  <c r="Y48" i="3" s="1"/>
  <c r="Z48" i="3" s="1"/>
  <c r="AA48" i="3" s="1"/>
  <c r="AB48" i="3" s="1"/>
  <c r="AC48" i="3" s="1"/>
  <c r="AD48" i="3" s="1"/>
  <c r="AE48" i="3" s="1"/>
  <c r="AF48" i="3" s="1"/>
  <c r="AG48" i="3" s="1"/>
  <c r="AH48" i="3" s="1"/>
  <c r="AI48" i="3" s="1"/>
  <c r="AJ48" i="3" s="1"/>
  <c r="AK48" i="3" s="1"/>
  <c r="AL48" i="3" s="1"/>
  <c r="AM48" i="3" s="1"/>
  <c r="AN48" i="3" s="1"/>
  <c r="AO48" i="3" s="1"/>
  <c r="AP48" i="3" s="1"/>
  <c r="AQ48" i="3" s="1"/>
  <c r="AR48" i="3" s="1"/>
  <c r="AS48" i="3" s="1"/>
  <c r="AT48" i="3" s="1"/>
  <c r="AU48" i="3" s="1"/>
  <c r="AV48" i="3" s="1"/>
  <c r="AW48" i="3" s="1"/>
  <c r="AX48" i="3" s="1"/>
  <c r="AY48" i="3" s="1"/>
  <c r="AZ48" i="3" s="1"/>
  <c r="BA48" i="3" s="1"/>
  <c r="BB48" i="3" s="1"/>
  <c r="BC48" i="3" s="1"/>
  <c r="BD48" i="3" s="1"/>
  <c r="M130" i="3"/>
  <c r="K130" i="3"/>
  <c r="I130" i="3"/>
  <c r="G130" i="3"/>
  <c r="E130" i="3"/>
  <c r="P104" i="3"/>
  <c r="Q104" i="3" s="1"/>
  <c r="R104" i="3" s="1"/>
  <c r="M101" i="3"/>
  <c r="L101" i="3"/>
  <c r="K101" i="3"/>
  <c r="J101" i="3"/>
  <c r="I101" i="3"/>
  <c r="H101" i="3"/>
  <c r="G101" i="3"/>
  <c r="F101" i="3"/>
  <c r="E101" i="3"/>
  <c r="D101" i="3"/>
  <c r="M124" i="3"/>
  <c r="L124" i="3"/>
  <c r="K124" i="3"/>
  <c r="J124" i="3"/>
  <c r="I124" i="3"/>
  <c r="H124" i="3"/>
  <c r="G124" i="3"/>
  <c r="F124" i="3"/>
  <c r="E124" i="3"/>
  <c r="M86" i="3"/>
  <c r="I86" i="3"/>
  <c r="H86" i="3"/>
  <c r="G86" i="3"/>
  <c r="F86" i="3"/>
  <c r="E86" i="3"/>
  <c r="P105" i="3"/>
  <c r="Q105" i="3" s="1"/>
  <c r="R105" i="3" s="1"/>
  <c r="S105" i="3" s="1"/>
  <c r="D79" i="3"/>
  <c r="L155" i="2"/>
  <c r="K155" i="2"/>
  <c r="J155" i="2"/>
  <c r="I155" i="2"/>
  <c r="H155" i="2"/>
  <c r="G155" i="2"/>
  <c r="F155" i="2"/>
  <c r="F176" i="2" s="1"/>
  <c r="F177" i="2" s="1"/>
  <c r="E155" i="2"/>
  <c r="E176" i="2" s="1"/>
  <c r="E177" i="2" s="1"/>
  <c r="D155" i="2"/>
  <c r="D176" i="2" s="1"/>
  <c r="D177" i="2" s="1"/>
  <c r="M70" i="2"/>
  <c r="L70" i="2"/>
  <c r="K70" i="2"/>
  <c r="J70" i="2"/>
  <c r="I70" i="2"/>
  <c r="H70" i="2"/>
  <c r="P6" i="2"/>
  <c r="U105" i="3" l="1"/>
  <c r="V105" i="3" s="1"/>
  <c r="W105" i="3" s="1"/>
  <c r="AX138" i="2"/>
  <c r="AU139" i="2"/>
  <c r="I176" i="2"/>
  <c r="I157" i="2"/>
  <c r="L176" i="2"/>
  <c r="L157" i="2"/>
  <c r="J176" i="2"/>
  <c r="J157" i="2"/>
  <c r="K176" i="2"/>
  <c r="K157" i="2"/>
  <c r="S104" i="3"/>
  <c r="U104" i="3" s="1"/>
  <c r="V104" i="3" s="1"/>
  <c r="W104" i="3" s="1"/>
  <c r="G176" i="2"/>
  <c r="G157" i="2"/>
  <c r="H176" i="2"/>
  <c r="H157" i="2"/>
  <c r="G120" i="2"/>
  <c r="H120" i="2"/>
  <c r="N115" i="3"/>
  <c r="K120" i="2"/>
  <c r="J100" i="2"/>
  <c r="K100" i="2"/>
  <c r="I120" i="2"/>
  <c r="M100" i="2"/>
  <c r="D120" i="2"/>
  <c r="L120" i="2"/>
  <c r="I100" i="2"/>
  <c r="J120" i="2"/>
  <c r="M120" i="2"/>
  <c r="G100" i="2"/>
  <c r="E120" i="2"/>
  <c r="L100" i="2"/>
  <c r="H100" i="2"/>
  <c r="F120" i="2"/>
  <c r="Q6" i="2"/>
  <c r="L79" i="3"/>
  <c r="F79" i="3"/>
  <c r="G70" i="2"/>
  <c r="G79" i="3"/>
  <c r="K79" i="3"/>
  <c r="H79" i="3"/>
  <c r="J79" i="3"/>
  <c r="I79" i="3"/>
  <c r="F100" i="2"/>
  <c r="D65" i="3"/>
  <c r="D86" i="3"/>
  <c r="J86" i="3"/>
  <c r="K86" i="3"/>
  <c r="K126" i="3" s="1"/>
  <c r="L86" i="3"/>
  <c r="L126" i="3" s="1"/>
  <c r="M141" i="3"/>
  <c r="L141" i="3"/>
  <c r="O178" i="3"/>
  <c r="P178" i="3" s="1"/>
  <c r="Q178" i="3" s="1"/>
  <c r="R178" i="3" s="1"/>
  <c r="S178" i="3" s="1"/>
  <c r="T178" i="3" s="1"/>
  <c r="U178" i="3" s="1"/>
  <c r="V178" i="3" s="1"/>
  <c r="W178" i="3" s="1"/>
  <c r="X178" i="3" s="1"/>
  <c r="Y178" i="3" s="1"/>
  <c r="Z178" i="3" s="1"/>
  <c r="AA178" i="3" s="1"/>
  <c r="AB178" i="3" s="1"/>
  <c r="AC178" i="3" s="1"/>
  <c r="AD178" i="3" s="1"/>
  <c r="AE178" i="3" s="1"/>
  <c r="AF178" i="3" s="1"/>
  <c r="AG178" i="3" s="1"/>
  <c r="AH178" i="3" s="1"/>
  <c r="AI178" i="3" s="1"/>
  <c r="AJ178" i="3" s="1"/>
  <c r="AK178" i="3" s="1"/>
  <c r="AL178" i="3" s="1"/>
  <c r="AM178" i="3" s="1"/>
  <c r="AN178" i="3" s="1"/>
  <c r="AO178" i="3" s="1"/>
  <c r="AP178" i="3" s="1"/>
  <c r="AQ178" i="3" s="1"/>
  <c r="AR178" i="3" s="1"/>
  <c r="AS178" i="3" s="1"/>
  <c r="AT178" i="3" s="1"/>
  <c r="AU178" i="3" s="1"/>
  <c r="AV178" i="3" s="1"/>
  <c r="AW178" i="3" s="1"/>
  <c r="AX178" i="3" s="1"/>
  <c r="AY178" i="3" s="1"/>
  <c r="AZ178" i="3" s="1"/>
  <c r="BA178" i="3" s="1"/>
  <c r="BB178" i="3" s="1"/>
  <c r="BC178" i="3" s="1"/>
  <c r="BD178" i="3" s="1"/>
  <c r="H3" i="6"/>
  <c r="H162" i="3"/>
  <c r="D28" i="4"/>
  <c r="J162" i="3"/>
  <c r="L162" i="3"/>
  <c r="F162" i="3"/>
  <c r="E141" i="3"/>
  <c r="G141" i="3"/>
  <c r="I141" i="3"/>
  <c r="K141" i="3"/>
  <c r="F141" i="3"/>
  <c r="H141" i="3"/>
  <c r="J141" i="3"/>
  <c r="G162" i="3"/>
  <c r="I162" i="3"/>
  <c r="K162" i="3"/>
  <c r="M162" i="3"/>
  <c r="E27" i="4"/>
  <c r="E162" i="3"/>
  <c r="F121" i="3"/>
  <c r="H121" i="3"/>
  <c r="J121" i="3"/>
  <c r="L121" i="3"/>
  <c r="D180" i="3"/>
  <c r="D172" i="3" s="1"/>
  <c r="F180" i="3"/>
  <c r="F171" i="3" s="1"/>
  <c r="H180" i="3"/>
  <c r="H171" i="3" s="1"/>
  <c r="J180" i="3"/>
  <c r="J171" i="3" s="1"/>
  <c r="L180" i="3"/>
  <c r="L171" i="3" s="1"/>
  <c r="F130" i="3"/>
  <c r="H130" i="3"/>
  <c r="J130" i="3"/>
  <c r="L130" i="3"/>
  <c r="D27" i="4"/>
  <c r="D13" i="4"/>
  <c r="F27" i="4"/>
  <c r="F13" i="4"/>
  <c r="H114" i="3"/>
  <c r="H27" i="4"/>
  <c r="H13" i="4"/>
  <c r="J114" i="3"/>
  <c r="J27" i="4"/>
  <c r="J13" i="4"/>
  <c r="L114" i="3"/>
  <c r="L27" i="4"/>
  <c r="L13" i="4"/>
  <c r="E121" i="3"/>
  <c r="G121" i="3"/>
  <c r="I121" i="3"/>
  <c r="K121" i="3"/>
  <c r="M121" i="3"/>
  <c r="E180" i="3"/>
  <c r="E168" i="3" s="1"/>
  <c r="G180" i="3"/>
  <c r="I180" i="3"/>
  <c r="I168" i="3" s="1"/>
  <c r="K180" i="3"/>
  <c r="M180" i="3"/>
  <c r="M168" i="3" s="1"/>
  <c r="N180" i="3"/>
  <c r="N4" i="4" s="1"/>
  <c r="G27" i="4"/>
  <c r="I98" i="3"/>
  <c r="I99" i="3" s="1"/>
  <c r="I27" i="4"/>
  <c r="K27" i="4"/>
  <c r="M114" i="3"/>
  <c r="M27" i="4"/>
  <c r="E13" i="4"/>
  <c r="G13" i="4"/>
  <c r="I13" i="4"/>
  <c r="K13" i="4"/>
  <c r="M13" i="4"/>
  <c r="D141" i="3"/>
  <c r="F123" i="3"/>
  <c r="F28" i="4"/>
  <c r="H123" i="3"/>
  <c r="H28" i="4"/>
  <c r="J123" i="3"/>
  <c r="J28" i="4"/>
  <c r="L123" i="3"/>
  <c r="L28" i="4"/>
  <c r="F14" i="4"/>
  <c r="H14" i="4"/>
  <c r="J14" i="4"/>
  <c r="L14" i="4"/>
  <c r="E123" i="3"/>
  <c r="E28" i="4"/>
  <c r="G123" i="3"/>
  <c r="G28" i="4"/>
  <c r="I123" i="3"/>
  <c r="I28" i="4"/>
  <c r="K123" i="3"/>
  <c r="K28" i="4"/>
  <c r="M123" i="3"/>
  <c r="M28" i="4"/>
  <c r="E14" i="4"/>
  <c r="G14" i="4"/>
  <c r="I14" i="4"/>
  <c r="K14" i="4"/>
  <c r="M14" i="4"/>
  <c r="E177" i="3"/>
  <c r="E163" i="3" s="1"/>
  <c r="G177" i="3"/>
  <c r="G163" i="3" s="1"/>
  <c r="I177" i="3"/>
  <c r="I163" i="3" s="1"/>
  <c r="K177" i="3"/>
  <c r="K163" i="3" s="1"/>
  <c r="M177" i="3"/>
  <c r="M163" i="3" s="1"/>
  <c r="H177" i="3"/>
  <c r="H163" i="3" s="1"/>
  <c r="L177" i="3"/>
  <c r="L163" i="3" s="1"/>
  <c r="F177" i="3"/>
  <c r="F163" i="3" s="1"/>
  <c r="J177" i="3"/>
  <c r="J163" i="3" s="1"/>
  <c r="D177" i="3"/>
  <c r="D163" i="3" s="1"/>
  <c r="E65" i="3"/>
  <c r="I65" i="3"/>
  <c r="M65" i="3"/>
  <c r="F122" i="3"/>
  <c r="H122" i="3"/>
  <c r="J122" i="3"/>
  <c r="L122" i="3"/>
  <c r="F66" i="3"/>
  <c r="H66" i="3"/>
  <c r="J66" i="3"/>
  <c r="L66" i="3"/>
  <c r="F119" i="3"/>
  <c r="H119" i="3"/>
  <c r="J119" i="3"/>
  <c r="L119" i="3"/>
  <c r="G120" i="3"/>
  <c r="I120" i="3"/>
  <c r="K120" i="3"/>
  <c r="M120" i="3"/>
  <c r="E70" i="3"/>
  <c r="F114" i="3"/>
  <c r="I156" i="2"/>
  <c r="E156" i="2"/>
  <c r="M156" i="2"/>
  <c r="D156" i="2"/>
  <c r="G156" i="2"/>
  <c r="K156" i="2"/>
  <c r="F156" i="2"/>
  <c r="H156" i="2"/>
  <c r="J156" i="2"/>
  <c r="L156" i="2"/>
  <c r="G114" i="3"/>
  <c r="I114" i="3"/>
  <c r="K114" i="3"/>
  <c r="I72" i="3"/>
  <c r="I115" i="3"/>
  <c r="M72" i="3"/>
  <c r="M115" i="3"/>
  <c r="K122" i="3"/>
  <c r="G122" i="3"/>
  <c r="H120" i="3"/>
  <c r="F120" i="3"/>
  <c r="J120" i="3"/>
  <c r="E114" i="3"/>
  <c r="M122" i="3"/>
  <c r="I122" i="3"/>
  <c r="L120" i="3"/>
  <c r="G119" i="3"/>
  <c r="I119" i="3"/>
  <c r="K119" i="3"/>
  <c r="M119" i="3"/>
  <c r="G70" i="3"/>
  <c r="I70" i="3"/>
  <c r="K70" i="3"/>
  <c r="M70" i="3"/>
  <c r="E66" i="3"/>
  <c r="G66" i="3"/>
  <c r="I66" i="3"/>
  <c r="K66" i="3"/>
  <c r="M66" i="3"/>
  <c r="E120" i="3"/>
  <c r="O37" i="3"/>
  <c r="P37" i="3" s="1"/>
  <c r="Q37" i="3" s="1"/>
  <c r="R37" i="3" s="1"/>
  <c r="S37" i="3" s="1"/>
  <c r="T37" i="3" s="1"/>
  <c r="U37" i="3" s="1"/>
  <c r="V37" i="3" s="1"/>
  <c r="W37" i="3" s="1"/>
  <c r="X37" i="3" s="1"/>
  <c r="Y37" i="3" s="1"/>
  <c r="Z37" i="3" s="1"/>
  <c r="AA37" i="3" s="1"/>
  <c r="AB37" i="3" s="1"/>
  <c r="AC37" i="3" s="1"/>
  <c r="AD37" i="3" s="1"/>
  <c r="AE37" i="3" s="1"/>
  <c r="AF37" i="3" s="1"/>
  <c r="AG37" i="3" s="1"/>
  <c r="AH37" i="3" s="1"/>
  <c r="AI37" i="3" s="1"/>
  <c r="AJ37" i="3" s="1"/>
  <c r="AK37" i="3" s="1"/>
  <c r="AL37" i="3" s="1"/>
  <c r="AM37" i="3" s="1"/>
  <c r="AN37" i="3" s="1"/>
  <c r="AO37" i="3" s="1"/>
  <c r="AP37" i="3" s="1"/>
  <c r="AQ37" i="3" s="1"/>
  <c r="AR37" i="3" s="1"/>
  <c r="AS37" i="3" s="1"/>
  <c r="AT37" i="3" s="1"/>
  <c r="AU37" i="3" s="1"/>
  <c r="AV37" i="3" s="1"/>
  <c r="AW37" i="3" s="1"/>
  <c r="AX37" i="3" s="1"/>
  <c r="AY37" i="3" s="1"/>
  <c r="AZ37" i="3" s="1"/>
  <c r="BA37" i="3" s="1"/>
  <c r="BB37" i="3" s="1"/>
  <c r="BC37" i="3" s="1"/>
  <c r="BD37" i="3" s="1"/>
  <c r="M27" i="3"/>
  <c r="K72" i="3"/>
  <c r="J72" i="3"/>
  <c r="L72" i="3"/>
  <c r="F70" i="3"/>
  <c r="H70" i="3"/>
  <c r="J70" i="3"/>
  <c r="L70" i="3"/>
  <c r="D66" i="3"/>
  <c r="O42" i="3"/>
  <c r="P42" i="3" s="1"/>
  <c r="Q42" i="3" s="1"/>
  <c r="R42" i="3" s="1"/>
  <c r="S42" i="3" s="1"/>
  <c r="T42" i="3" s="1"/>
  <c r="U42" i="3" s="1"/>
  <c r="V42" i="3" s="1"/>
  <c r="W42" i="3" s="1"/>
  <c r="X42" i="3" s="1"/>
  <c r="Y42" i="3" s="1"/>
  <c r="Z42" i="3" s="1"/>
  <c r="AA42" i="3" s="1"/>
  <c r="AB42" i="3" s="1"/>
  <c r="AC42" i="3" s="1"/>
  <c r="AD42" i="3" s="1"/>
  <c r="AE42" i="3" s="1"/>
  <c r="AF42" i="3" s="1"/>
  <c r="AG42" i="3" s="1"/>
  <c r="AH42" i="3" s="1"/>
  <c r="AI42" i="3" s="1"/>
  <c r="AJ42" i="3" s="1"/>
  <c r="AK42" i="3" s="1"/>
  <c r="AL42" i="3" s="1"/>
  <c r="AM42" i="3" s="1"/>
  <c r="AN42" i="3" s="1"/>
  <c r="AO42" i="3" s="1"/>
  <c r="AP42" i="3" s="1"/>
  <c r="AQ42" i="3" s="1"/>
  <c r="AR42" i="3" s="1"/>
  <c r="AS42" i="3" s="1"/>
  <c r="AT42" i="3" s="1"/>
  <c r="AU42" i="3" s="1"/>
  <c r="AV42" i="3" s="1"/>
  <c r="AW42" i="3" s="1"/>
  <c r="AX42" i="3" s="1"/>
  <c r="AY42" i="3" s="1"/>
  <c r="AZ42" i="3" s="1"/>
  <c r="BA42" i="3" s="1"/>
  <c r="BB42" i="3" s="1"/>
  <c r="BC42" i="3" s="1"/>
  <c r="BD42" i="3" s="1"/>
  <c r="O44" i="3"/>
  <c r="P44" i="3" s="1"/>
  <c r="Q44" i="3" s="1"/>
  <c r="R44" i="3" s="1"/>
  <c r="S44" i="3" s="1"/>
  <c r="T44" i="3" s="1"/>
  <c r="U44" i="3" s="1"/>
  <c r="V44" i="3" s="1"/>
  <c r="W44" i="3" s="1"/>
  <c r="X44" i="3" s="1"/>
  <c r="Y44" i="3" s="1"/>
  <c r="Z44" i="3" s="1"/>
  <c r="AA44" i="3" s="1"/>
  <c r="AB44" i="3" s="1"/>
  <c r="AC44" i="3" s="1"/>
  <c r="AD44" i="3" s="1"/>
  <c r="AE44" i="3" s="1"/>
  <c r="AF44" i="3" s="1"/>
  <c r="AG44" i="3" s="1"/>
  <c r="AH44" i="3" s="1"/>
  <c r="AI44" i="3" s="1"/>
  <c r="AJ44" i="3" s="1"/>
  <c r="AK44" i="3" s="1"/>
  <c r="AL44" i="3" s="1"/>
  <c r="AM44" i="3" s="1"/>
  <c r="AN44" i="3" s="1"/>
  <c r="AO44" i="3" s="1"/>
  <c r="AP44" i="3" s="1"/>
  <c r="AQ44" i="3" s="1"/>
  <c r="AR44" i="3" s="1"/>
  <c r="AS44" i="3" s="1"/>
  <c r="AT44" i="3" s="1"/>
  <c r="AU44" i="3" s="1"/>
  <c r="AV44" i="3" s="1"/>
  <c r="AW44" i="3" s="1"/>
  <c r="AX44" i="3" s="1"/>
  <c r="AY44" i="3" s="1"/>
  <c r="AZ44" i="3" s="1"/>
  <c r="BA44" i="3" s="1"/>
  <c r="BB44" i="3" s="1"/>
  <c r="BC44" i="3" s="1"/>
  <c r="BD44" i="3" s="1"/>
  <c r="L65" i="3"/>
  <c r="F65" i="3"/>
  <c r="J65" i="3"/>
  <c r="F61" i="3"/>
  <c r="H61" i="3"/>
  <c r="J61" i="3"/>
  <c r="L61" i="3"/>
  <c r="O32" i="3"/>
  <c r="P32" i="3" s="1"/>
  <c r="Q32" i="3" s="1"/>
  <c r="R32" i="3" s="1"/>
  <c r="S32" i="3" s="1"/>
  <c r="T32" i="3" s="1"/>
  <c r="U32" i="3" s="1"/>
  <c r="V32" i="3" s="1"/>
  <c r="W32" i="3" s="1"/>
  <c r="X32" i="3" s="1"/>
  <c r="Y32" i="3" s="1"/>
  <c r="Z32" i="3" s="1"/>
  <c r="AA32" i="3" s="1"/>
  <c r="AB32" i="3" s="1"/>
  <c r="AC32" i="3" s="1"/>
  <c r="AD32" i="3" s="1"/>
  <c r="AE32" i="3" s="1"/>
  <c r="AF32" i="3" s="1"/>
  <c r="AG32" i="3" s="1"/>
  <c r="AH32" i="3" s="1"/>
  <c r="AI32" i="3" s="1"/>
  <c r="AJ32" i="3" s="1"/>
  <c r="AK32" i="3" s="1"/>
  <c r="AL32" i="3" s="1"/>
  <c r="AM32" i="3" s="1"/>
  <c r="AN32" i="3" s="1"/>
  <c r="AO32" i="3" s="1"/>
  <c r="AP32" i="3" s="1"/>
  <c r="AQ32" i="3" s="1"/>
  <c r="AR32" i="3" s="1"/>
  <c r="AS32" i="3" s="1"/>
  <c r="AT32" i="3" s="1"/>
  <c r="AU32" i="3" s="1"/>
  <c r="AV32" i="3" s="1"/>
  <c r="AW32" i="3" s="1"/>
  <c r="AX32" i="3" s="1"/>
  <c r="AY32" i="3" s="1"/>
  <c r="AZ32" i="3" s="1"/>
  <c r="BA32" i="3" s="1"/>
  <c r="BB32" i="3" s="1"/>
  <c r="BC32" i="3" s="1"/>
  <c r="BD32" i="3" s="1"/>
  <c r="M41" i="3"/>
  <c r="M40" i="3" s="1"/>
  <c r="H65" i="3"/>
  <c r="O11" i="3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AG11" i="3" s="1"/>
  <c r="AH11" i="3" s="1"/>
  <c r="AI11" i="3" s="1"/>
  <c r="AJ11" i="3" s="1"/>
  <c r="AK11" i="3" s="1"/>
  <c r="AL11" i="3" s="1"/>
  <c r="AM11" i="3" s="1"/>
  <c r="AN11" i="3" s="1"/>
  <c r="AO11" i="3" s="1"/>
  <c r="AP11" i="3" s="1"/>
  <c r="AQ11" i="3" s="1"/>
  <c r="AR11" i="3" s="1"/>
  <c r="AS11" i="3" s="1"/>
  <c r="AT11" i="3" s="1"/>
  <c r="AU11" i="3" s="1"/>
  <c r="AV11" i="3" s="1"/>
  <c r="AW11" i="3" s="1"/>
  <c r="AX11" i="3" s="1"/>
  <c r="AY11" i="3" s="1"/>
  <c r="AZ11" i="3" s="1"/>
  <c r="BA11" i="3" s="1"/>
  <c r="BB11" i="3" s="1"/>
  <c r="BC11" i="3" s="1"/>
  <c r="BD11" i="3" s="1"/>
  <c r="O34" i="3"/>
  <c r="P34" i="3" s="1"/>
  <c r="Q34" i="3" s="1"/>
  <c r="R34" i="3" s="1"/>
  <c r="S34" i="3" s="1"/>
  <c r="T34" i="3" s="1"/>
  <c r="U34" i="3" s="1"/>
  <c r="V34" i="3" s="1"/>
  <c r="W34" i="3" s="1"/>
  <c r="X34" i="3" s="1"/>
  <c r="Y34" i="3" s="1"/>
  <c r="Z34" i="3" s="1"/>
  <c r="AA34" i="3" s="1"/>
  <c r="AB34" i="3" s="1"/>
  <c r="AC34" i="3" s="1"/>
  <c r="AD34" i="3" s="1"/>
  <c r="AE34" i="3" s="1"/>
  <c r="AF34" i="3" s="1"/>
  <c r="AG34" i="3" s="1"/>
  <c r="AH34" i="3" s="1"/>
  <c r="AI34" i="3" s="1"/>
  <c r="AJ34" i="3" s="1"/>
  <c r="AK34" i="3" s="1"/>
  <c r="AL34" i="3" s="1"/>
  <c r="AM34" i="3" s="1"/>
  <c r="AN34" i="3" s="1"/>
  <c r="AO34" i="3" s="1"/>
  <c r="AP34" i="3" s="1"/>
  <c r="AQ34" i="3" s="1"/>
  <c r="AR34" i="3" s="1"/>
  <c r="AS34" i="3" s="1"/>
  <c r="AT34" i="3" s="1"/>
  <c r="AU34" i="3" s="1"/>
  <c r="AV34" i="3" s="1"/>
  <c r="AW34" i="3" s="1"/>
  <c r="AX34" i="3" s="1"/>
  <c r="AY34" i="3" s="1"/>
  <c r="AZ34" i="3" s="1"/>
  <c r="BA34" i="3" s="1"/>
  <c r="BB34" i="3" s="1"/>
  <c r="BC34" i="3" s="1"/>
  <c r="BD34" i="3" s="1"/>
  <c r="O36" i="3"/>
  <c r="P36" i="3" s="1"/>
  <c r="Q36" i="3" s="1"/>
  <c r="R36" i="3" s="1"/>
  <c r="S36" i="3" s="1"/>
  <c r="T36" i="3" s="1"/>
  <c r="U36" i="3" s="1"/>
  <c r="V36" i="3" s="1"/>
  <c r="W36" i="3" s="1"/>
  <c r="X36" i="3" s="1"/>
  <c r="Y36" i="3" s="1"/>
  <c r="Z36" i="3" s="1"/>
  <c r="AA36" i="3" s="1"/>
  <c r="AB36" i="3" s="1"/>
  <c r="AC36" i="3" s="1"/>
  <c r="AD36" i="3" s="1"/>
  <c r="AE36" i="3" s="1"/>
  <c r="AF36" i="3" s="1"/>
  <c r="AG36" i="3" s="1"/>
  <c r="AH36" i="3" s="1"/>
  <c r="AI36" i="3" s="1"/>
  <c r="AJ36" i="3" s="1"/>
  <c r="AK36" i="3" s="1"/>
  <c r="AL36" i="3" s="1"/>
  <c r="AM36" i="3" s="1"/>
  <c r="AN36" i="3" s="1"/>
  <c r="AO36" i="3" s="1"/>
  <c r="AP36" i="3" s="1"/>
  <c r="AQ36" i="3" s="1"/>
  <c r="AR36" i="3" s="1"/>
  <c r="AS36" i="3" s="1"/>
  <c r="AT36" i="3" s="1"/>
  <c r="AU36" i="3" s="1"/>
  <c r="AV36" i="3" s="1"/>
  <c r="AW36" i="3" s="1"/>
  <c r="AX36" i="3" s="1"/>
  <c r="AY36" i="3" s="1"/>
  <c r="AZ36" i="3" s="1"/>
  <c r="BA36" i="3" s="1"/>
  <c r="BB36" i="3" s="1"/>
  <c r="BC36" i="3" s="1"/>
  <c r="BD36" i="3" s="1"/>
  <c r="M7" i="3"/>
  <c r="M6" i="3" s="1"/>
  <c r="M20" i="3"/>
  <c r="G65" i="3"/>
  <c r="K65" i="3"/>
  <c r="O21" i="3"/>
  <c r="P21" i="3" s="1"/>
  <c r="Q21" i="3" s="1"/>
  <c r="R21" i="3" s="1"/>
  <c r="S21" i="3" s="1"/>
  <c r="T21" i="3" s="1"/>
  <c r="U21" i="3" s="1"/>
  <c r="V21" i="3" s="1"/>
  <c r="W21" i="3" s="1"/>
  <c r="X21" i="3" s="1"/>
  <c r="Y21" i="3" s="1"/>
  <c r="Z21" i="3" s="1"/>
  <c r="AA21" i="3" s="1"/>
  <c r="AB21" i="3" s="1"/>
  <c r="AC21" i="3" s="1"/>
  <c r="AD21" i="3" s="1"/>
  <c r="AE21" i="3" s="1"/>
  <c r="AF21" i="3" s="1"/>
  <c r="AG21" i="3" s="1"/>
  <c r="AH21" i="3" s="1"/>
  <c r="AI21" i="3" s="1"/>
  <c r="AJ21" i="3" s="1"/>
  <c r="AK21" i="3" s="1"/>
  <c r="AL21" i="3" s="1"/>
  <c r="AM21" i="3" s="1"/>
  <c r="AN21" i="3" s="1"/>
  <c r="AO21" i="3" s="1"/>
  <c r="AP21" i="3" s="1"/>
  <c r="AQ21" i="3" s="1"/>
  <c r="AR21" i="3" s="1"/>
  <c r="AS21" i="3" s="1"/>
  <c r="AT21" i="3" s="1"/>
  <c r="AU21" i="3" s="1"/>
  <c r="AV21" i="3" s="1"/>
  <c r="AW21" i="3" s="1"/>
  <c r="AX21" i="3" s="1"/>
  <c r="AY21" i="3" s="1"/>
  <c r="AZ21" i="3" s="1"/>
  <c r="BA21" i="3" s="1"/>
  <c r="BB21" i="3" s="1"/>
  <c r="BC21" i="3" s="1"/>
  <c r="BD21" i="3" s="1"/>
  <c r="E79" i="3"/>
  <c r="E60" i="3"/>
  <c r="G60" i="3"/>
  <c r="I60" i="3"/>
  <c r="K60" i="3"/>
  <c r="E62" i="3"/>
  <c r="G62" i="3"/>
  <c r="I62" i="3"/>
  <c r="K62" i="3"/>
  <c r="F60" i="3"/>
  <c r="J60" i="3"/>
  <c r="E61" i="3"/>
  <c r="G61" i="3"/>
  <c r="I61" i="3"/>
  <c r="K61" i="3"/>
  <c r="M197" i="2"/>
  <c r="F62" i="3"/>
  <c r="J62" i="3"/>
  <c r="P16" i="3"/>
  <c r="O15" i="3"/>
  <c r="H62" i="3"/>
  <c r="L62" i="3"/>
  <c r="E119" i="3"/>
  <c r="D60" i="3"/>
  <c r="D62" i="3"/>
  <c r="O43" i="3"/>
  <c r="P43" i="3" s="1"/>
  <c r="Q43" i="3" s="1"/>
  <c r="R43" i="3" s="1"/>
  <c r="S43" i="3" s="1"/>
  <c r="T43" i="3" s="1"/>
  <c r="U43" i="3" s="1"/>
  <c r="V43" i="3" s="1"/>
  <c r="W43" i="3" s="1"/>
  <c r="X43" i="3" s="1"/>
  <c r="Y43" i="3" s="1"/>
  <c r="Z43" i="3" s="1"/>
  <c r="AA43" i="3" s="1"/>
  <c r="AB43" i="3" s="1"/>
  <c r="AC43" i="3" s="1"/>
  <c r="AD43" i="3" s="1"/>
  <c r="AE43" i="3" s="1"/>
  <c r="AF43" i="3" s="1"/>
  <c r="AG43" i="3" s="1"/>
  <c r="AH43" i="3" s="1"/>
  <c r="AI43" i="3" s="1"/>
  <c r="AJ43" i="3" s="1"/>
  <c r="AK43" i="3" s="1"/>
  <c r="AL43" i="3" s="1"/>
  <c r="AM43" i="3" s="1"/>
  <c r="AN43" i="3" s="1"/>
  <c r="AO43" i="3" s="1"/>
  <c r="AP43" i="3" s="1"/>
  <c r="AQ43" i="3" s="1"/>
  <c r="AR43" i="3" s="1"/>
  <c r="AS43" i="3" s="1"/>
  <c r="AT43" i="3" s="1"/>
  <c r="AU43" i="3" s="1"/>
  <c r="AV43" i="3" s="1"/>
  <c r="AW43" i="3" s="1"/>
  <c r="AX43" i="3" s="1"/>
  <c r="AY43" i="3" s="1"/>
  <c r="AZ43" i="3" s="1"/>
  <c r="BA43" i="3" s="1"/>
  <c r="BB43" i="3" s="1"/>
  <c r="BC43" i="3" s="1"/>
  <c r="BD43" i="3" s="1"/>
  <c r="O45" i="3"/>
  <c r="P45" i="3" s="1"/>
  <c r="Q45" i="3" s="1"/>
  <c r="R45" i="3" s="1"/>
  <c r="S45" i="3" s="1"/>
  <c r="T45" i="3" s="1"/>
  <c r="U45" i="3" s="1"/>
  <c r="V45" i="3" s="1"/>
  <c r="W45" i="3" s="1"/>
  <c r="X45" i="3" s="1"/>
  <c r="Y45" i="3" s="1"/>
  <c r="Z45" i="3" s="1"/>
  <c r="AA45" i="3" s="1"/>
  <c r="AB45" i="3" s="1"/>
  <c r="AC45" i="3" s="1"/>
  <c r="AD45" i="3" s="1"/>
  <c r="AE45" i="3" s="1"/>
  <c r="AF45" i="3" s="1"/>
  <c r="AG45" i="3" s="1"/>
  <c r="AH45" i="3" s="1"/>
  <c r="AI45" i="3" s="1"/>
  <c r="AJ45" i="3" s="1"/>
  <c r="AK45" i="3" s="1"/>
  <c r="AL45" i="3" s="1"/>
  <c r="AM45" i="3" s="1"/>
  <c r="AN45" i="3" s="1"/>
  <c r="AO45" i="3" s="1"/>
  <c r="AP45" i="3" s="1"/>
  <c r="AQ45" i="3" s="1"/>
  <c r="AR45" i="3" s="1"/>
  <c r="AS45" i="3" s="1"/>
  <c r="AT45" i="3" s="1"/>
  <c r="AU45" i="3" s="1"/>
  <c r="AV45" i="3" s="1"/>
  <c r="AW45" i="3" s="1"/>
  <c r="AX45" i="3" s="1"/>
  <c r="AY45" i="3" s="1"/>
  <c r="AZ45" i="3" s="1"/>
  <c r="BA45" i="3" s="1"/>
  <c r="BB45" i="3" s="1"/>
  <c r="BC45" i="3" s="1"/>
  <c r="BD45" i="3" s="1"/>
  <c r="M38" i="3"/>
  <c r="D61" i="3"/>
  <c r="H60" i="3"/>
  <c r="L60" i="3"/>
  <c r="M15" i="3"/>
  <c r="M31" i="3"/>
  <c r="M30" i="3" s="1"/>
  <c r="E122" i="3"/>
  <c r="E126" i="3"/>
  <c r="I126" i="3"/>
  <c r="M126" i="3"/>
  <c r="K128" i="2"/>
  <c r="F126" i="3"/>
  <c r="H126" i="3"/>
  <c r="J126" i="3"/>
  <c r="G126" i="3"/>
  <c r="M128" i="2"/>
  <c r="L128" i="2"/>
  <c r="I128" i="2"/>
  <c r="J128" i="2"/>
  <c r="X104" i="3" l="1"/>
  <c r="Y104" i="3" s="1"/>
  <c r="Z104" i="3" s="1"/>
  <c r="AA104" i="3" s="1"/>
  <c r="AB104" i="3" s="1"/>
  <c r="AC104" i="3" s="1"/>
  <c r="AD104" i="3" s="1"/>
  <c r="AE104" i="3" s="1"/>
  <c r="AF104" i="3" s="1"/>
  <c r="AG104" i="3" s="1"/>
  <c r="AH104" i="3" s="1"/>
  <c r="AI104" i="3" s="1"/>
  <c r="AJ104" i="3" s="1"/>
  <c r="AK104" i="3" s="1"/>
  <c r="AL104" i="3" s="1"/>
  <c r="AM104" i="3" s="1"/>
  <c r="AN104" i="3" s="1"/>
  <c r="AO104" i="3" s="1"/>
  <c r="AP104" i="3" s="1"/>
  <c r="AQ104" i="3" s="1"/>
  <c r="AR104" i="3" s="1"/>
  <c r="AS104" i="3" s="1"/>
  <c r="AT104" i="3" s="1"/>
  <c r="AU104" i="3" s="1"/>
  <c r="AV104" i="3" s="1"/>
  <c r="AW104" i="3" s="1"/>
  <c r="AX104" i="3" s="1"/>
  <c r="AY104" i="3" s="1"/>
  <c r="AZ104" i="3" s="1"/>
  <c r="BA104" i="3" s="1"/>
  <c r="BB104" i="3" s="1"/>
  <c r="BC104" i="3" s="1"/>
  <c r="BD104" i="3" s="1"/>
  <c r="Y105" i="3"/>
  <c r="Z105" i="3" s="1"/>
  <c r="AA105" i="3" s="1"/>
  <c r="AB105" i="3" s="1"/>
  <c r="AC105" i="3" s="1"/>
  <c r="AD105" i="3" s="1"/>
  <c r="AE105" i="3" s="1"/>
  <c r="AF105" i="3" s="1"/>
  <c r="AG105" i="3" s="1"/>
  <c r="AH105" i="3" s="1"/>
  <c r="AI105" i="3" s="1"/>
  <c r="AJ105" i="3" s="1"/>
  <c r="AK105" i="3" s="1"/>
  <c r="AL105" i="3" s="1"/>
  <c r="AM105" i="3" s="1"/>
  <c r="AN105" i="3" s="1"/>
  <c r="AO105" i="3" s="1"/>
  <c r="AP105" i="3" s="1"/>
  <c r="AQ105" i="3" s="1"/>
  <c r="AR105" i="3" s="1"/>
  <c r="AS105" i="3" s="1"/>
  <c r="AT105" i="3" s="1"/>
  <c r="AU105" i="3" s="1"/>
  <c r="AV105" i="3" s="1"/>
  <c r="AW105" i="3" s="1"/>
  <c r="AX105" i="3" s="1"/>
  <c r="AY105" i="3" s="1"/>
  <c r="AZ105" i="3" s="1"/>
  <c r="BA105" i="3" s="1"/>
  <c r="BB105" i="3" s="1"/>
  <c r="BC105" i="3" s="1"/>
  <c r="BD105" i="3" s="1"/>
  <c r="X105" i="3"/>
  <c r="AV139" i="2"/>
  <c r="AW139" i="2" s="1"/>
  <c r="AY138" i="2"/>
  <c r="AZ138" i="2" s="1"/>
  <c r="K177" i="2"/>
  <c r="K191" i="2"/>
  <c r="H177" i="2"/>
  <c r="H191" i="2"/>
  <c r="J177" i="2"/>
  <c r="J191" i="2"/>
  <c r="G177" i="2"/>
  <c r="G191" i="2"/>
  <c r="L177" i="2"/>
  <c r="L191" i="2"/>
  <c r="I191" i="2"/>
  <c r="I177" i="2"/>
  <c r="P70" i="3"/>
  <c r="Q70" i="3" s="1"/>
  <c r="R70" i="3" s="1"/>
  <c r="S70" i="3" s="1"/>
  <c r="T70" i="3" s="1"/>
  <c r="U70" i="3" s="1"/>
  <c r="V70" i="3" s="1"/>
  <c r="W70" i="3" s="1"/>
  <c r="X70" i="3" s="1"/>
  <c r="Y70" i="3" s="1"/>
  <c r="Z70" i="3" s="1"/>
  <c r="AA70" i="3" s="1"/>
  <c r="AB70" i="3" s="1"/>
  <c r="AC70" i="3" s="1"/>
  <c r="AD70" i="3" s="1"/>
  <c r="AE70" i="3" s="1"/>
  <c r="AF70" i="3" s="1"/>
  <c r="AG70" i="3" s="1"/>
  <c r="AH70" i="3" s="1"/>
  <c r="AI70" i="3" s="1"/>
  <c r="AJ70" i="3" s="1"/>
  <c r="AK70" i="3" s="1"/>
  <c r="AL70" i="3" s="1"/>
  <c r="AM70" i="3" s="1"/>
  <c r="AN70" i="3" s="1"/>
  <c r="AO70" i="3" s="1"/>
  <c r="AP70" i="3" s="1"/>
  <c r="AQ70" i="3" s="1"/>
  <c r="AR70" i="3" s="1"/>
  <c r="AS70" i="3" s="1"/>
  <c r="AT70" i="3" s="1"/>
  <c r="AU70" i="3" s="1"/>
  <c r="AV70" i="3" s="1"/>
  <c r="AW70" i="3" s="1"/>
  <c r="AX70" i="3" s="1"/>
  <c r="AY70" i="3" s="1"/>
  <c r="AZ70" i="3" s="1"/>
  <c r="BA70" i="3" s="1"/>
  <c r="BB70" i="3" s="1"/>
  <c r="BC70" i="3" s="1"/>
  <c r="BD70" i="3" s="1"/>
  <c r="D67" i="3"/>
  <c r="G137" i="3"/>
  <c r="J137" i="3"/>
  <c r="F137" i="3"/>
  <c r="L137" i="3"/>
  <c r="K137" i="3"/>
  <c r="R6" i="2"/>
  <c r="H137" i="3"/>
  <c r="I137" i="3"/>
  <c r="H67" i="3"/>
  <c r="O180" i="3"/>
  <c r="M171" i="3"/>
  <c r="H168" i="3"/>
  <c r="K67" i="3"/>
  <c r="J67" i="3"/>
  <c r="M67" i="3"/>
  <c r="I67" i="3"/>
  <c r="E67" i="3"/>
  <c r="G156" i="3"/>
  <c r="G67" i="3"/>
  <c r="F156" i="3"/>
  <c r="F67" i="3"/>
  <c r="L67" i="3"/>
  <c r="G98" i="3"/>
  <c r="L59" i="3"/>
  <c r="H98" i="3"/>
  <c r="F59" i="3"/>
  <c r="D162" i="3"/>
  <c r="D14" i="4"/>
  <c r="H59" i="3"/>
  <c r="K59" i="3"/>
  <c r="I59" i="3"/>
  <c r="G59" i="3"/>
  <c r="D59" i="3"/>
  <c r="J59" i="3"/>
  <c r="E59" i="3"/>
  <c r="D143" i="3"/>
  <c r="D98" i="3"/>
  <c r="E98" i="3"/>
  <c r="D171" i="3"/>
  <c r="L168" i="3"/>
  <c r="J168" i="3"/>
  <c r="F168" i="3"/>
  <c r="K156" i="3"/>
  <c r="H156" i="3"/>
  <c r="D158" i="3"/>
  <c r="L158" i="3"/>
  <c r="H158" i="3"/>
  <c r="K158" i="3"/>
  <c r="G158" i="3"/>
  <c r="E171" i="3"/>
  <c r="J158" i="3"/>
  <c r="M158" i="3"/>
  <c r="I158" i="3"/>
  <c r="E158" i="3"/>
  <c r="F158" i="3"/>
  <c r="I156" i="3"/>
  <c r="L167" i="3"/>
  <c r="J167" i="3"/>
  <c r="J156" i="3"/>
  <c r="L156" i="3"/>
  <c r="M156" i="3"/>
  <c r="E128" i="3"/>
  <c r="E156" i="3"/>
  <c r="F29" i="4"/>
  <c r="D168" i="3"/>
  <c r="I171" i="3"/>
  <c r="F167" i="3"/>
  <c r="D156" i="3"/>
  <c r="E15" i="4"/>
  <c r="E29" i="4"/>
  <c r="K15" i="4"/>
  <c r="K29" i="4"/>
  <c r="M15" i="4"/>
  <c r="M29" i="4"/>
  <c r="J29" i="4"/>
  <c r="K167" i="3"/>
  <c r="G167" i="3"/>
  <c r="P180" i="3"/>
  <c r="K171" i="3"/>
  <c r="G171" i="3"/>
  <c r="H167" i="3"/>
  <c r="D167" i="3"/>
  <c r="F5" i="3"/>
  <c r="G15" i="4"/>
  <c r="G29" i="4"/>
  <c r="I15" i="4"/>
  <c r="I29" i="4"/>
  <c r="L29" i="4"/>
  <c r="H29" i="4"/>
  <c r="M167" i="3"/>
  <c r="I167" i="3"/>
  <c r="E167" i="3"/>
  <c r="K168" i="3"/>
  <c r="G168" i="3"/>
  <c r="D144" i="3"/>
  <c r="J15" i="4"/>
  <c r="F15" i="4"/>
  <c r="L15" i="4"/>
  <c r="H15" i="4"/>
  <c r="I128" i="3"/>
  <c r="K118" i="3"/>
  <c r="F118" i="3"/>
  <c r="J118" i="3"/>
  <c r="H118" i="3"/>
  <c r="J98" i="3"/>
  <c r="J99" i="3" s="1"/>
  <c r="M118" i="3"/>
  <c r="L118" i="3"/>
  <c r="I144" i="3"/>
  <c r="I143" i="3"/>
  <c r="D178" i="2"/>
  <c r="I178" i="2"/>
  <c r="I118" i="3"/>
  <c r="E118" i="3"/>
  <c r="G128" i="3"/>
  <c r="J128" i="3"/>
  <c r="L128" i="3"/>
  <c r="O33" i="3"/>
  <c r="O122" i="3" s="1"/>
  <c r="N122" i="3"/>
  <c r="K128" i="3"/>
  <c r="H128" i="3"/>
  <c r="F128" i="3"/>
  <c r="G118" i="3"/>
  <c r="M128" i="3"/>
  <c r="M25" i="3"/>
  <c r="M24" i="3" s="1"/>
  <c r="G5" i="3"/>
  <c r="E5" i="3"/>
  <c r="Q16" i="3"/>
  <c r="P15" i="3"/>
  <c r="H5" i="3"/>
  <c r="D5" i="3"/>
  <c r="BA138" i="2" l="1"/>
  <c r="BB138" i="2" s="1"/>
  <c r="AX139" i="2"/>
  <c r="AY139" i="2" s="1"/>
  <c r="N13" i="4"/>
  <c r="O4" i="4"/>
  <c r="O32" i="4"/>
  <c r="N114" i="3"/>
  <c r="N27" i="4"/>
  <c r="G161" i="3"/>
  <c r="G55" i="3"/>
  <c r="H161" i="3"/>
  <c r="H55" i="3"/>
  <c r="D161" i="3"/>
  <c r="D55" i="3"/>
  <c r="F161" i="3"/>
  <c r="F55" i="3"/>
  <c r="E161" i="3"/>
  <c r="E55" i="3"/>
  <c r="O23" i="3"/>
  <c r="P71" i="3" s="1"/>
  <c r="O115" i="3"/>
  <c r="S6" i="2"/>
  <c r="T6" i="2" s="1"/>
  <c r="H178" i="2"/>
  <c r="H143" i="3"/>
  <c r="H144" i="3"/>
  <c r="G178" i="2"/>
  <c r="G143" i="3"/>
  <c r="G144" i="3"/>
  <c r="E144" i="3"/>
  <c r="E178" i="2"/>
  <c r="E143" i="3"/>
  <c r="F144" i="3"/>
  <c r="F98" i="3"/>
  <c r="F4" i="3"/>
  <c r="F143" i="3"/>
  <c r="F178" i="2"/>
  <c r="Q180" i="3"/>
  <c r="H4" i="3"/>
  <c r="E4" i="3"/>
  <c r="G4" i="3"/>
  <c r="D4" i="3"/>
  <c r="J143" i="3"/>
  <c r="J144" i="3"/>
  <c r="J178" i="2"/>
  <c r="P33" i="3"/>
  <c r="P122" i="3" s="1"/>
  <c r="R16" i="3"/>
  <c r="Q15" i="3"/>
  <c r="I5" i="3"/>
  <c r="BC138" i="2" l="1"/>
  <c r="BD138" i="2" s="1"/>
  <c r="AZ139" i="2"/>
  <c r="BA139" i="2" s="1"/>
  <c r="P115" i="3"/>
  <c r="I161" i="3"/>
  <c r="I55" i="3"/>
  <c r="P23" i="3"/>
  <c r="Q71" i="3" s="1"/>
  <c r="U6" i="2"/>
  <c r="R180" i="3"/>
  <c r="I4" i="3"/>
  <c r="Q33" i="3"/>
  <c r="Q122" i="3" s="1"/>
  <c r="S16" i="3"/>
  <c r="R15" i="3"/>
  <c r="J5" i="3"/>
  <c r="BB139" i="2" l="1"/>
  <c r="BC139" i="2" s="1"/>
  <c r="J161" i="3"/>
  <c r="J55" i="3"/>
  <c r="Q23" i="3"/>
  <c r="R71" i="3" s="1"/>
  <c r="Q115" i="3"/>
  <c r="V6" i="2"/>
  <c r="N128" i="3"/>
  <c r="S180" i="3"/>
  <c r="J4" i="3"/>
  <c r="R33" i="3"/>
  <c r="R122" i="3" s="1"/>
  <c r="T16" i="3"/>
  <c r="S15" i="3"/>
  <c r="K5" i="3"/>
  <c r="BD139" i="2" l="1"/>
  <c r="K161" i="3"/>
  <c r="K55" i="3"/>
  <c r="R23" i="3"/>
  <c r="S71" i="3" s="1"/>
  <c r="R115" i="3"/>
  <c r="W6" i="2"/>
  <c r="T180" i="3"/>
  <c r="K4" i="3"/>
  <c r="S33" i="3"/>
  <c r="S122" i="3" s="1"/>
  <c r="U16" i="3"/>
  <c r="T15" i="3"/>
  <c r="L5" i="3"/>
  <c r="L161" i="3" l="1"/>
  <c r="L55" i="3"/>
  <c r="S115" i="3"/>
  <c r="S23" i="3"/>
  <c r="T71" i="3" s="1"/>
  <c r="X6" i="2"/>
  <c r="U180" i="3"/>
  <c r="L4" i="3"/>
  <c r="T33" i="3"/>
  <c r="T122" i="3" s="1"/>
  <c r="V16" i="3"/>
  <c r="U15" i="3"/>
  <c r="M5" i="3"/>
  <c r="R17" i="6" l="1"/>
  <c r="M161" i="3"/>
  <c r="M4" i="3"/>
  <c r="T23" i="3"/>
  <c r="U71" i="3" s="1"/>
  <c r="T115" i="3"/>
  <c r="Y6" i="2"/>
  <c r="V180" i="3"/>
  <c r="M55" i="3"/>
  <c r="U33" i="3"/>
  <c r="U122" i="3" s="1"/>
  <c r="W16" i="3"/>
  <c r="V15" i="3"/>
  <c r="U23" i="3" l="1"/>
  <c r="V71" i="3" s="1"/>
  <c r="U115" i="3"/>
  <c r="Z6" i="2"/>
  <c r="W180" i="3"/>
  <c r="V33" i="3"/>
  <c r="V122" i="3" s="1"/>
  <c r="X16" i="3"/>
  <c r="W15" i="3"/>
  <c r="V115" i="3" l="1"/>
  <c r="V23" i="3"/>
  <c r="W71" i="3" s="1"/>
  <c r="AA6" i="2"/>
  <c r="X180" i="3"/>
  <c r="W33" i="3"/>
  <c r="W122" i="3" s="1"/>
  <c r="Y16" i="3"/>
  <c r="X15" i="3"/>
  <c r="W115" i="3" l="1"/>
  <c r="W23" i="3"/>
  <c r="X71" i="3" s="1"/>
  <c r="AB6" i="2"/>
  <c r="Y180" i="3"/>
  <c r="X33" i="3"/>
  <c r="X122" i="3" s="1"/>
  <c r="Z16" i="3"/>
  <c r="Y15" i="3"/>
  <c r="X115" i="3" l="1"/>
  <c r="X23" i="3"/>
  <c r="Y71" i="3" s="1"/>
  <c r="AC6" i="2"/>
  <c r="Z180" i="3"/>
  <c r="Y33" i="3"/>
  <c r="Y122" i="3" s="1"/>
  <c r="AA16" i="3"/>
  <c r="Z15" i="3"/>
  <c r="Y115" i="3" l="1"/>
  <c r="Y23" i="3"/>
  <c r="Z71" i="3" s="1"/>
  <c r="AD6" i="2"/>
  <c r="AA180" i="3"/>
  <c r="Z33" i="3"/>
  <c r="Z122" i="3" s="1"/>
  <c r="AB16" i="3"/>
  <c r="AA15" i="3"/>
  <c r="Z115" i="3" l="1"/>
  <c r="Z23" i="3"/>
  <c r="AA71" i="3" s="1"/>
  <c r="AE6" i="2"/>
  <c r="AB180" i="3"/>
  <c r="AA33" i="3"/>
  <c r="AA122" i="3" s="1"/>
  <c r="AC16" i="3"/>
  <c r="AB15" i="3"/>
  <c r="AA115" i="3" l="1"/>
  <c r="AA23" i="3"/>
  <c r="AB71" i="3" s="1"/>
  <c r="AF6" i="2"/>
  <c r="AC180" i="3"/>
  <c r="AB33" i="3"/>
  <c r="AB122" i="3" s="1"/>
  <c r="AD16" i="3"/>
  <c r="AC15" i="3"/>
  <c r="AB115" i="3" l="1"/>
  <c r="AB23" i="3"/>
  <c r="AC71" i="3" s="1"/>
  <c r="AG6" i="2"/>
  <c r="AD180" i="3"/>
  <c r="AC33" i="3"/>
  <c r="AC122" i="3" s="1"/>
  <c r="AE16" i="3"/>
  <c r="AD15" i="3"/>
  <c r="AC115" i="3" l="1"/>
  <c r="AC23" i="3"/>
  <c r="AD71" i="3" s="1"/>
  <c r="AH6" i="2"/>
  <c r="AE180" i="3"/>
  <c r="AD33" i="3"/>
  <c r="AD122" i="3" s="1"/>
  <c r="AF16" i="3"/>
  <c r="AE15" i="3"/>
  <c r="AD115" i="3" l="1"/>
  <c r="AD23" i="3"/>
  <c r="AE71" i="3" s="1"/>
  <c r="AI6" i="2"/>
  <c r="AF180" i="3"/>
  <c r="AE33" i="3"/>
  <c r="AE122" i="3" s="1"/>
  <c r="AG16" i="3"/>
  <c r="AF15" i="3"/>
  <c r="AE115" i="3" l="1"/>
  <c r="AE23" i="3"/>
  <c r="AF71" i="3" s="1"/>
  <c r="AJ6" i="2"/>
  <c r="AG180" i="3"/>
  <c r="AF33" i="3"/>
  <c r="AF122" i="3" s="1"/>
  <c r="AH16" i="3"/>
  <c r="AG15" i="3"/>
  <c r="AF115" i="3" l="1"/>
  <c r="AF23" i="3"/>
  <c r="AG71" i="3" s="1"/>
  <c r="AK6" i="2"/>
  <c r="AH180" i="3"/>
  <c r="AG33" i="3"/>
  <c r="AG122" i="3" s="1"/>
  <c r="AI16" i="3"/>
  <c r="AH15" i="3"/>
  <c r="AG115" i="3" l="1"/>
  <c r="AG23" i="3"/>
  <c r="AH71" i="3" s="1"/>
  <c r="AL6" i="2"/>
  <c r="AI180" i="3"/>
  <c r="AH33" i="3"/>
  <c r="AH122" i="3" s="1"/>
  <c r="AJ16" i="3"/>
  <c r="AI15" i="3"/>
  <c r="AH115" i="3" l="1"/>
  <c r="AH23" i="3"/>
  <c r="AI71" i="3" s="1"/>
  <c r="AM6" i="2"/>
  <c r="AJ180" i="3"/>
  <c r="AI33" i="3"/>
  <c r="AI122" i="3" s="1"/>
  <c r="AK16" i="3"/>
  <c r="AJ15" i="3"/>
  <c r="AI115" i="3" l="1"/>
  <c r="AI23" i="3"/>
  <c r="AJ23" i="3" s="1"/>
  <c r="AK23" i="3" s="1"/>
  <c r="AL23" i="3" s="1"/>
  <c r="AM23" i="3" s="1"/>
  <c r="AN23" i="3" s="1"/>
  <c r="AO23" i="3" s="1"/>
  <c r="AP23" i="3" s="1"/>
  <c r="AQ23" i="3" s="1"/>
  <c r="AR23" i="3" s="1"/>
  <c r="AS23" i="3" s="1"/>
  <c r="AT23" i="3" s="1"/>
  <c r="AU23" i="3" s="1"/>
  <c r="AV23" i="3" s="1"/>
  <c r="AW23" i="3" s="1"/>
  <c r="AX23" i="3" s="1"/>
  <c r="AY23" i="3" s="1"/>
  <c r="AZ23" i="3" s="1"/>
  <c r="BA23" i="3" s="1"/>
  <c r="BB23" i="3" s="1"/>
  <c r="BC23" i="3" s="1"/>
  <c r="BD23" i="3" s="1"/>
  <c r="AN6" i="2"/>
  <c r="AK180" i="3"/>
  <c r="AJ33" i="3"/>
  <c r="AJ122" i="3" s="1"/>
  <c r="AL16" i="3"/>
  <c r="AK15" i="3"/>
  <c r="AO6" i="2" l="1"/>
  <c r="AL180" i="3"/>
  <c r="AK33" i="3"/>
  <c r="AK122" i="3" s="1"/>
  <c r="AM16" i="3"/>
  <c r="AL15" i="3"/>
  <c r="AP6" i="2" l="1"/>
  <c r="AM180" i="3"/>
  <c r="AL33" i="3"/>
  <c r="AL122" i="3" s="1"/>
  <c r="AN16" i="3"/>
  <c r="AM15" i="3"/>
  <c r="AQ6" i="2" l="1"/>
  <c r="AN180" i="3"/>
  <c r="AM33" i="3"/>
  <c r="AM122" i="3" s="1"/>
  <c r="AO16" i="3"/>
  <c r="AN15" i="3"/>
  <c r="AR6" i="2" l="1"/>
  <c r="AO180" i="3"/>
  <c r="AN33" i="3"/>
  <c r="AN122" i="3" s="1"/>
  <c r="AP16" i="3"/>
  <c r="AO15" i="3"/>
  <c r="AS6" i="2" l="1"/>
  <c r="AP180" i="3"/>
  <c r="AO33" i="3"/>
  <c r="AO122" i="3" s="1"/>
  <c r="AQ16" i="3"/>
  <c r="AP15" i="3"/>
  <c r="AT6" i="2" l="1"/>
  <c r="AQ180" i="3"/>
  <c r="AP33" i="3"/>
  <c r="AP122" i="3" s="1"/>
  <c r="AR16" i="3"/>
  <c r="AQ15" i="3"/>
  <c r="AU6" i="2" l="1"/>
  <c r="AR180" i="3"/>
  <c r="AQ33" i="3"/>
  <c r="AQ122" i="3" s="1"/>
  <c r="AS16" i="3"/>
  <c r="AR15" i="3"/>
  <c r="AV6" i="2" l="1"/>
  <c r="AS180" i="3"/>
  <c r="AR33" i="3"/>
  <c r="AR122" i="3" s="1"/>
  <c r="AT16" i="3"/>
  <c r="AS15" i="3"/>
  <c r="AW6" i="2" l="1"/>
  <c r="AT180" i="3"/>
  <c r="AS33" i="3"/>
  <c r="AS122" i="3" s="1"/>
  <c r="AU16" i="3"/>
  <c r="AT15" i="3"/>
  <c r="AX6" i="2" l="1"/>
  <c r="AU180" i="3"/>
  <c r="AT33" i="3"/>
  <c r="AT122" i="3" s="1"/>
  <c r="AV16" i="3"/>
  <c r="AU15" i="3"/>
  <c r="AY6" i="2" l="1"/>
  <c r="AV180" i="3"/>
  <c r="AU33" i="3"/>
  <c r="AU122" i="3" s="1"/>
  <c r="AW16" i="3"/>
  <c r="AV15" i="3"/>
  <c r="AZ6" i="2" l="1"/>
  <c r="AW180" i="3"/>
  <c r="AV33" i="3"/>
  <c r="AV122" i="3" s="1"/>
  <c r="AX16" i="3"/>
  <c r="AW15" i="3"/>
  <c r="BA6" i="2" l="1"/>
  <c r="AX180" i="3"/>
  <c r="AW33" i="3"/>
  <c r="AW122" i="3" s="1"/>
  <c r="AY16" i="3"/>
  <c r="AX15" i="3"/>
  <c r="BB6" i="2" l="1"/>
  <c r="AY180" i="3"/>
  <c r="AX33" i="3"/>
  <c r="AX122" i="3" s="1"/>
  <c r="AZ16" i="3"/>
  <c r="AY15" i="3"/>
  <c r="BC6" i="2" l="1"/>
  <c r="AZ180" i="3"/>
  <c r="AY33" i="3"/>
  <c r="AY122" i="3" s="1"/>
  <c r="BA16" i="3"/>
  <c r="AZ15" i="3"/>
  <c r="BD6" i="2" l="1"/>
  <c r="BA180" i="3"/>
  <c r="AZ33" i="3"/>
  <c r="AZ122" i="3" s="1"/>
  <c r="BB16" i="3"/>
  <c r="BA15" i="3"/>
  <c r="BB180" i="3" l="1"/>
  <c r="BA33" i="3"/>
  <c r="BA122" i="3" s="1"/>
  <c r="BC16" i="3"/>
  <c r="BB15" i="3"/>
  <c r="BD180" i="3" l="1"/>
  <c r="BC180" i="3"/>
  <c r="BB33" i="3"/>
  <c r="BB122" i="3" s="1"/>
  <c r="BD16" i="3"/>
  <c r="BC15" i="3"/>
  <c r="BC33" i="3" l="1"/>
  <c r="BC122" i="3" s="1"/>
  <c r="BD15" i="3"/>
  <c r="BD33" i="3" l="1"/>
  <c r="BD122" i="3" s="1"/>
  <c r="P9" i="2" l="1"/>
  <c r="P36" i="2" s="1"/>
  <c r="P35" i="2" s="1"/>
  <c r="P8" i="2"/>
  <c r="P7" i="2"/>
  <c r="P102" i="3" s="1"/>
  <c r="P4" i="2"/>
  <c r="Q35" i="2" l="1"/>
  <c r="R5" i="2"/>
  <c r="P64" i="2"/>
  <c r="P45" i="2" s="1"/>
  <c r="P63" i="2"/>
  <c r="P61" i="2"/>
  <c r="P62" i="2"/>
  <c r="P33" i="2"/>
  <c r="P32" i="2" s="1"/>
  <c r="Q9" i="2"/>
  <c r="Q36" i="2" s="1"/>
  <c r="Q4" i="2"/>
  <c r="Q7" i="2"/>
  <c r="Q102" i="3" s="1"/>
  <c r="P101" i="3"/>
  <c r="Q8" i="2"/>
  <c r="R35" i="2" l="1"/>
  <c r="S5" i="2"/>
  <c r="T5" i="2" s="1"/>
  <c r="R53" i="2"/>
  <c r="S53" i="2" s="1"/>
  <c r="T53" i="2" s="1"/>
  <c r="R51" i="2"/>
  <c r="Q61" i="2"/>
  <c r="Q64" i="2"/>
  <c r="Q45" i="2" s="1"/>
  <c r="P26" i="2"/>
  <c r="P27" i="2" s="1"/>
  <c r="Q57" i="2"/>
  <c r="Q62" i="2"/>
  <c r="Q43" i="2" s="1"/>
  <c r="Q24" i="2" s="1"/>
  <c r="P43" i="2"/>
  <c r="P24" i="2" s="1"/>
  <c r="Q63" i="2"/>
  <c r="P44" i="2"/>
  <c r="Q33" i="2"/>
  <c r="Q32" i="2" s="1"/>
  <c r="P28" i="2"/>
  <c r="R9" i="2"/>
  <c r="R36" i="2" s="1"/>
  <c r="R4" i="2"/>
  <c r="U5" i="2"/>
  <c r="R7" i="2"/>
  <c r="R102" i="3" s="1"/>
  <c r="Q101" i="3"/>
  <c r="R8" i="2"/>
  <c r="S35" i="2" l="1"/>
  <c r="U53" i="2"/>
  <c r="R50" i="2"/>
  <c r="S51" i="2"/>
  <c r="R61" i="2"/>
  <c r="P25" i="2"/>
  <c r="P22" i="2"/>
  <c r="Q25" i="2"/>
  <c r="R63" i="2"/>
  <c r="Q44" i="2"/>
  <c r="R64" i="2"/>
  <c r="R45" i="2" s="1"/>
  <c r="R57" i="2"/>
  <c r="R62" i="2"/>
  <c r="Q26" i="2"/>
  <c r="Q27" i="2" s="1"/>
  <c r="P29" i="2"/>
  <c r="P46" i="2"/>
  <c r="P42" i="2" s="1"/>
  <c r="Q28" i="2"/>
  <c r="R33" i="2"/>
  <c r="R32" i="2" s="1"/>
  <c r="S9" i="2"/>
  <c r="S36" i="2" s="1"/>
  <c r="S4" i="2"/>
  <c r="V5" i="2"/>
  <c r="S7" i="2"/>
  <c r="S102" i="3" s="1"/>
  <c r="R101" i="3"/>
  <c r="S8" i="2"/>
  <c r="S61" i="2" s="1"/>
  <c r="T35" i="2" l="1"/>
  <c r="S50" i="2"/>
  <c r="T51" i="2"/>
  <c r="V53" i="2"/>
  <c r="P88" i="2"/>
  <c r="P146" i="2"/>
  <c r="P20" i="2"/>
  <c r="Q22" i="2"/>
  <c r="S64" i="2"/>
  <c r="S62" i="2"/>
  <c r="S43" i="2" s="1"/>
  <c r="S24" i="2" s="1"/>
  <c r="R44" i="2"/>
  <c r="S63" i="2"/>
  <c r="R43" i="2"/>
  <c r="R24" i="2" s="1"/>
  <c r="R26" i="2"/>
  <c r="R27" i="2" s="1"/>
  <c r="S57" i="2"/>
  <c r="Q29" i="2"/>
  <c r="Q46" i="2"/>
  <c r="Q42" i="2" s="1"/>
  <c r="R28" i="2"/>
  <c r="S33" i="2"/>
  <c r="S32" i="2" s="1"/>
  <c r="T9" i="2"/>
  <c r="T36" i="2" s="1"/>
  <c r="T4" i="2"/>
  <c r="W5" i="2"/>
  <c r="T7" i="2"/>
  <c r="T102" i="3" s="1"/>
  <c r="S101" i="3"/>
  <c r="T8" i="2"/>
  <c r="T61" i="2" s="1"/>
  <c r="U35" i="2" l="1"/>
  <c r="U51" i="2"/>
  <c r="T50" i="2"/>
  <c r="W53" i="2"/>
  <c r="Q146" i="2"/>
  <c r="Q20" i="2"/>
  <c r="S45" i="2"/>
  <c r="S26" i="2" s="1"/>
  <c r="S25" i="2"/>
  <c r="R25" i="2"/>
  <c r="R22" i="2"/>
  <c r="T64" i="2"/>
  <c r="T62" i="2"/>
  <c r="T43" i="2" s="1"/>
  <c r="T24" i="2" s="1"/>
  <c r="T57" i="2"/>
  <c r="T63" i="2"/>
  <c r="S44" i="2"/>
  <c r="R29" i="2"/>
  <c r="R46" i="2"/>
  <c r="R42" i="2" s="1"/>
  <c r="S28" i="2"/>
  <c r="T33" i="2"/>
  <c r="T32" i="2" s="1"/>
  <c r="U9" i="2"/>
  <c r="U36" i="2" s="1"/>
  <c r="U4" i="2"/>
  <c r="X5" i="2"/>
  <c r="U7" i="2"/>
  <c r="U102" i="3" s="1"/>
  <c r="T101" i="3"/>
  <c r="U8" i="2"/>
  <c r="U61" i="2" s="1"/>
  <c r="U50" i="2" l="1"/>
  <c r="U57" i="2" s="1"/>
  <c r="V51" i="2"/>
  <c r="X53" i="2"/>
  <c r="Y53" i="2" s="1"/>
  <c r="R20" i="2"/>
  <c r="S22" i="2"/>
  <c r="S27" i="2"/>
  <c r="T45" i="2"/>
  <c r="T26" i="2" s="1"/>
  <c r="U64" i="2"/>
  <c r="U45" i="2" s="1"/>
  <c r="U26" i="2" s="1"/>
  <c r="U27" i="2" s="1"/>
  <c r="T25" i="2"/>
  <c r="U62" i="2"/>
  <c r="U43" i="2" s="1"/>
  <c r="U24" i="2" s="1"/>
  <c r="T44" i="2"/>
  <c r="U63" i="2"/>
  <c r="S29" i="2"/>
  <c r="S46" i="2"/>
  <c r="S42" i="2" s="1"/>
  <c r="T28" i="2"/>
  <c r="U33" i="2"/>
  <c r="U32" i="2" s="1"/>
  <c r="V9" i="2"/>
  <c r="V36" i="2" s="1"/>
  <c r="V35" i="2" s="1"/>
  <c r="V4" i="2"/>
  <c r="Y5" i="2"/>
  <c r="V7" i="2"/>
  <c r="V102" i="3" s="1"/>
  <c r="U101" i="3"/>
  <c r="V8" i="2"/>
  <c r="V61" i="2" s="1"/>
  <c r="Z53" i="2" l="1"/>
  <c r="V50" i="2"/>
  <c r="W51" i="2"/>
  <c r="S20" i="2"/>
  <c r="T27" i="2"/>
  <c r="T22" i="2"/>
  <c r="U25" i="2"/>
  <c r="U22" i="2"/>
  <c r="V63" i="2"/>
  <c r="U44" i="2"/>
  <c r="V64" i="2"/>
  <c r="V45" i="2" s="1"/>
  <c r="V62" i="2"/>
  <c r="V43" i="2" s="1"/>
  <c r="V24" i="2" s="1"/>
  <c r="T29" i="2"/>
  <c r="T46" i="2"/>
  <c r="T42" i="2" s="1"/>
  <c r="U28" i="2"/>
  <c r="V33" i="2"/>
  <c r="V32" i="2" s="1"/>
  <c r="W9" i="2"/>
  <c r="W36" i="2" s="1"/>
  <c r="W35" i="2" s="1"/>
  <c r="W4" i="2"/>
  <c r="Z5" i="2"/>
  <c r="W7" i="2"/>
  <c r="W102" i="3" s="1"/>
  <c r="V101" i="3"/>
  <c r="W8" i="2"/>
  <c r="W61" i="2" s="1"/>
  <c r="W50" i="2" l="1"/>
  <c r="X51" i="2"/>
  <c r="T20" i="2"/>
  <c r="U20" i="2"/>
  <c r="V25" i="2"/>
  <c r="W64" i="2"/>
  <c r="V44" i="2"/>
  <c r="W63" i="2"/>
  <c r="W62" i="2"/>
  <c r="W43" i="2" s="1"/>
  <c r="W24" i="2" s="1"/>
  <c r="U29" i="2"/>
  <c r="U46" i="2"/>
  <c r="U42" i="2" s="1"/>
  <c r="V28" i="2"/>
  <c r="W33" i="2"/>
  <c r="W32" i="2" s="1"/>
  <c r="X9" i="2"/>
  <c r="X36" i="2" s="1"/>
  <c r="X35" i="2" s="1"/>
  <c r="X4" i="2"/>
  <c r="AA5" i="2"/>
  <c r="X7" i="2"/>
  <c r="X102" i="3" s="1"/>
  <c r="W101" i="3"/>
  <c r="X8" i="2"/>
  <c r="X61" i="2" s="1"/>
  <c r="X50" i="2" l="1"/>
  <c r="Y51" i="2"/>
  <c r="W25" i="2"/>
  <c r="X64" i="2"/>
  <c r="X63" i="2"/>
  <c r="W44" i="2"/>
  <c r="X62" i="2"/>
  <c r="V29" i="2"/>
  <c r="V46" i="2"/>
  <c r="W28" i="2"/>
  <c r="X33" i="2"/>
  <c r="X32" i="2" s="1"/>
  <c r="Y9" i="2"/>
  <c r="Y36" i="2" s="1"/>
  <c r="Y35" i="2" s="1"/>
  <c r="Y4" i="2"/>
  <c r="AB5" i="2"/>
  <c r="Y7" i="2"/>
  <c r="Y102" i="3" s="1"/>
  <c r="X101" i="3"/>
  <c r="Y8" i="2"/>
  <c r="Y61" i="2" s="1"/>
  <c r="Z35" i="2" l="1"/>
  <c r="Y50" i="2"/>
  <c r="Z51" i="2"/>
  <c r="Y62" i="2"/>
  <c r="Y63" i="2"/>
  <c r="X44" i="2"/>
  <c r="Y64" i="2"/>
  <c r="X43" i="2"/>
  <c r="X24" i="2" s="1"/>
  <c r="W29" i="2"/>
  <c r="W46" i="2"/>
  <c r="X28" i="2"/>
  <c r="Y33" i="2"/>
  <c r="Y32" i="2" s="1"/>
  <c r="Z9" i="2"/>
  <c r="Z36" i="2" s="1"/>
  <c r="Z4" i="2"/>
  <c r="AC5" i="2"/>
  <c r="Z7" i="2"/>
  <c r="Z102" i="3" s="1"/>
  <c r="Y101" i="3"/>
  <c r="Z8" i="2"/>
  <c r="Z61" i="2" s="1"/>
  <c r="Z50" i="2" l="1"/>
  <c r="AA51" i="2"/>
  <c r="X25" i="2"/>
  <c r="Z63" i="2"/>
  <c r="Y44" i="2"/>
  <c r="Z62" i="2"/>
  <c r="Z43" i="2" s="1"/>
  <c r="Z24" i="2" s="1"/>
  <c r="Z64" i="2"/>
  <c r="Y43" i="2"/>
  <c r="Y24" i="2" s="1"/>
  <c r="X29" i="2"/>
  <c r="X46" i="2"/>
  <c r="Z33" i="2"/>
  <c r="Z32" i="2" s="1"/>
  <c r="Y28" i="2"/>
  <c r="AA9" i="2"/>
  <c r="AA36" i="2" s="1"/>
  <c r="AA35" i="2" s="1"/>
  <c r="AA4" i="2"/>
  <c r="AD5" i="2"/>
  <c r="AA7" i="2"/>
  <c r="AA102" i="3" s="1"/>
  <c r="Z101" i="3"/>
  <c r="AA8" i="2"/>
  <c r="AA61" i="2" s="1"/>
  <c r="AA53" i="2" l="1"/>
  <c r="AB51" i="2"/>
  <c r="AC51" i="2" s="1"/>
  <c r="AD51" i="2"/>
  <c r="Y25" i="2"/>
  <c r="Z25" i="2"/>
  <c r="AA63" i="2"/>
  <c r="Z44" i="2"/>
  <c r="AA64" i="2"/>
  <c r="AA62" i="2"/>
  <c r="Y29" i="2"/>
  <c r="Y46" i="2"/>
  <c r="AA33" i="2"/>
  <c r="AA32" i="2" s="1"/>
  <c r="Z28" i="2"/>
  <c r="AB9" i="2"/>
  <c r="AB36" i="2" s="1"/>
  <c r="AB35" i="2" s="1"/>
  <c r="AB4" i="2"/>
  <c r="AE5" i="2"/>
  <c r="AB7" i="2"/>
  <c r="AB102" i="3" s="1"/>
  <c r="AA101" i="3"/>
  <c r="AB8" i="2"/>
  <c r="AB61" i="2" s="1"/>
  <c r="AC35" i="2" l="1"/>
  <c r="AE51" i="2"/>
  <c r="AB64" i="2"/>
  <c r="AB63" i="2"/>
  <c r="AA44" i="2"/>
  <c r="AB62" i="2"/>
  <c r="AA43" i="2"/>
  <c r="AA24" i="2" s="1"/>
  <c r="Z29" i="2"/>
  <c r="Z46" i="2"/>
  <c r="AB33" i="2"/>
  <c r="AB32" i="2" s="1"/>
  <c r="AA28" i="2"/>
  <c r="AC9" i="2"/>
  <c r="AC36" i="2" s="1"/>
  <c r="AC4" i="2"/>
  <c r="AF5" i="2"/>
  <c r="AC7" i="2"/>
  <c r="AC102" i="3" s="1"/>
  <c r="AB101" i="3"/>
  <c r="AC8" i="2"/>
  <c r="AC61" i="2" s="1"/>
  <c r="AF51" i="2" l="1"/>
  <c r="AA25" i="2"/>
  <c r="AC62" i="2"/>
  <c r="AC43" i="2" s="1"/>
  <c r="AC24" i="2" s="1"/>
  <c r="AB43" i="2"/>
  <c r="AB24" i="2" s="1"/>
  <c r="AC63" i="2"/>
  <c r="AB44" i="2"/>
  <c r="AC64" i="2"/>
  <c r="AA29" i="2"/>
  <c r="AA46" i="2"/>
  <c r="AB28" i="2"/>
  <c r="AC33" i="2"/>
  <c r="AC32" i="2" s="1"/>
  <c r="AD9" i="2"/>
  <c r="AD36" i="2" s="1"/>
  <c r="AD35" i="2" s="1"/>
  <c r="AD4" i="2"/>
  <c r="AG5" i="2"/>
  <c r="AD7" i="2"/>
  <c r="AD102" i="3" s="1"/>
  <c r="AC101" i="3"/>
  <c r="AD8" i="2"/>
  <c r="AD61" i="2" s="1"/>
  <c r="AG51" i="2" l="1"/>
  <c r="AB25" i="2"/>
  <c r="AC25" i="2"/>
  <c r="AD64" i="2"/>
  <c r="AD63" i="2"/>
  <c r="AC44" i="2"/>
  <c r="AD62" i="2"/>
  <c r="AD43" i="2" s="1"/>
  <c r="AD24" i="2" s="1"/>
  <c r="AB29" i="2"/>
  <c r="AB46" i="2"/>
  <c r="AC28" i="2"/>
  <c r="AD33" i="2"/>
  <c r="AD32" i="2" s="1"/>
  <c r="AE9" i="2"/>
  <c r="AE36" i="2" s="1"/>
  <c r="AE35" i="2" s="1"/>
  <c r="AE4" i="2"/>
  <c r="AH5" i="2"/>
  <c r="AE7" i="2"/>
  <c r="AE102" i="3" s="1"/>
  <c r="AD101" i="3"/>
  <c r="AE8" i="2"/>
  <c r="AE61" i="2" s="1"/>
  <c r="AH51" i="2" l="1"/>
  <c r="AD25" i="2"/>
  <c r="AE64" i="2"/>
  <c r="AE62" i="2"/>
  <c r="AE63" i="2"/>
  <c r="AD44" i="2"/>
  <c r="AC29" i="2"/>
  <c r="AC46" i="2"/>
  <c r="AD28" i="2"/>
  <c r="AE33" i="2"/>
  <c r="AE32" i="2" s="1"/>
  <c r="AF9" i="2"/>
  <c r="AF36" i="2" s="1"/>
  <c r="AF35" i="2" s="1"/>
  <c r="AF4" i="2"/>
  <c r="AI5" i="2"/>
  <c r="AF7" i="2"/>
  <c r="AF102" i="3" s="1"/>
  <c r="AE101" i="3"/>
  <c r="AF8" i="2"/>
  <c r="AF61" i="2" s="1"/>
  <c r="AI51" i="2" l="1"/>
  <c r="AF62" i="2"/>
  <c r="AF43" i="2" s="1"/>
  <c r="AF24" i="2" s="1"/>
  <c r="AF64" i="2"/>
  <c r="AE43" i="2"/>
  <c r="AE24" i="2" s="1"/>
  <c r="AF63" i="2"/>
  <c r="AE44" i="2"/>
  <c r="AD29" i="2"/>
  <c r="AD46" i="2"/>
  <c r="AE28" i="2"/>
  <c r="AF33" i="2"/>
  <c r="AF32" i="2" s="1"/>
  <c r="AG9" i="2"/>
  <c r="AG36" i="2" s="1"/>
  <c r="AG35" i="2" s="1"/>
  <c r="AG4" i="2"/>
  <c r="AJ5" i="2"/>
  <c r="AG7" i="2"/>
  <c r="AG102" i="3" s="1"/>
  <c r="AF101" i="3"/>
  <c r="AG8" i="2"/>
  <c r="AG61" i="2" s="1"/>
  <c r="AH35" i="2" l="1"/>
  <c r="AJ51" i="2"/>
  <c r="AE25" i="2"/>
  <c r="AF25" i="2"/>
  <c r="AG64" i="2"/>
  <c r="AG62" i="2"/>
  <c r="AG43" i="2" s="1"/>
  <c r="AG24" i="2" s="1"/>
  <c r="AG63" i="2"/>
  <c r="AF44" i="2"/>
  <c r="AE29" i="2"/>
  <c r="AE46" i="2"/>
  <c r="AF28" i="2"/>
  <c r="AG33" i="2"/>
  <c r="AG32" i="2" s="1"/>
  <c r="AH9" i="2"/>
  <c r="AH36" i="2" s="1"/>
  <c r="AH4" i="2"/>
  <c r="AK5" i="2"/>
  <c r="AH7" i="2"/>
  <c r="AH102" i="3" s="1"/>
  <c r="AG101" i="3"/>
  <c r="AH8" i="2"/>
  <c r="AH61" i="2" s="1"/>
  <c r="AK51" i="2" l="1"/>
  <c r="AG25" i="2"/>
  <c r="AH64" i="2"/>
  <c r="AH62" i="2"/>
  <c r="AH63" i="2"/>
  <c r="AG44" i="2"/>
  <c r="AF29" i="2"/>
  <c r="AF46" i="2"/>
  <c r="AG28" i="2"/>
  <c r="AH33" i="2"/>
  <c r="AH32" i="2" s="1"/>
  <c r="AI9" i="2"/>
  <c r="AI36" i="2" s="1"/>
  <c r="AI35" i="2" s="1"/>
  <c r="AI4" i="2"/>
  <c r="AL5" i="2"/>
  <c r="AI7" i="2"/>
  <c r="AI102" i="3" s="1"/>
  <c r="AH101" i="3"/>
  <c r="AI8" i="2"/>
  <c r="AI61" i="2" s="1"/>
  <c r="AL51" i="2" l="1"/>
  <c r="AI62" i="2"/>
  <c r="AI43" i="2" s="1"/>
  <c r="AI24" i="2" s="1"/>
  <c r="AH43" i="2"/>
  <c r="AH24" i="2" s="1"/>
  <c r="AI64" i="2"/>
  <c r="AI63" i="2"/>
  <c r="AH44" i="2"/>
  <c r="AG29" i="2"/>
  <c r="AG46" i="2"/>
  <c r="AI33" i="2"/>
  <c r="AI32" i="2" s="1"/>
  <c r="AH28" i="2"/>
  <c r="AJ9" i="2"/>
  <c r="AJ36" i="2" s="1"/>
  <c r="AJ35" i="2" s="1"/>
  <c r="AJ4" i="2"/>
  <c r="AM5" i="2"/>
  <c r="AJ7" i="2"/>
  <c r="AJ102" i="3" s="1"/>
  <c r="AI101" i="3"/>
  <c r="AJ8" i="2"/>
  <c r="AJ61" i="2" s="1"/>
  <c r="AM51" i="2" l="1"/>
  <c r="AH25" i="2"/>
  <c r="AI25" i="2"/>
  <c r="AJ64" i="2"/>
  <c r="AJ62" i="2"/>
  <c r="AJ43" i="2" s="1"/>
  <c r="AJ24" i="2" s="1"/>
  <c r="AJ63" i="2"/>
  <c r="AI44" i="2"/>
  <c r="AH29" i="2"/>
  <c r="AH46" i="2"/>
  <c r="AJ33" i="2"/>
  <c r="AJ32" i="2" s="1"/>
  <c r="AI28" i="2"/>
  <c r="AK9" i="2"/>
  <c r="AK36" i="2" s="1"/>
  <c r="AK35" i="2" s="1"/>
  <c r="AK4" i="2"/>
  <c r="AN5" i="2"/>
  <c r="AK7" i="2"/>
  <c r="AK102" i="3" s="1"/>
  <c r="AJ101" i="3"/>
  <c r="AK8" i="2"/>
  <c r="AK61" i="2" s="1"/>
  <c r="AN51" i="2" l="1"/>
  <c r="AJ25" i="2"/>
  <c r="AK62" i="2"/>
  <c r="AK64" i="2"/>
  <c r="AK63" i="2"/>
  <c r="AJ44" i="2"/>
  <c r="AI29" i="2"/>
  <c r="AI46" i="2"/>
  <c r="AJ28" i="2"/>
  <c r="AK33" i="2"/>
  <c r="AK32" i="2" s="1"/>
  <c r="AL9" i="2"/>
  <c r="AL36" i="2" s="1"/>
  <c r="AL35" i="2" s="1"/>
  <c r="AL4" i="2"/>
  <c r="AO5" i="2"/>
  <c r="AL7" i="2"/>
  <c r="AL102" i="3" s="1"/>
  <c r="AK101" i="3"/>
  <c r="AL8" i="2"/>
  <c r="AL61" i="2" s="1"/>
  <c r="AO51" i="2" l="1"/>
  <c r="AL64" i="2"/>
  <c r="AL62" i="2"/>
  <c r="AK43" i="2"/>
  <c r="AK24" i="2" s="1"/>
  <c r="AL63" i="2"/>
  <c r="AK44" i="2"/>
  <c r="AJ29" i="2"/>
  <c r="AJ46" i="2"/>
  <c r="AK28" i="2"/>
  <c r="AL33" i="2"/>
  <c r="AL32" i="2" s="1"/>
  <c r="AM9" i="2"/>
  <c r="AM36" i="2" s="1"/>
  <c r="AM35" i="2" s="1"/>
  <c r="AM4" i="2"/>
  <c r="AP5" i="2"/>
  <c r="AM7" i="2"/>
  <c r="AM102" i="3" s="1"/>
  <c r="AL101" i="3"/>
  <c r="AM8" i="2"/>
  <c r="AM61" i="2" s="1"/>
  <c r="AN35" i="2" l="1"/>
  <c r="AP51" i="2"/>
  <c r="AK25" i="2"/>
  <c r="AM62" i="2"/>
  <c r="AM43" i="2" s="1"/>
  <c r="AM24" i="2" s="1"/>
  <c r="AL43" i="2"/>
  <c r="AL24" i="2" s="1"/>
  <c r="AM64" i="2"/>
  <c r="AM63" i="2"/>
  <c r="AL44" i="2"/>
  <c r="AK29" i="2"/>
  <c r="AK46" i="2"/>
  <c r="AL28" i="2"/>
  <c r="AM33" i="2"/>
  <c r="AM32" i="2" s="1"/>
  <c r="AN9" i="2"/>
  <c r="AN36" i="2" s="1"/>
  <c r="AN4" i="2"/>
  <c r="AQ5" i="2"/>
  <c r="AN7" i="2"/>
  <c r="AN102" i="3" s="1"/>
  <c r="AM101" i="3"/>
  <c r="AN8" i="2"/>
  <c r="AN61" i="2" s="1"/>
  <c r="AQ51" i="2" l="1"/>
  <c r="AL25" i="2"/>
  <c r="AM25" i="2"/>
  <c r="AN64" i="2"/>
  <c r="AN62" i="2"/>
  <c r="AN63" i="2"/>
  <c r="AM44" i="2"/>
  <c r="AL29" i="2"/>
  <c r="AL46" i="2"/>
  <c r="AM28" i="2"/>
  <c r="AN33" i="2"/>
  <c r="AN32" i="2" s="1"/>
  <c r="AO9" i="2"/>
  <c r="AO36" i="2" s="1"/>
  <c r="AO35" i="2" s="1"/>
  <c r="AO4" i="2"/>
  <c r="AR5" i="2"/>
  <c r="AO7" i="2"/>
  <c r="AO102" i="3" s="1"/>
  <c r="AN101" i="3"/>
  <c r="AO8" i="2"/>
  <c r="AO61" i="2" s="1"/>
  <c r="AR51" i="2" l="1"/>
  <c r="AO63" i="2"/>
  <c r="AN44" i="2"/>
  <c r="AO62" i="2"/>
  <c r="AO43" i="2" s="1"/>
  <c r="AO24" i="2" s="1"/>
  <c r="AO64" i="2"/>
  <c r="AN43" i="2"/>
  <c r="AN24" i="2" s="1"/>
  <c r="AM29" i="2"/>
  <c r="AM46" i="2"/>
  <c r="AN28" i="2"/>
  <c r="AO33" i="2"/>
  <c r="AO32" i="2" s="1"/>
  <c r="AP9" i="2"/>
  <c r="AP36" i="2" s="1"/>
  <c r="AP35" i="2" s="1"/>
  <c r="AP4" i="2"/>
  <c r="AS5" i="2"/>
  <c r="AP7" i="2"/>
  <c r="AP102" i="3" s="1"/>
  <c r="AO101" i="3"/>
  <c r="AP8" i="2"/>
  <c r="AP61" i="2" s="1"/>
  <c r="AQ35" i="2" l="1"/>
  <c r="AS51" i="2"/>
  <c r="AN25" i="2"/>
  <c r="AO25" i="2"/>
  <c r="AP62" i="2"/>
  <c r="AP63" i="2"/>
  <c r="AO44" i="2"/>
  <c r="AP64" i="2"/>
  <c r="AN29" i="2"/>
  <c r="AN46" i="2"/>
  <c r="AO28" i="2"/>
  <c r="AP33" i="2"/>
  <c r="AP32" i="2" s="1"/>
  <c r="AQ9" i="2"/>
  <c r="AQ36" i="2" s="1"/>
  <c r="AQ4" i="2"/>
  <c r="AT5" i="2"/>
  <c r="AQ7" i="2"/>
  <c r="AQ102" i="3" s="1"/>
  <c r="AP101" i="3"/>
  <c r="AQ8" i="2"/>
  <c r="AQ61" i="2" s="1"/>
  <c r="AT51" i="2" l="1"/>
  <c r="AQ64" i="2"/>
  <c r="AQ62" i="2"/>
  <c r="AP43" i="2"/>
  <c r="AP24" i="2" s="1"/>
  <c r="AQ63" i="2"/>
  <c r="AP44" i="2"/>
  <c r="AO29" i="2"/>
  <c r="AO46" i="2"/>
  <c r="AP28" i="2"/>
  <c r="AQ33" i="2"/>
  <c r="AQ32" i="2" s="1"/>
  <c r="AR9" i="2"/>
  <c r="AR36" i="2" s="1"/>
  <c r="AR35" i="2" s="1"/>
  <c r="AR4" i="2"/>
  <c r="AU5" i="2"/>
  <c r="AR7" i="2"/>
  <c r="AR102" i="3" s="1"/>
  <c r="AQ101" i="3"/>
  <c r="AR8" i="2"/>
  <c r="AR61" i="2" s="1"/>
  <c r="AU51" i="2" l="1"/>
  <c r="AP25" i="2"/>
  <c r="AR62" i="2"/>
  <c r="AR43" i="2" s="1"/>
  <c r="AR24" i="2" s="1"/>
  <c r="AR64" i="2"/>
  <c r="AR63" i="2"/>
  <c r="AQ44" i="2"/>
  <c r="AQ43" i="2"/>
  <c r="AQ24" i="2" s="1"/>
  <c r="AP29" i="2"/>
  <c r="AP46" i="2"/>
  <c r="AQ28" i="2"/>
  <c r="AR33" i="2"/>
  <c r="AR32" i="2" s="1"/>
  <c r="AS9" i="2"/>
  <c r="AS36" i="2" s="1"/>
  <c r="AS35" i="2" s="1"/>
  <c r="AS4" i="2"/>
  <c r="AV5" i="2"/>
  <c r="AS7" i="2"/>
  <c r="AS102" i="3" s="1"/>
  <c r="AR101" i="3"/>
  <c r="AS8" i="2"/>
  <c r="AS61" i="2" s="1"/>
  <c r="AV51" i="2" l="1"/>
  <c r="AQ25" i="2"/>
  <c r="AR25" i="2"/>
  <c r="AS63" i="2"/>
  <c r="AR44" i="2"/>
  <c r="AS62" i="2"/>
  <c r="AS64" i="2"/>
  <c r="AQ29" i="2"/>
  <c r="AQ46" i="2"/>
  <c r="AR28" i="2"/>
  <c r="AS33" i="2"/>
  <c r="AS32" i="2" s="1"/>
  <c r="AT9" i="2"/>
  <c r="AT36" i="2" s="1"/>
  <c r="AT35" i="2" s="1"/>
  <c r="AT4" i="2"/>
  <c r="AW5" i="2"/>
  <c r="AT7" i="2"/>
  <c r="AT102" i="3" s="1"/>
  <c r="AS101" i="3"/>
  <c r="AT8" i="2"/>
  <c r="AT61" i="2" s="1"/>
  <c r="AW51" i="2" l="1"/>
  <c r="AT64" i="2"/>
  <c r="AT62" i="2"/>
  <c r="AT43" i="2" s="1"/>
  <c r="AT24" i="2" s="1"/>
  <c r="AT63" i="2"/>
  <c r="AS44" i="2"/>
  <c r="AS43" i="2"/>
  <c r="AS24" i="2" s="1"/>
  <c r="AR29" i="2"/>
  <c r="AR46" i="2"/>
  <c r="AS28" i="2"/>
  <c r="AT33" i="2"/>
  <c r="AT32" i="2" s="1"/>
  <c r="AU9" i="2"/>
  <c r="AU36" i="2" s="1"/>
  <c r="AU35" i="2" s="1"/>
  <c r="AU4" i="2"/>
  <c r="AX5" i="2"/>
  <c r="AU7" i="2"/>
  <c r="AU102" i="3" s="1"/>
  <c r="AT101" i="3"/>
  <c r="AU8" i="2"/>
  <c r="AU61" i="2" s="1"/>
  <c r="AX51" i="2" l="1"/>
  <c r="AT25" i="2"/>
  <c r="AS25" i="2"/>
  <c r="AU63" i="2"/>
  <c r="AT44" i="2"/>
  <c r="AU64" i="2"/>
  <c r="AU62" i="2"/>
  <c r="AU43" i="2" s="1"/>
  <c r="AU24" i="2" s="1"/>
  <c r="AS29" i="2"/>
  <c r="AS46" i="2"/>
  <c r="AT28" i="2"/>
  <c r="AU33" i="2"/>
  <c r="AU32" i="2" s="1"/>
  <c r="AV9" i="2"/>
  <c r="AV36" i="2" s="1"/>
  <c r="AV35" i="2" s="1"/>
  <c r="AV4" i="2"/>
  <c r="AY5" i="2"/>
  <c r="AV7" i="2"/>
  <c r="AV102" i="3" s="1"/>
  <c r="AU101" i="3"/>
  <c r="AV8" i="2"/>
  <c r="AV61" i="2" s="1"/>
  <c r="AY51" i="2" l="1"/>
  <c r="AU25" i="2"/>
  <c r="AV64" i="2"/>
  <c r="AV63" i="2"/>
  <c r="AU44" i="2"/>
  <c r="AV62" i="2"/>
  <c r="AT29" i="2"/>
  <c r="AT46" i="2"/>
  <c r="AU28" i="2"/>
  <c r="AV33" i="2"/>
  <c r="AV32" i="2" s="1"/>
  <c r="AW9" i="2"/>
  <c r="AW36" i="2" s="1"/>
  <c r="AW35" i="2" s="1"/>
  <c r="AW4" i="2"/>
  <c r="AZ5" i="2"/>
  <c r="AW7" i="2"/>
  <c r="AW102" i="3" s="1"/>
  <c r="AV101" i="3"/>
  <c r="AW8" i="2"/>
  <c r="AW61" i="2" s="1"/>
  <c r="AZ51" i="2" l="1"/>
  <c r="AW64" i="2"/>
  <c r="AW62" i="2"/>
  <c r="AW43" i="2" s="1"/>
  <c r="AW24" i="2" s="1"/>
  <c r="AW63" i="2"/>
  <c r="AV44" i="2"/>
  <c r="AV43" i="2"/>
  <c r="AV24" i="2" s="1"/>
  <c r="AU29" i="2"/>
  <c r="AU46" i="2"/>
  <c r="AW33" i="2"/>
  <c r="AW32" i="2" s="1"/>
  <c r="AV28" i="2"/>
  <c r="AX9" i="2"/>
  <c r="AX36" i="2" s="1"/>
  <c r="AX35" i="2" s="1"/>
  <c r="AX4" i="2"/>
  <c r="BA5" i="2"/>
  <c r="AX7" i="2"/>
  <c r="AX102" i="3" s="1"/>
  <c r="AW101" i="3"/>
  <c r="AX8" i="2"/>
  <c r="AX61" i="2" s="1"/>
  <c r="BA51" i="2" l="1"/>
  <c r="AW25" i="2"/>
  <c r="AV25" i="2"/>
  <c r="AX63" i="2"/>
  <c r="AW44" i="2"/>
  <c r="AX62" i="2"/>
  <c r="AX64" i="2"/>
  <c r="AV29" i="2"/>
  <c r="AV46" i="2"/>
  <c r="AX33" i="2"/>
  <c r="AX32" i="2" s="1"/>
  <c r="AW28" i="2"/>
  <c r="AY9" i="2"/>
  <c r="AY36" i="2" s="1"/>
  <c r="AY35" i="2" s="1"/>
  <c r="AY4" i="2"/>
  <c r="BB5" i="2"/>
  <c r="AY7" i="2"/>
  <c r="AY102" i="3" s="1"/>
  <c r="AX101" i="3"/>
  <c r="AY8" i="2"/>
  <c r="AY61" i="2" s="1"/>
  <c r="BB51" i="2" l="1"/>
  <c r="AY62" i="2"/>
  <c r="AY43" i="2" s="1"/>
  <c r="AY24" i="2" s="1"/>
  <c r="AX43" i="2"/>
  <c r="AX24" i="2" s="1"/>
  <c r="AY63" i="2"/>
  <c r="AX44" i="2"/>
  <c r="AY64" i="2"/>
  <c r="AW29" i="2"/>
  <c r="AW46" i="2"/>
  <c r="AY33" i="2"/>
  <c r="AY32" i="2" s="1"/>
  <c r="AX28" i="2"/>
  <c r="AZ9" i="2"/>
  <c r="AZ36" i="2" s="1"/>
  <c r="AZ35" i="2" s="1"/>
  <c r="AZ4" i="2"/>
  <c r="BC5" i="2"/>
  <c r="AZ7" i="2"/>
  <c r="AZ102" i="3" s="1"/>
  <c r="AY101" i="3"/>
  <c r="AZ8" i="2"/>
  <c r="AZ61" i="2" s="1"/>
  <c r="BA35" i="2" l="1"/>
  <c r="BC51" i="2"/>
  <c r="AX25" i="2"/>
  <c r="AY25" i="2"/>
  <c r="AZ62" i="2"/>
  <c r="AZ64" i="2"/>
  <c r="AZ63" i="2"/>
  <c r="AY44" i="2"/>
  <c r="AX29" i="2"/>
  <c r="AX46" i="2"/>
  <c r="AZ33" i="2"/>
  <c r="AZ32" i="2" s="1"/>
  <c r="AY28" i="2"/>
  <c r="BA9" i="2"/>
  <c r="BA36" i="2" s="1"/>
  <c r="BA4" i="2"/>
  <c r="BD5" i="2"/>
  <c r="BA7" i="2"/>
  <c r="BA102" i="3" s="1"/>
  <c r="AZ101" i="3"/>
  <c r="BA8" i="2"/>
  <c r="BA61" i="2" s="1"/>
  <c r="BD51" i="2" l="1"/>
  <c r="BA64" i="2"/>
  <c r="BA62" i="2"/>
  <c r="AZ43" i="2"/>
  <c r="AZ24" i="2" s="1"/>
  <c r="BA43" i="2"/>
  <c r="BA24" i="2" s="1"/>
  <c r="BA63" i="2"/>
  <c r="AZ44" i="2"/>
  <c r="AY29" i="2"/>
  <c r="AY46" i="2"/>
  <c r="BA33" i="2"/>
  <c r="BA32" i="2" s="1"/>
  <c r="AZ28" i="2"/>
  <c r="BB9" i="2"/>
  <c r="BB36" i="2" s="1"/>
  <c r="BB35" i="2" s="1"/>
  <c r="BB4" i="2"/>
  <c r="BB7" i="2"/>
  <c r="BB102" i="3" s="1"/>
  <c r="BA101" i="3"/>
  <c r="BB8" i="2"/>
  <c r="BB61" i="2" s="1"/>
  <c r="BA25" i="2" l="1"/>
  <c r="AZ25" i="2"/>
  <c r="BB63" i="2"/>
  <c r="BA44" i="2"/>
  <c r="BB62" i="2"/>
  <c r="BB64" i="2"/>
  <c r="AZ29" i="2"/>
  <c r="AZ46" i="2"/>
  <c r="BB33" i="2"/>
  <c r="BB32" i="2" s="1"/>
  <c r="BA28" i="2"/>
  <c r="BC9" i="2"/>
  <c r="BC36" i="2" s="1"/>
  <c r="BC35" i="2" s="1"/>
  <c r="BC4" i="2"/>
  <c r="BC7" i="2"/>
  <c r="BC102" i="3" s="1"/>
  <c r="BB101" i="3"/>
  <c r="BC8" i="2"/>
  <c r="BC61" i="2" s="1"/>
  <c r="BC62" i="2" l="1"/>
  <c r="BC43" i="2" s="1"/>
  <c r="BC24" i="2" s="1"/>
  <c r="BC64" i="2"/>
  <c r="BC63" i="2"/>
  <c r="BB44" i="2"/>
  <c r="BB43" i="2"/>
  <c r="BB24" i="2" s="1"/>
  <c r="BA29" i="2"/>
  <c r="BA46" i="2"/>
  <c r="BC33" i="2"/>
  <c r="BC32" i="2" s="1"/>
  <c r="BB28" i="2"/>
  <c r="BD9" i="2"/>
  <c r="BD36" i="2" s="1"/>
  <c r="BD35" i="2" s="1"/>
  <c r="BD4" i="2"/>
  <c r="BD7" i="2"/>
  <c r="BD102" i="3" s="1"/>
  <c r="BC101" i="3"/>
  <c r="BD8" i="2"/>
  <c r="BD33" i="2" s="1"/>
  <c r="BB25" i="2" l="1"/>
  <c r="BC25" i="2"/>
  <c r="BD64" i="2"/>
  <c r="BD63" i="2"/>
  <c r="BD44" i="2" s="1"/>
  <c r="BC44" i="2"/>
  <c r="BD62" i="2"/>
  <c r="BD43" i="2" s="1"/>
  <c r="BD24" i="2" s="1"/>
  <c r="BD61" i="2"/>
  <c r="BB29" i="2"/>
  <c r="BB46" i="2"/>
  <c r="BD32" i="2"/>
  <c r="BD28" i="2" s="1"/>
  <c r="BC28" i="2"/>
  <c r="BD101" i="3"/>
  <c r="BD25" i="2" l="1"/>
  <c r="BD46" i="2"/>
  <c r="BC29" i="2"/>
  <c r="BC46" i="2"/>
  <c r="BD29" i="2"/>
  <c r="H76" i="3"/>
  <c r="J76" i="3"/>
  <c r="L76" i="3"/>
  <c r="M76" i="3"/>
  <c r="E76" i="3"/>
  <c r="F76" i="3"/>
  <c r="D76" i="3"/>
  <c r="K76" i="3" l="1"/>
  <c r="I76" i="3"/>
  <c r="G76" i="3"/>
  <c r="E15" i="2"/>
  <c r="I15" i="2"/>
  <c r="E12" i="2"/>
  <c r="F12" i="2"/>
  <c r="M12" i="2"/>
  <c r="K12" i="2"/>
  <c r="I12" i="2"/>
  <c r="G12" i="2"/>
  <c r="H12" i="2"/>
  <c r="J12" i="2"/>
  <c r="L12" i="2"/>
  <c r="H77" i="3" l="1"/>
  <c r="H78" i="3" s="1"/>
  <c r="H15" i="2"/>
  <c r="L77" i="3"/>
  <c r="L78" i="3" s="1"/>
  <c r="L15" i="2"/>
  <c r="M77" i="3"/>
  <c r="M78" i="3" s="1"/>
  <c r="M15" i="2"/>
  <c r="J77" i="3"/>
  <c r="J78" i="3" s="1"/>
  <c r="J15" i="2"/>
  <c r="F77" i="3"/>
  <c r="F78" i="3" s="1"/>
  <c r="F15" i="2"/>
  <c r="K77" i="3"/>
  <c r="K78" i="3" s="1"/>
  <c r="K15" i="2"/>
  <c r="G77" i="3"/>
  <c r="G78" i="3" s="1"/>
  <c r="G15" i="2"/>
  <c r="D77" i="3"/>
  <c r="D78" i="3" s="1"/>
  <c r="D15" i="2"/>
  <c r="I77" i="3"/>
  <c r="I78" i="3" s="1"/>
  <c r="E77" i="3"/>
  <c r="E78" i="3" s="1"/>
  <c r="M107" i="3" l="1"/>
  <c r="M100" i="3"/>
  <c r="L100" i="3"/>
  <c r="L107" i="3"/>
  <c r="F107" i="3"/>
  <c r="F100" i="3"/>
  <c r="K107" i="3"/>
  <c r="K100" i="3"/>
  <c r="I107" i="3"/>
  <c r="I100" i="3"/>
  <c r="H100" i="3"/>
  <c r="H107" i="3"/>
  <c r="G107" i="3"/>
  <c r="G100" i="3"/>
  <c r="E80" i="3"/>
  <c r="E85" i="3" s="1"/>
  <c r="E142" i="3" s="1"/>
  <c r="E107" i="3"/>
  <c r="E100" i="3"/>
  <c r="D80" i="3"/>
  <c r="D85" i="3" s="1"/>
  <c r="D157" i="3" s="1"/>
  <c r="D100" i="3"/>
  <c r="D107" i="3"/>
  <c r="J107" i="3"/>
  <c r="J100" i="3"/>
  <c r="M136" i="3"/>
  <c r="G80" i="3"/>
  <c r="G85" i="3" s="1"/>
  <c r="G136" i="3"/>
  <c r="K80" i="3"/>
  <c r="K85" i="3" s="1"/>
  <c r="K136" i="3"/>
  <c r="J80" i="3"/>
  <c r="J85" i="3" s="1"/>
  <c r="J136" i="3"/>
  <c r="L80" i="3"/>
  <c r="L85" i="3" s="1"/>
  <c r="L136" i="3"/>
  <c r="H80" i="3"/>
  <c r="H85" i="3" s="1"/>
  <c r="H136" i="3"/>
  <c r="I80" i="3"/>
  <c r="I85" i="3" s="1"/>
  <c r="I113" i="3" s="1"/>
  <c r="I116" i="3" s="1"/>
  <c r="I125" i="3" s="1"/>
  <c r="I136" i="3"/>
  <c r="F80" i="3"/>
  <c r="F85" i="3" s="1"/>
  <c r="F136" i="3"/>
  <c r="O100" i="3" l="1"/>
  <c r="O15" i="2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AH15" i="2" s="1"/>
  <c r="AI15" i="2" s="1"/>
  <c r="AJ15" i="2" s="1"/>
  <c r="AK15" i="2" s="1"/>
  <c r="AL15" i="2" s="1"/>
  <c r="AM15" i="2" s="1"/>
  <c r="AN15" i="2" s="1"/>
  <c r="AO15" i="2" s="1"/>
  <c r="AP15" i="2" s="1"/>
  <c r="AQ15" i="2" s="1"/>
  <c r="AR15" i="2" s="1"/>
  <c r="AS15" i="2" s="1"/>
  <c r="AT15" i="2" s="1"/>
  <c r="AU15" i="2" s="1"/>
  <c r="AV15" i="2" s="1"/>
  <c r="AW15" i="2" s="1"/>
  <c r="AX15" i="2" s="1"/>
  <c r="AY15" i="2" s="1"/>
  <c r="AZ15" i="2" s="1"/>
  <c r="BA15" i="2" s="1"/>
  <c r="BB15" i="2" s="1"/>
  <c r="BC15" i="2" s="1"/>
  <c r="BD15" i="2" s="1"/>
  <c r="D10" i="4"/>
  <c r="D142" i="3"/>
  <c r="D91" i="3"/>
  <c r="D104" i="3" s="1"/>
  <c r="E91" i="3"/>
  <c r="E93" i="3" s="1"/>
  <c r="E10" i="4"/>
  <c r="E150" i="3"/>
  <c r="E151" i="3"/>
  <c r="E157" i="3"/>
  <c r="E113" i="3"/>
  <c r="E116" i="3" s="1"/>
  <c r="E125" i="3" s="1"/>
  <c r="E127" i="3" s="1"/>
  <c r="H157" i="3"/>
  <c r="H150" i="3"/>
  <c r="L157" i="3"/>
  <c r="L150" i="3"/>
  <c r="J157" i="3"/>
  <c r="J150" i="3"/>
  <c r="K91" i="3"/>
  <c r="K93" i="3" s="1"/>
  <c r="K95" i="3" s="1"/>
  <c r="K157" i="3"/>
  <c r="K150" i="3"/>
  <c r="G157" i="3"/>
  <c r="G150" i="3"/>
  <c r="F157" i="3"/>
  <c r="F150" i="3"/>
  <c r="I91" i="3"/>
  <c r="I93" i="3" s="1"/>
  <c r="I95" i="3" s="1"/>
  <c r="I157" i="3"/>
  <c r="I150" i="3"/>
  <c r="F10" i="4"/>
  <c r="H10" i="4"/>
  <c r="L10" i="4"/>
  <c r="J10" i="4"/>
  <c r="K10" i="4"/>
  <c r="G10" i="4"/>
  <c r="I10" i="4"/>
  <c r="N168" i="3"/>
  <c r="D31" i="6" s="1"/>
  <c r="I127" i="3"/>
  <c r="F142" i="3"/>
  <c r="F151" i="3"/>
  <c r="H142" i="3"/>
  <c r="H151" i="3"/>
  <c r="L142" i="3"/>
  <c r="L151" i="3"/>
  <c r="J142" i="3"/>
  <c r="J151" i="3"/>
  <c r="K151" i="3"/>
  <c r="G142" i="3"/>
  <c r="G151" i="3"/>
  <c r="I142" i="3"/>
  <c r="I151" i="3"/>
  <c r="K113" i="3"/>
  <c r="K116" i="3" s="1"/>
  <c r="K125" i="3" s="1"/>
  <c r="K142" i="3"/>
  <c r="H113" i="3"/>
  <c r="H116" i="3" s="1"/>
  <c r="H125" i="3" s="1"/>
  <c r="H91" i="3"/>
  <c r="L113" i="3"/>
  <c r="L116" i="3" s="1"/>
  <c r="L125" i="3" s="1"/>
  <c r="L91" i="3"/>
  <c r="J113" i="3"/>
  <c r="J116" i="3" s="1"/>
  <c r="J125" i="3" s="1"/>
  <c r="J91" i="3"/>
  <c r="G113" i="3"/>
  <c r="G116" i="3" s="1"/>
  <c r="G125" i="3" s="1"/>
  <c r="G91" i="3"/>
  <c r="F91" i="3"/>
  <c r="F113" i="3"/>
  <c r="F116" i="3" s="1"/>
  <c r="F125" i="3" s="1"/>
  <c r="M60" i="3"/>
  <c r="O60" i="3" s="1"/>
  <c r="M62" i="3"/>
  <c r="O62" i="3" s="1"/>
  <c r="M61" i="3"/>
  <c r="O61" i="3" s="1"/>
  <c r="N162" i="3"/>
  <c r="P60" i="3" l="1"/>
  <c r="Q60" i="3" s="1"/>
  <c r="R60" i="3" s="1"/>
  <c r="O59" i="3"/>
  <c r="H12" i="4"/>
  <c r="H16" i="4" s="1"/>
  <c r="F12" i="4"/>
  <c r="F16" i="4" s="1"/>
  <c r="I12" i="4"/>
  <c r="I16" i="4" s="1"/>
  <c r="G12" i="4"/>
  <c r="G16" i="4" s="1"/>
  <c r="D12" i="4"/>
  <c r="D16" i="4" s="1"/>
  <c r="K12" i="4"/>
  <c r="K16" i="4" s="1"/>
  <c r="J12" i="4"/>
  <c r="J16" i="4" s="1"/>
  <c r="L12" i="4"/>
  <c r="L16" i="4" s="1"/>
  <c r="E12" i="4"/>
  <c r="E16" i="4" s="1"/>
  <c r="E104" i="3"/>
  <c r="D93" i="3"/>
  <c r="D26" i="4" s="1"/>
  <c r="P100" i="3"/>
  <c r="Q100" i="3" s="1"/>
  <c r="K104" i="3"/>
  <c r="I104" i="3"/>
  <c r="M59" i="3"/>
  <c r="I26" i="4"/>
  <c r="I30" i="4" s="1"/>
  <c r="I166" i="3"/>
  <c r="E26" i="4"/>
  <c r="E30" i="4" s="1"/>
  <c r="E166" i="3"/>
  <c r="K26" i="4"/>
  <c r="K30" i="4" s="1"/>
  <c r="K166" i="3"/>
  <c r="N123" i="3"/>
  <c r="N28" i="4"/>
  <c r="N14" i="4"/>
  <c r="F127" i="3"/>
  <c r="G127" i="3"/>
  <c r="J127" i="3"/>
  <c r="L127" i="3"/>
  <c r="H127" i="3"/>
  <c r="K127" i="3"/>
  <c r="E131" i="3"/>
  <c r="E172" i="3"/>
  <c r="I131" i="3"/>
  <c r="I172" i="3"/>
  <c r="I145" i="3"/>
  <c r="I149" i="3"/>
  <c r="I148" i="3"/>
  <c r="E145" i="3"/>
  <c r="E149" i="3"/>
  <c r="E148" i="3"/>
  <c r="K145" i="3"/>
  <c r="K149" i="3"/>
  <c r="K148" i="3"/>
  <c r="G104" i="3"/>
  <c r="G93" i="3"/>
  <c r="G95" i="3" s="1"/>
  <c r="J104" i="3"/>
  <c r="J93" i="3"/>
  <c r="J95" i="3" s="1"/>
  <c r="L104" i="3"/>
  <c r="L93" i="3"/>
  <c r="L95" i="3" s="1"/>
  <c r="H104" i="3"/>
  <c r="H93" i="3"/>
  <c r="H95" i="3" s="1"/>
  <c r="F93" i="3"/>
  <c r="F104" i="3"/>
  <c r="S60" i="3" l="1"/>
  <c r="P62" i="3"/>
  <c r="Q62" i="3" s="1"/>
  <c r="D166" i="3"/>
  <c r="D145" i="3"/>
  <c r="P61" i="3"/>
  <c r="N11" i="4"/>
  <c r="R100" i="3"/>
  <c r="M79" i="3"/>
  <c r="M137" i="3" s="1"/>
  <c r="N136" i="3"/>
  <c r="D24" i="6" s="1"/>
  <c r="D19" i="6"/>
  <c r="H26" i="4"/>
  <c r="H30" i="4" s="1"/>
  <c r="H166" i="3"/>
  <c r="J26" i="4"/>
  <c r="J30" i="4" s="1"/>
  <c r="J166" i="3"/>
  <c r="G26" i="4"/>
  <c r="G30" i="4" s="1"/>
  <c r="G166" i="3"/>
  <c r="F26" i="4"/>
  <c r="F30" i="4" s="1"/>
  <c r="F166" i="3"/>
  <c r="L26" i="4"/>
  <c r="L30" i="4" s="1"/>
  <c r="L166" i="3"/>
  <c r="K131" i="3"/>
  <c r="K172" i="3"/>
  <c r="H131" i="3"/>
  <c r="H172" i="3"/>
  <c r="L131" i="3"/>
  <c r="L172" i="3"/>
  <c r="J131" i="3"/>
  <c r="J172" i="3"/>
  <c r="G131" i="3"/>
  <c r="G172" i="3"/>
  <c r="F131" i="3"/>
  <c r="F172" i="3"/>
  <c r="H149" i="3"/>
  <c r="H148" i="3"/>
  <c r="L149" i="3"/>
  <c r="L148" i="3"/>
  <c r="J149" i="3"/>
  <c r="J148" i="3"/>
  <c r="G145" i="3"/>
  <c r="G149" i="3"/>
  <c r="G148" i="3"/>
  <c r="F149" i="3"/>
  <c r="F148" i="3"/>
  <c r="F138" i="3"/>
  <c r="F145" i="3"/>
  <c r="H138" i="3"/>
  <c r="H145" i="3"/>
  <c r="L138" i="3"/>
  <c r="L145" i="3"/>
  <c r="J138" i="3"/>
  <c r="J145" i="3"/>
  <c r="G138" i="3"/>
  <c r="K138" i="3"/>
  <c r="I138" i="3"/>
  <c r="T60" i="3" l="1"/>
  <c r="S100" i="3"/>
  <c r="T100" i="3" s="1"/>
  <c r="M80" i="3"/>
  <c r="M85" i="3" s="1"/>
  <c r="M10" i="4" s="1"/>
  <c r="Q61" i="3"/>
  <c r="R62" i="3"/>
  <c r="S62" i="3" s="1"/>
  <c r="T62" i="3" s="1"/>
  <c r="N141" i="3"/>
  <c r="P59" i="3" l="1"/>
  <c r="M12" i="4"/>
  <c r="M16" i="4" s="1"/>
  <c r="U107" i="3"/>
  <c r="Q59" i="3"/>
  <c r="U100" i="3"/>
  <c r="V100" i="3" s="1"/>
  <c r="R61" i="3"/>
  <c r="R59" i="3" s="1"/>
  <c r="M150" i="3"/>
  <c r="M157" i="3"/>
  <c r="M113" i="3"/>
  <c r="M116" i="3" s="1"/>
  <c r="M125" i="3" s="1"/>
  <c r="M127" i="3" s="1"/>
  <c r="M151" i="3"/>
  <c r="M91" i="3"/>
  <c r="M142" i="3"/>
  <c r="U62" i="3"/>
  <c r="M93" i="3" l="1"/>
  <c r="M148" i="3" s="1"/>
  <c r="M104" i="3"/>
  <c r="V107" i="3"/>
  <c r="W100" i="3"/>
  <c r="S61" i="3"/>
  <c r="S59" i="3" s="1"/>
  <c r="M131" i="3"/>
  <c r="M172" i="3"/>
  <c r="V62" i="3"/>
  <c r="U60" i="3"/>
  <c r="M138" i="3" l="1"/>
  <c r="M149" i="3"/>
  <c r="M95" i="3"/>
  <c r="M166" i="3"/>
  <c r="M26" i="4"/>
  <c r="M30" i="4" s="1"/>
  <c r="M145" i="3"/>
  <c r="W107" i="3"/>
  <c r="X107" i="3" s="1"/>
  <c r="X100" i="3"/>
  <c r="Y100" i="3" s="1"/>
  <c r="T61" i="3"/>
  <c r="T59" i="3" s="1"/>
  <c r="W62" i="3"/>
  <c r="X62" i="3" s="1"/>
  <c r="V60" i="3"/>
  <c r="Z100" i="3" l="1"/>
  <c r="Y107" i="3"/>
  <c r="U61" i="3"/>
  <c r="U59" i="3" s="1"/>
  <c r="Y62" i="3"/>
  <c r="Z62" i="3" s="1"/>
  <c r="W60" i="3"/>
  <c r="Z107" i="3" l="1"/>
  <c r="AA100" i="3"/>
  <c r="V61" i="3"/>
  <c r="W61" i="3" s="1"/>
  <c r="W59" i="3" s="1"/>
  <c r="X60" i="3"/>
  <c r="AA62" i="3"/>
  <c r="AB62" i="3" s="1"/>
  <c r="AB100" i="3" l="1"/>
  <c r="AA107" i="3"/>
  <c r="AB107" i="3" s="1"/>
  <c r="V59" i="3"/>
  <c r="X61" i="3"/>
  <c r="AC62" i="3"/>
  <c r="AD62" i="3" s="1"/>
  <c r="Y60" i="3"/>
  <c r="AC100" i="3" l="1"/>
  <c r="AD100" i="3" s="1"/>
  <c r="AC107" i="3"/>
  <c r="Y61" i="3"/>
  <c r="Y59" i="3" s="1"/>
  <c r="X59" i="3"/>
  <c r="Z60" i="3"/>
  <c r="AE62" i="3"/>
  <c r="AD107" i="3" l="1"/>
  <c r="AE107" i="3" s="1"/>
  <c r="AE100" i="3"/>
  <c r="Z61" i="3"/>
  <c r="AA61" i="3" s="1"/>
  <c r="AF62" i="3"/>
  <c r="AG62" i="3" s="1"/>
  <c r="AA60" i="3"/>
  <c r="AF107" i="3" l="1"/>
  <c r="AG107" i="3" s="1"/>
  <c r="AF100" i="3"/>
  <c r="Z59" i="3"/>
  <c r="AA59" i="3"/>
  <c r="AB61" i="3"/>
  <c r="AH62" i="3"/>
  <c r="AI62" i="3" s="1"/>
  <c r="AB60" i="3"/>
  <c r="AC60" i="3" s="1"/>
  <c r="AH107" i="3" l="1"/>
  <c r="AI107" i="3" s="1"/>
  <c r="AG100" i="3"/>
  <c r="AB59" i="3"/>
  <c r="AC61" i="3"/>
  <c r="AD60" i="3"/>
  <c r="AJ62" i="3"/>
  <c r="AK62" i="3" s="1"/>
  <c r="AJ107" i="3" l="1"/>
  <c r="AK107" i="3" s="1"/>
  <c r="AH100" i="3"/>
  <c r="AD61" i="3"/>
  <c r="AE61" i="3" s="1"/>
  <c r="AC59" i="3"/>
  <c r="AL62" i="3"/>
  <c r="AM62" i="3" s="1"/>
  <c r="AE60" i="3"/>
  <c r="AL107" i="3" l="1"/>
  <c r="AM107" i="3" s="1"/>
  <c r="AI100" i="3"/>
  <c r="AE59" i="3"/>
  <c r="AD59" i="3"/>
  <c r="AF61" i="3"/>
  <c r="AF60" i="3"/>
  <c r="AN62" i="3"/>
  <c r="AJ100" i="3" l="1"/>
  <c r="AK100" i="3" s="1"/>
  <c r="AN107" i="3"/>
  <c r="AO107" i="3" s="1"/>
  <c r="AG61" i="3"/>
  <c r="AH61" i="3" s="1"/>
  <c r="AF59" i="3"/>
  <c r="AO62" i="3"/>
  <c r="AG60" i="3"/>
  <c r="AP107" i="3" l="1"/>
  <c r="AQ107" i="3" s="1"/>
  <c r="AL100" i="3"/>
  <c r="AG59" i="3"/>
  <c r="AI61" i="3"/>
  <c r="AH60" i="3"/>
  <c r="AH59" i="3" s="1"/>
  <c r="AP62" i="3"/>
  <c r="AM100" i="3" l="1"/>
  <c r="AR107" i="3"/>
  <c r="AS107" i="3" s="1"/>
  <c r="AJ61" i="3"/>
  <c r="AI60" i="3"/>
  <c r="AI59" i="3" s="1"/>
  <c r="AQ62" i="3"/>
  <c r="AR62" i="3" s="1"/>
  <c r="AN100" i="3" l="1"/>
  <c r="AT107" i="3"/>
  <c r="AK61" i="3"/>
  <c r="AS62" i="3"/>
  <c r="AT62" i="3" s="1"/>
  <c r="AJ60" i="3"/>
  <c r="AJ59" i="3" s="1"/>
  <c r="AU107" i="3" l="1"/>
  <c r="AV107" i="3" s="1"/>
  <c r="AO100" i="3"/>
  <c r="AL61" i="3"/>
  <c r="AU62" i="3"/>
  <c r="AV62" i="3" s="1"/>
  <c r="AK60" i="3"/>
  <c r="AL60" i="3" s="1"/>
  <c r="AW107" i="3" l="1"/>
  <c r="AP100" i="3"/>
  <c r="AK59" i="3"/>
  <c r="AM61" i="3"/>
  <c r="AL59" i="3"/>
  <c r="AW62" i="3"/>
  <c r="AX62" i="3" s="1"/>
  <c r="AM60" i="3"/>
  <c r="AQ100" i="3" l="1"/>
  <c r="AR100" i="3" s="1"/>
  <c r="AX107" i="3"/>
  <c r="AN61" i="3"/>
  <c r="AM59" i="3"/>
  <c r="AN60" i="3"/>
  <c r="AY62" i="3"/>
  <c r="AZ62" i="3" s="1"/>
  <c r="AY107" i="3" l="1"/>
  <c r="AS100" i="3"/>
  <c r="AO61" i="3"/>
  <c r="AN59" i="3"/>
  <c r="BA62" i="3"/>
  <c r="BB62" i="3" s="1"/>
  <c r="AO60" i="3"/>
  <c r="AP60" i="3" s="1"/>
  <c r="AT100" i="3" l="1"/>
  <c r="AU100" i="3" s="1"/>
  <c r="AZ107" i="3"/>
  <c r="BA107" i="3" s="1"/>
  <c r="AO59" i="3"/>
  <c r="AP61" i="3"/>
  <c r="AQ60" i="3"/>
  <c r="AR60" i="3" s="1"/>
  <c r="BC62" i="3"/>
  <c r="BB107" i="3" l="1"/>
  <c r="BC107" i="3" s="1"/>
  <c r="AV100" i="3"/>
  <c r="AW100" i="3" s="1"/>
  <c r="AQ61" i="3"/>
  <c r="AP59" i="3"/>
  <c r="BD62" i="3"/>
  <c r="AS60" i="3"/>
  <c r="BD107" i="3" l="1"/>
  <c r="AX100" i="3"/>
  <c r="AQ59" i="3"/>
  <c r="AR61" i="3"/>
  <c r="AT60" i="3"/>
  <c r="AU60" i="3" s="1"/>
  <c r="AY100" i="3" l="1"/>
  <c r="AZ100" i="3" s="1"/>
  <c r="AS61" i="3"/>
  <c r="AR59" i="3"/>
  <c r="AV60" i="3"/>
  <c r="AW60" i="3" s="1"/>
  <c r="BA100" i="3" l="1"/>
  <c r="BB100" i="3" s="1"/>
  <c r="AS59" i="3"/>
  <c r="AT61" i="3"/>
  <c r="AU61" i="3" s="1"/>
  <c r="AX60" i="3"/>
  <c r="BC100" i="3" l="1"/>
  <c r="BD100" i="3" s="1"/>
  <c r="AT59" i="3"/>
  <c r="AU59" i="3"/>
  <c r="AV61" i="3"/>
  <c r="AY60" i="3"/>
  <c r="AZ60" i="3" s="1"/>
  <c r="AV59" i="3" l="1"/>
  <c r="AW61" i="3"/>
  <c r="BA60" i="3"/>
  <c r="BB60" i="3" s="1"/>
  <c r="AW59" i="3" l="1"/>
  <c r="AX61" i="3"/>
  <c r="AY61" i="3" s="1"/>
  <c r="BC60" i="3"/>
  <c r="AY59" i="3" l="1"/>
  <c r="AX59" i="3"/>
  <c r="AZ61" i="3"/>
  <c r="AZ59" i="3" s="1"/>
  <c r="BD60" i="3"/>
  <c r="BA61" i="3" l="1"/>
  <c r="BB61" i="3" s="1"/>
  <c r="BC61" i="3" l="1"/>
  <c r="BC59" i="3" s="1"/>
  <c r="BB59" i="3"/>
  <c r="BA59" i="3"/>
  <c r="BD61" i="3" l="1"/>
  <c r="BD59" i="3" s="1"/>
  <c r="N121" i="3" l="1"/>
  <c r="N177" i="3" l="1"/>
  <c r="N119" i="3"/>
  <c r="N120" i="3"/>
  <c r="K143" i="3" l="1"/>
  <c r="O27" i="4"/>
  <c r="N29" i="4"/>
  <c r="N163" i="3"/>
  <c r="O13" i="4"/>
  <c r="N118" i="3"/>
  <c r="O114" i="3"/>
  <c r="K98" i="3" l="1"/>
  <c r="K99" i="3" s="1"/>
  <c r="K144" i="3"/>
  <c r="K178" i="2"/>
  <c r="L143" i="3" l="1"/>
  <c r="L178" i="2" l="1"/>
  <c r="L98" i="3"/>
  <c r="L99" i="3" s="1"/>
  <c r="L144" i="3"/>
  <c r="M143" i="3"/>
  <c r="N137" i="3"/>
  <c r="D25" i="6" s="1"/>
  <c r="M98" i="3" l="1"/>
  <c r="M99" i="3" s="1"/>
  <c r="M178" i="2"/>
  <c r="M144" i="3"/>
  <c r="N10" i="4"/>
  <c r="N12" i="4" s="1"/>
  <c r="N150" i="3"/>
  <c r="D42" i="6" s="1"/>
  <c r="N113" i="3"/>
  <c r="N116" i="3" s="1"/>
  <c r="D20" i="6" s="1"/>
  <c r="N142" i="3"/>
  <c r="N151" i="3"/>
  <c r="D43" i="6" s="1"/>
  <c r="N143" i="3" l="1"/>
  <c r="N144" i="3"/>
  <c r="N16" i="4"/>
  <c r="N8" i="4"/>
  <c r="H173" i="3" l="1"/>
  <c r="H170" i="3"/>
  <c r="H155" i="3"/>
  <c r="H169" i="3"/>
  <c r="H152" i="3"/>
  <c r="G155" i="3"/>
  <c r="G152" i="3"/>
  <c r="G170" i="3"/>
  <c r="G173" i="3"/>
  <c r="G169" i="3"/>
  <c r="F170" i="3"/>
  <c r="F152" i="3"/>
  <c r="F173" i="3"/>
  <c r="F155" i="3"/>
  <c r="F169" i="3"/>
  <c r="M173" i="3"/>
  <c r="M170" i="3"/>
  <c r="M155" i="3"/>
  <c r="M152" i="3"/>
  <c r="M169" i="3"/>
  <c r="E155" i="3"/>
  <c r="E169" i="3"/>
  <c r="E170" i="3"/>
  <c r="E152" i="3"/>
  <c r="E173" i="3"/>
  <c r="L155" i="3"/>
  <c r="L169" i="3"/>
  <c r="L152" i="3"/>
  <c r="L170" i="3"/>
  <c r="L173" i="3"/>
  <c r="D173" i="3"/>
  <c r="D155" i="3"/>
  <c r="D169" i="3"/>
  <c r="D170" i="3"/>
  <c r="K173" i="3"/>
  <c r="K169" i="3"/>
  <c r="K152" i="3"/>
  <c r="K155" i="3"/>
  <c r="K170" i="3"/>
  <c r="I169" i="3"/>
  <c r="I155" i="3"/>
  <c r="I173" i="3"/>
  <c r="I170" i="3"/>
  <c r="I152" i="3"/>
  <c r="J169" i="3"/>
  <c r="J155" i="3"/>
  <c r="J152" i="3"/>
  <c r="J170" i="3"/>
  <c r="J173" i="3"/>
  <c r="B1" i="2" l="1"/>
  <c r="BB57" i="2" l="1"/>
  <c r="BA57" i="2"/>
  <c r="AZ57" i="2"/>
  <c r="AP57" i="2"/>
  <c r="X57" i="2"/>
  <c r="X45" i="2"/>
  <c r="AZ53" i="2"/>
  <c r="AZ45" i="2" s="1"/>
  <c r="BA53" i="2"/>
  <c r="BA45" i="2" s="1"/>
  <c r="AP53" i="2"/>
  <c r="AP45" i="2" s="1"/>
  <c r="BB53" i="2"/>
  <c r="BB45" i="2" s="1"/>
  <c r="AN57" i="2"/>
  <c r="AN53" i="2"/>
  <c r="AN45" i="2" s="1"/>
  <c r="AA57" i="2"/>
  <c r="AM57" i="2"/>
  <c r="BD57" i="2"/>
  <c r="AE57" i="2"/>
  <c r="AA45" i="2"/>
  <c r="BD53" i="2"/>
  <c r="BD45" i="2" s="1"/>
  <c r="AF57" i="2"/>
  <c r="AF53" i="2"/>
  <c r="AF45" i="2" s="1"/>
  <c r="AB53" i="2"/>
  <c r="AB45" i="2" s="1"/>
  <c r="AB57" i="2"/>
  <c r="AR53" i="2"/>
  <c r="AR45" i="2" s="1"/>
  <c r="AR57" i="2"/>
  <c r="BC53" i="2"/>
  <c r="BC45" i="2" s="1"/>
  <c r="BC57" i="2"/>
  <c r="AT57" i="2"/>
  <c r="AS57" i="2"/>
  <c r="AS53" i="2"/>
  <c r="AS45" i="2" s="1"/>
  <c r="AH57" i="2"/>
  <c r="Y57" i="2"/>
  <c r="AC57" i="2"/>
  <c r="AG53" i="2"/>
  <c r="AG45" i="2" s="1"/>
  <c r="AG57" i="2"/>
  <c r="AK53" i="2"/>
  <c r="AK45" i="2" s="1"/>
  <c r="AK57" i="2"/>
  <c r="AO57" i="2"/>
  <c r="AW57" i="2"/>
  <c r="AL57" i="2"/>
  <c r="AJ57" i="2"/>
  <c r="AJ53" i="2"/>
  <c r="AJ45" i="2" s="1"/>
  <c r="Z57" i="2"/>
  <c r="W57" i="2"/>
  <c r="Y45" i="2"/>
  <c r="AO53" i="2"/>
  <c r="AO45" i="2" s="1"/>
  <c r="AW53" i="2"/>
  <c r="AW45" i="2" s="1"/>
  <c r="AT53" i="2"/>
  <c r="AT45" i="2" s="1"/>
  <c r="AI57" i="2"/>
  <c r="AU57" i="2"/>
  <c r="AI53" i="2"/>
  <c r="AI45" i="2" s="1"/>
  <c r="AX57" i="2"/>
  <c r="AC53" i="2"/>
  <c r="AC45" i="2" s="1"/>
  <c r="AX53" i="2"/>
  <c r="AX45" i="2" s="1"/>
  <c r="AY53" i="2"/>
  <c r="AY45" i="2" s="1"/>
  <c r="AY57" i="2"/>
  <c r="W45" i="2"/>
  <c r="AM53" i="2"/>
  <c r="AM45" i="2" s="1"/>
  <c r="AV53" i="2"/>
  <c r="AV45" i="2" s="1"/>
  <c r="AV57" i="2"/>
  <c r="AD57" i="2"/>
  <c r="V57" i="2"/>
  <c r="AQ57" i="2"/>
  <c r="AQ53" i="2"/>
  <c r="AQ45" i="2" s="1"/>
  <c r="Z45" i="2"/>
  <c r="AD53" i="2"/>
  <c r="AD45" i="2" s="1"/>
  <c r="AH53" i="2"/>
  <c r="AH45" i="2" s="1"/>
  <c r="AL53" i="2"/>
  <c r="AL45" i="2" s="1"/>
  <c r="AE53" i="2"/>
  <c r="AE45" i="2" s="1"/>
  <c r="AU53" i="2"/>
  <c r="AU45" i="2" s="1"/>
  <c r="AQ42" i="2" l="1"/>
  <c r="AQ26" i="2"/>
  <c r="AQ22" i="2" s="1"/>
  <c r="AR42" i="2"/>
  <c r="AR26" i="2"/>
  <c r="AZ42" i="2"/>
  <c r="AZ26" i="2"/>
  <c r="AU42" i="2"/>
  <c r="AU26" i="2"/>
  <c r="AY42" i="2"/>
  <c r="AY26" i="2"/>
  <c r="AY22" i="2" s="1"/>
  <c r="AW42" i="2"/>
  <c r="AW26" i="2"/>
  <c r="AW22" i="2" s="1"/>
  <c r="X42" i="2"/>
  <c r="X26" i="2"/>
  <c r="AL42" i="2"/>
  <c r="AL26" i="2"/>
  <c r="BA42" i="2"/>
  <c r="BA26" i="2"/>
  <c r="BA22" i="2" s="1"/>
  <c r="AX42" i="2"/>
  <c r="AX26" i="2"/>
  <c r="AS42" i="2"/>
  <c r="AS26" i="2"/>
  <c r="AF42" i="2"/>
  <c r="AF26" i="2"/>
  <c r="AN42" i="2"/>
  <c r="AN26" i="2"/>
  <c r="AN22" i="2" s="1"/>
  <c r="AH42" i="2"/>
  <c r="AH26" i="2"/>
  <c r="AH22" i="2" s="1"/>
  <c r="AK42" i="2"/>
  <c r="AK26" i="2"/>
  <c r="AK22" i="2" s="1"/>
  <c r="V42" i="2"/>
  <c r="V26" i="2"/>
  <c r="AT42" i="2"/>
  <c r="AT26" i="2"/>
  <c r="AT22" i="2" s="1"/>
  <c r="AB42" i="2"/>
  <c r="AB26" i="2"/>
  <c r="AB22" i="2" s="1"/>
  <c r="AC42" i="2"/>
  <c r="AC26" i="2"/>
  <c r="AD42" i="2"/>
  <c r="AD26" i="2"/>
  <c r="AV42" i="2"/>
  <c r="AV26" i="2"/>
  <c r="AV22" i="2" s="1"/>
  <c r="AI42" i="2"/>
  <c r="AI26" i="2"/>
  <c r="BD42" i="2"/>
  <c r="BD26" i="2"/>
  <c r="BB42" i="2"/>
  <c r="BB26" i="2"/>
  <c r="W42" i="2"/>
  <c r="W26" i="2"/>
  <c r="W22" i="2" s="1"/>
  <c r="AE42" i="2"/>
  <c r="AE26" i="2"/>
  <c r="AE22" i="2" s="1"/>
  <c r="AO42" i="2"/>
  <c r="AO26" i="2"/>
  <c r="Y42" i="2"/>
  <c r="Y26" i="2"/>
  <c r="Z42" i="2"/>
  <c r="Z26" i="2"/>
  <c r="Z22" i="2" s="1"/>
  <c r="AM42" i="2"/>
  <c r="AM26" i="2"/>
  <c r="AM22" i="2" s="1"/>
  <c r="AJ42" i="2"/>
  <c r="AJ26" i="2"/>
  <c r="AG42" i="2"/>
  <c r="AG26" i="2"/>
  <c r="BC42" i="2"/>
  <c r="BC26" i="2"/>
  <c r="BC22" i="2" s="1"/>
  <c r="AA42" i="2"/>
  <c r="AA26" i="2"/>
  <c r="AP42" i="2"/>
  <c r="AP26" i="2"/>
  <c r="AK20" i="2" l="1"/>
  <c r="AE20" i="2"/>
  <c r="AH20" i="2"/>
  <c r="AW20" i="2"/>
  <c r="AM20" i="2"/>
  <c r="AB20" i="2"/>
  <c r="BC20" i="2"/>
  <c r="Z20" i="2"/>
  <c r="W20" i="2"/>
  <c r="AV20" i="2"/>
  <c r="AT20" i="2"/>
  <c r="AN20" i="2"/>
  <c r="BA20" i="2"/>
  <c r="AY20" i="2"/>
  <c r="AQ20" i="2"/>
  <c r="V27" i="2"/>
  <c r="V22" i="2"/>
  <c r="BB27" i="2"/>
  <c r="BB22" i="2"/>
  <c r="AL27" i="2"/>
  <c r="AL22" i="2"/>
  <c r="BD27" i="2"/>
  <c r="BD22" i="2"/>
  <c r="X27" i="2"/>
  <c r="X22" i="2"/>
  <c r="AZ27" i="2"/>
  <c r="AZ22" i="2"/>
  <c r="AF27" i="2"/>
  <c r="AF22" i="2"/>
  <c r="AX27" i="2"/>
  <c r="AX22" i="2"/>
  <c r="AR27" i="2"/>
  <c r="AR22" i="2"/>
  <c r="AD27" i="2"/>
  <c r="AD22" i="2"/>
  <c r="AU27" i="2"/>
  <c r="AU22" i="2"/>
  <c r="AJ27" i="2"/>
  <c r="AJ22" i="2"/>
  <c r="AS27" i="2"/>
  <c r="AS22" i="2"/>
  <c r="AA27" i="2"/>
  <c r="AA22" i="2"/>
  <c r="AG27" i="2"/>
  <c r="AG22" i="2"/>
  <c r="AP27" i="2"/>
  <c r="AP22" i="2"/>
  <c r="Y27" i="2"/>
  <c r="Y22" i="2"/>
  <c r="AO27" i="2"/>
  <c r="AO22" i="2"/>
  <c r="AC27" i="2"/>
  <c r="AC22" i="2"/>
  <c r="AI27" i="2"/>
  <c r="AI22" i="2"/>
  <c r="AK27" i="2"/>
  <c r="AM27" i="2"/>
  <c r="AB27" i="2"/>
  <c r="AH27" i="2"/>
  <c r="AW27" i="2"/>
  <c r="AE27" i="2"/>
  <c r="Z27" i="2"/>
  <c r="W27" i="2"/>
  <c r="AT27" i="2"/>
  <c r="AN27" i="2"/>
  <c r="BA27" i="2"/>
  <c r="AY27" i="2"/>
  <c r="AQ27" i="2"/>
  <c r="BC27" i="2"/>
  <c r="AV27" i="2"/>
  <c r="Y20" i="2" l="1"/>
  <c r="AS20" i="2"/>
  <c r="AR20" i="2"/>
  <c r="X20" i="2"/>
  <c r="V20" i="2"/>
  <c r="AX20" i="2"/>
  <c r="AJ20" i="2"/>
  <c r="AU20" i="2"/>
  <c r="AL20" i="2"/>
  <c r="AI20" i="2"/>
  <c r="BD20" i="2"/>
  <c r="AC20" i="2"/>
  <c r="AG20" i="2"/>
  <c r="AF20" i="2"/>
  <c r="AP20" i="2"/>
  <c r="AO20" i="2"/>
  <c r="AA20" i="2"/>
  <c r="AD20" i="2"/>
  <c r="AZ20" i="2"/>
  <c r="BB20" i="2"/>
  <c r="BD23" i="2"/>
  <c r="AE23" i="2"/>
  <c r="AT23" i="2"/>
  <c r="AW23" i="2"/>
  <c r="BA23" i="2"/>
  <c r="U23" i="2"/>
  <c r="AB23" i="2"/>
  <c r="AI23" i="2"/>
  <c r="AP23" i="2"/>
  <c r="AO23" i="2"/>
  <c r="AF23" i="2"/>
  <c r="AL23" i="2"/>
  <c r="AG23" i="2"/>
  <c r="AS23" i="2"/>
  <c r="AZ23" i="2"/>
  <c r="T23" i="2"/>
  <c r="AA23" i="2"/>
  <c r="AH23" i="2"/>
  <c r="Y23" i="2"/>
  <c r="P23" i="2"/>
  <c r="BC23" i="2"/>
  <c r="W23" i="2"/>
  <c r="AD23" i="2"/>
  <c r="AV23" i="2"/>
  <c r="AK23" i="2"/>
  <c r="AR23" i="2"/>
  <c r="AY23" i="2"/>
  <c r="S23" i="2"/>
  <c r="Z23" i="2"/>
  <c r="Q23" i="2"/>
  <c r="AU23" i="2"/>
  <c r="AJ23" i="2"/>
  <c r="R23" i="2"/>
  <c r="AM23" i="2"/>
  <c r="X23" i="2"/>
  <c r="AQ23" i="2"/>
  <c r="BB23" i="2"/>
  <c r="AN23" i="2"/>
  <c r="AC23" i="2"/>
  <c r="O133" i="2"/>
  <c r="O131" i="2" s="1"/>
  <c r="V23" i="2"/>
  <c r="AX23" i="2"/>
  <c r="O86" i="2"/>
  <c r="O23" i="2"/>
  <c r="BC21" i="2" l="1"/>
  <c r="AX21" i="2"/>
  <c r="AM21" i="2"/>
  <c r="AP21" i="2"/>
  <c r="BD21" i="2"/>
  <c r="AK21" i="2"/>
  <c r="AJ21" i="2"/>
  <c r="AD21" i="2"/>
  <c r="AF21" i="2"/>
  <c r="Q21" i="2"/>
  <c r="AZ21" i="2"/>
  <c r="Z21" i="2"/>
  <c r="AS21" i="2"/>
  <c r="AR21" i="2"/>
  <c r="AV21" i="2"/>
  <c r="BA21" i="2"/>
  <c r="V21" i="2"/>
  <c r="X21" i="2"/>
  <c r="O38" i="2"/>
  <c r="O21" i="2"/>
  <c r="AG21" i="2"/>
  <c r="AU21" i="2"/>
  <c r="AI21" i="2"/>
  <c r="AA21" i="2"/>
  <c r="AB21" i="2"/>
  <c r="AT21" i="2"/>
  <c r="AO21" i="2"/>
  <c r="W21" i="2"/>
  <c r="T21" i="2"/>
  <c r="AQ21" i="2"/>
  <c r="AW21" i="2"/>
  <c r="AH21" i="2"/>
  <c r="Y21" i="2"/>
  <c r="AY21" i="2"/>
  <c r="AN21" i="2"/>
  <c r="AE21" i="2"/>
  <c r="BB21" i="2"/>
  <c r="AL21" i="2"/>
  <c r="S21" i="2"/>
  <c r="R21" i="2"/>
  <c r="P21" i="2"/>
  <c r="AC21" i="2"/>
  <c r="U21" i="2"/>
  <c r="O87" i="2"/>
  <c r="O93" i="2" l="1"/>
  <c r="O84" i="2" s="1"/>
  <c r="O78" i="2"/>
  <c r="O17" i="2"/>
  <c r="O41" i="2" l="1"/>
  <c r="O147" i="2"/>
  <c r="O142" i="2" s="1"/>
  <c r="O83" i="3" s="1"/>
  <c r="O134" i="2"/>
  <c r="O129" i="2" s="1"/>
  <c r="O99" i="2"/>
  <c r="O100" i="2" s="1"/>
  <c r="O18" i="2"/>
  <c r="O196" i="2"/>
  <c r="O22" i="3" s="1"/>
  <c r="O11" i="2"/>
  <c r="O76" i="3" s="1"/>
  <c r="O12" i="2" l="1"/>
  <c r="O14" i="2"/>
  <c r="O77" i="3" s="1"/>
  <c r="O78" i="3" s="1"/>
  <c r="O90" i="3" s="1"/>
  <c r="O127" i="2"/>
  <c r="O128" i="2" s="1"/>
  <c r="O86" i="3" l="1"/>
  <c r="O81" i="3"/>
  <c r="O82" i="3" s="1"/>
  <c r="O162" i="3"/>
  <c r="O123" i="3"/>
  <c r="O14" i="4"/>
  <c r="O28" i="4"/>
  <c r="O10" i="3"/>
  <c r="O120" i="3" s="1"/>
  <c r="P91" i="2"/>
  <c r="O168" i="3"/>
  <c r="E31" i="6" s="1"/>
  <c r="O28" i="3"/>
  <c r="P97" i="2"/>
  <c r="P79" i="2"/>
  <c r="Q79" i="2" s="1"/>
  <c r="O9" i="3"/>
  <c r="P136" i="2"/>
  <c r="Q136" i="2" s="1"/>
  <c r="Q130" i="2" s="1"/>
  <c r="P39" i="2"/>
  <c r="P38" i="2" s="1"/>
  <c r="P133" i="2"/>
  <c r="P140" i="2"/>
  <c r="P153" i="2"/>
  <c r="Q153" i="2" s="1"/>
  <c r="P105" i="2"/>
  <c r="Q105" i="2" s="1"/>
  <c r="P132" i="2"/>
  <c r="P149" i="2"/>
  <c r="P143" i="2" s="1"/>
  <c r="Q89" i="2"/>
  <c r="Q88" i="2" s="1"/>
  <c r="P151" i="2"/>
  <c r="Q151" i="2" s="1"/>
  <c r="P137" i="2"/>
  <c r="Q137" i="2" s="1"/>
  <c r="R89" i="2" l="1"/>
  <c r="R88" i="2" s="1"/>
  <c r="P131" i="2"/>
  <c r="P93" i="2"/>
  <c r="R136" i="2"/>
  <c r="S136" i="2" s="1"/>
  <c r="Q39" i="2"/>
  <c r="Q38" i="2" s="1"/>
  <c r="Q17" i="2" s="1"/>
  <c r="Q41" i="2" s="1"/>
  <c r="R137" i="2"/>
  <c r="S137" i="2" s="1"/>
  <c r="Q149" i="2"/>
  <c r="Q143" i="2" s="1"/>
  <c r="R153" i="2"/>
  <c r="S153" i="2" s="1"/>
  <c r="T153" i="2" s="1"/>
  <c r="Q145" i="2"/>
  <c r="Q144" i="2" s="1"/>
  <c r="Q150" i="2" s="1"/>
  <c r="R105" i="2"/>
  <c r="R151" i="2"/>
  <c r="P17" i="2"/>
  <c r="O20" i="3"/>
  <c r="P69" i="3"/>
  <c r="R94" i="2"/>
  <c r="Q140" i="2"/>
  <c r="R79" i="2"/>
  <c r="S79" i="2" s="1"/>
  <c r="P130" i="2"/>
  <c r="P78" i="2"/>
  <c r="P96" i="2"/>
  <c r="Q97" i="2"/>
  <c r="P145" i="2"/>
  <c r="P144" i="2" s="1"/>
  <c r="P150" i="2" s="1"/>
  <c r="O119" i="3"/>
  <c r="O177" i="3"/>
  <c r="P90" i="2"/>
  <c r="Q91" i="2"/>
  <c r="O121" i="3"/>
  <c r="S89" i="2"/>
  <c r="S88" i="2" s="1"/>
  <c r="O136" i="3"/>
  <c r="E24" i="6" s="1"/>
  <c r="E19" i="6"/>
  <c r="O11" i="4"/>
  <c r="R130" i="2" l="1"/>
  <c r="O15" i="4"/>
  <c r="Q10" i="3"/>
  <c r="Q28" i="3"/>
  <c r="Q168" i="3"/>
  <c r="G31" i="6" s="1"/>
  <c r="T137" i="2"/>
  <c r="U137" i="2" s="1"/>
  <c r="V137" i="2" s="1"/>
  <c r="U153" i="2"/>
  <c r="V153" i="2" s="1"/>
  <c r="W153" i="2" s="1"/>
  <c r="R91" i="2"/>
  <c r="S91" i="2" s="1"/>
  <c r="P147" i="2"/>
  <c r="P142" i="2" s="1"/>
  <c r="P83" i="3" s="1"/>
  <c r="T136" i="2"/>
  <c r="P134" i="2"/>
  <c r="P129" i="2" s="1"/>
  <c r="Q9" i="3"/>
  <c r="Q11" i="2"/>
  <c r="Q14" i="2" s="1"/>
  <c r="Q196" i="2"/>
  <c r="Q28" i="4" s="1"/>
  <c r="Q147" i="2"/>
  <c r="Q18" i="2"/>
  <c r="R149" i="2"/>
  <c r="Q93" i="2"/>
  <c r="Q78" i="2"/>
  <c r="R39" i="2"/>
  <c r="R38" i="2" s="1"/>
  <c r="R78" i="2" s="1"/>
  <c r="Q134" i="2"/>
  <c r="R140" i="2"/>
  <c r="S140" i="2" s="1"/>
  <c r="Q132" i="2"/>
  <c r="Q96" i="2"/>
  <c r="P28" i="3"/>
  <c r="P10" i="3"/>
  <c r="P168" i="3"/>
  <c r="F31" i="6" s="1"/>
  <c r="P9" i="3"/>
  <c r="P18" i="2"/>
  <c r="P41" i="2"/>
  <c r="P196" i="2"/>
  <c r="P11" i="2"/>
  <c r="R97" i="2"/>
  <c r="P86" i="2"/>
  <c r="T79" i="2"/>
  <c r="U79" i="2" s="1"/>
  <c r="P13" i="4"/>
  <c r="P27" i="4"/>
  <c r="P114" i="3"/>
  <c r="R145" i="2"/>
  <c r="S94" i="2"/>
  <c r="T94" i="2" s="1"/>
  <c r="O163" i="3"/>
  <c r="O176" i="3"/>
  <c r="O29" i="4"/>
  <c r="O118" i="3"/>
  <c r="S151" i="2"/>
  <c r="T89" i="2"/>
  <c r="T88" i="2" s="1"/>
  <c r="Q133" i="2"/>
  <c r="Q90" i="2"/>
  <c r="S130" i="2"/>
  <c r="S105" i="2"/>
  <c r="S146" i="2" l="1"/>
  <c r="R146" i="2"/>
  <c r="R144" i="2" s="1"/>
  <c r="R150" i="2" s="1"/>
  <c r="S39" i="2"/>
  <c r="T39" i="2" s="1"/>
  <c r="Q76" i="3"/>
  <c r="Q14" i="4"/>
  <c r="Q177" i="3"/>
  <c r="Q142" i="2"/>
  <c r="Q83" i="3" s="1"/>
  <c r="Q131" i="2"/>
  <c r="Q129" i="2" s="1"/>
  <c r="S90" i="2"/>
  <c r="S86" i="2" s="1"/>
  <c r="T91" i="2"/>
  <c r="U91" i="2" s="1"/>
  <c r="R143" i="2"/>
  <c r="S149" i="2"/>
  <c r="T149" i="2" s="1"/>
  <c r="W137" i="2"/>
  <c r="X137" i="2" s="1"/>
  <c r="U39" i="2"/>
  <c r="U38" i="2" s="1"/>
  <c r="U78" i="2" s="1"/>
  <c r="R90" i="2"/>
  <c r="R86" i="2" s="1"/>
  <c r="U136" i="2"/>
  <c r="U130" i="2" s="1"/>
  <c r="T130" i="2"/>
  <c r="T146" i="2"/>
  <c r="Q123" i="3"/>
  <c r="S133" i="2"/>
  <c r="S145" i="2"/>
  <c r="P177" i="3"/>
  <c r="Q119" i="3"/>
  <c r="P119" i="3"/>
  <c r="P76" i="3"/>
  <c r="P12" i="2"/>
  <c r="P14" i="2"/>
  <c r="P77" i="3" s="1"/>
  <c r="Q120" i="3"/>
  <c r="P120" i="3"/>
  <c r="V79" i="2"/>
  <c r="W79" i="2" s="1"/>
  <c r="P123" i="3"/>
  <c r="P28" i="4"/>
  <c r="P14" i="4"/>
  <c r="P162" i="3"/>
  <c r="P22" i="3"/>
  <c r="Q121" i="3"/>
  <c r="P121" i="3"/>
  <c r="R132" i="2"/>
  <c r="U89" i="2"/>
  <c r="U88" i="2" s="1"/>
  <c r="R93" i="2"/>
  <c r="R17" i="2"/>
  <c r="R134" i="2" s="1"/>
  <c r="P84" i="2"/>
  <c r="P87" i="2"/>
  <c r="X153" i="2"/>
  <c r="Y153" i="2" s="1"/>
  <c r="U94" i="2"/>
  <c r="T151" i="2"/>
  <c r="R133" i="2"/>
  <c r="T105" i="2"/>
  <c r="T38" i="2"/>
  <c r="T78" i="2" s="1"/>
  <c r="S38" i="2"/>
  <c r="Q86" i="2"/>
  <c r="T90" i="2"/>
  <c r="P127" i="2"/>
  <c r="P128" i="2" s="1"/>
  <c r="Q12" i="2"/>
  <c r="R96" i="2"/>
  <c r="S97" i="2"/>
  <c r="T140" i="2"/>
  <c r="S144" i="2" l="1"/>
  <c r="S150" i="2" s="1"/>
  <c r="Q163" i="3"/>
  <c r="Q15" i="4"/>
  <c r="P15" i="4"/>
  <c r="Q176" i="3"/>
  <c r="U146" i="2"/>
  <c r="U144" i="2" s="1"/>
  <c r="U150" i="2" s="1"/>
  <c r="V91" i="2"/>
  <c r="W91" i="2" s="1"/>
  <c r="U90" i="2"/>
  <c r="U151" i="2"/>
  <c r="U145" i="2" s="1"/>
  <c r="P78" i="3"/>
  <c r="P90" i="3" s="1"/>
  <c r="U149" i="2"/>
  <c r="V149" i="2" s="1"/>
  <c r="V143" i="2" s="1"/>
  <c r="T143" i="2"/>
  <c r="V39" i="2"/>
  <c r="V38" i="2" s="1"/>
  <c r="S143" i="2"/>
  <c r="Q77" i="3"/>
  <c r="Q78" i="3" s="1"/>
  <c r="Q90" i="3" s="1"/>
  <c r="R131" i="2"/>
  <c r="R129" i="2" s="1"/>
  <c r="V136" i="2"/>
  <c r="X79" i="2"/>
  <c r="Y79" i="2" s="1"/>
  <c r="U133" i="2"/>
  <c r="S17" i="2"/>
  <c r="S93" i="2"/>
  <c r="S78" i="2"/>
  <c r="R18" i="2"/>
  <c r="R196" i="2"/>
  <c r="R28" i="3"/>
  <c r="R41" i="2"/>
  <c r="R9" i="3"/>
  <c r="R11" i="2"/>
  <c r="R168" i="3"/>
  <c r="H31" i="6" s="1"/>
  <c r="R10" i="3"/>
  <c r="R147" i="2"/>
  <c r="R142" i="2" s="1"/>
  <c r="R83" i="3" s="1"/>
  <c r="V89" i="2"/>
  <c r="V88" i="2" s="1"/>
  <c r="T86" i="2"/>
  <c r="Q69" i="3"/>
  <c r="P20" i="3"/>
  <c r="V94" i="2"/>
  <c r="U93" i="2"/>
  <c r="U17" i="2"/>
  <c r="T132" i="2"/>
  <c r="T17" i="2"/>
  <c r="T93" i="2"/>
  <c r="P99" i="2"/>
  <c r="P100" i="2" s="1"/>
  <c r="P118" i="3"/>
  <c r="S87" i="2"/>
  <c r="S96" i="2"/>
  <c r="T97" i="2"/>
  <c r="U97" i="2" s="1"/>
  <c r="V97" i="2" s="1"/>
  <c r="U105" i="2"/>
  <c r="R87" i="2"/>
  <c r="R84" i="2"/>
  <c r="Q87" i="2"/>
  <c r="Q84" i="2"/>
  <c r="Q127" i="2"/>
  <c r="Q128" i="2" s="1"/>
  <c r="Q118" i="3"/>
  <c r="Z153" i="2"/>
  <c r="T133" i="2"/>
  <c r="S132" i="2"/>
  <c r="S131" i="2" s="1"/>
  <c r="U140" i="2"/>
  <c r="T145" i="2"/>
  <c r="T144" i="2" s="1"/>
  <c r="T150" i="2" s="1"/>
  <c r="Y137" i="2"/>
  <c r="Z137" i="2" s="1"/>
  <c r="P163" i="3"/>
  <c r="P176" i="3"/>
  <c r="Q29" i="4"/>
  <c r="P29" i="4"/>
  <c r="V90" i="2" l="1"/>
  <c r="P136" i="3"/>
  <c r="F24" i="6" s="1"/>
  <c r="P11" i="4"/>
  <c r="U132" i="2"/>
  <c r="U131" i="2" s="1"/>
  <c r="Q22" i="3"/>
  <c r="Q20" i="3" s="1"/>
  <c r="W90" i="2"/>
  <c r="T131" i="2"/>
  <c r="F19" i="6"/>
  <c r="W136" i="2"/>
  <c r="V130" i="2"/>
  <c r="P81" i="3"/>
  <c r="P82" i="3" s="1"/>
  <c r="X133" i="2"/>
  <c r="Q136" i="3"/>
  <c r="G24" i="6" s="1"/>
  <c r="X91" i="2"/>
  <c r="X90" i="2" s="1"/>
  <c r="Q11" i="4"/>
  <c r="Q81" i="3"/>
  <c r="Q82" i="3" s="1"/>
  <c r="G19" i="6"/>
  <c r="V151" i="2"/>
  <c r="V145" i="2" s="1"/>
  <c r="U143" i="2"/>
  <c r="W149" i="2"/>
  <c r="W39" i="2"/>
  <c r="X39" i="2" s="1"/>
  <c r="X38" i="2" s="1"/>
  <c r="X78" i="2" s="1"/>
  <c r="V96" i="2"/>
  <c r="W132" i="2"/>
  <c r="T168" i="3"/>
  <c r="T18" i="2"/>
  <c r="T41" i="2"/>
  <c r="T9" i="3"/>
  <c r="T28" i="3"/>
  <c r="T11" i="2"/>
  <c r="T10" i="3"/>
  <c r="T196" i="2"/>
  <c r="T147" i="2"/>
  <c r="U134" i="2"/>
  <c r="R14" i="4"/>
  <c r="R123" i="3"/>
  <c r="R28" i="4"/>
  <c r="R69" i="3"/>
  <c r="R22" i="3" s="1"/>
  <c r="R120" i="3"/>
  <c r="W133" i="2"/>
  <c r="U96" i="2"/>
  <c r="U41" i="2"/>
  <c r="U168" i="3"/>
  <c r="U18" i="2"/>
  <c r="U10" i="3"/>
  <c r="U196" i="2"/>
  <c r="U9" i="3"/>
  <c r="U28" i="3"/>
  <c r="U11" i="2"/>
  <c r="U147" i="2"/>
  <c r="W94" i="2"/>
  <c r="R12" i="2"/>
  <c r="R14" i="2"/>
  <c r="R77" i="3" s="1"/>
  <c r="R76" i="3"/>
  <c r="V132" i="2"/>
  <c r="Q114" i="3"/>
  <c r="Q27" i="4"/>
  <c r="Q13" i="4"/>
  <c r="Q162" i="3"/>
  <c r="T87" i="2"/>
  <c r="U86" i="2"/>
  <c r="R177" i="3"/>
  <c r="R119" i="3"/>
  <c r="V140" i="2"/>
  <c r="W140" i="2" s="1"/>
  <c r="X140" i="2" s="1"/>
  <c r="Z79" i="2"/>
  <c r="S41" i="2"/>
  <c r="S18" i="2"/>
  <c r="S28" i="3"/>
  <c r="S168" i="3"/>
  <c r="S196" i="2"/>
  <c r="S11" i="2"/>
  <c r="S10" i="3"/>
  <c r="S9" i="3"/>
  <c r="S147" i="2"/>
  <c r="S142" i="2" s="1"/>
  <c r="S83" i="3" s="1"/>
  <c r="S134" i="2"/>
  <c r="S129" i="2" s="1"/>
  <c r="V93" i="2"/>
  <c r="V17" i="2"/>
  <c r="Q99" i="2"/>
  <c r="Q100" i="2" s="1"/>
  <c r="V133" i="2"/>
  <c r="R99" i="2"/>
  <c r="R100" i="2" s="1"/>
  <c r="S84" i="2"/>
  <c r="S99" i="2" s="1"/>
  <c r="S100" i="2" s="1"/>
  <c r="AA137" i="2"/>
  <c r="AB137" i="2" s="1"/>
  <c r="V105" i="2"/>
  <c r="T134" i="2"/>
  <c r="AA153" i="2"/>
  <c r="AB153" i="2" s="1"/>
  <c r="T96" i="2"/>
  <c r="W97" i="2"/>
  <c r="X97" i="2" s="1"/>
  <c r="V78" i="2"/>
  <c r="R127" i="2"/>
  <c r="R128" i="2" s="1"/>
  <c r="R121" i="3"/>
  <c r="W89" i="2"/>
  <c r="W88" i="2" s="1"/>
  <c r="R15" i="4" l="1"/>
  <c r="T142" i="2"/>
  <c r="T83" i="3" s="1"/>
  <c r="T120" i="3"/>
  <c r="X17" i="2"/>
  <c r="X134" i="2" s="1"/>
  <c r="Y133" i="2"/>
  <c r="W151" i="2"/>
  <c r="X146" i="2"/>
  <c r="V146" i="2"/>
  <c r="V144" i="2" s="1"/>
  <c r="V150" i="2" s="1"/>
  <c r="U129" i="2"/>
  <c r="W143" i="2"/>
  <c r="X149" i="2"/>
  <c r="U142" i="2"/>
  <c r="U83" i="3" s="1"/>
  <c r="AC137" i="2"/>
  <c r="AD137" i="2" s="1"/>
  <c r="R162" i="3"/>
  <c r="Y91" i="2"/>
  <c r="Y90" i="2" s="1"/>
  <c r="X136" i="2"/>
  <c r="W130" i="2"/>
  <c r="T129" i="2"/>
  <c r="R78" i="3"/>
  <c r="R90" i="3" s="1"/>
  <c r="Y39" i="2"/>
  <c r="Y38" i="2" s="1"/>
  <c r="Y17" i="2" s="1"/>
  <c r="W38" i="2"/>
  <c r="R20" i="3"/>
  <c r="S69" i="3"/>
  <c r="O170" i="2" s="1"/>
  <c r="O198" i="2" s="1"/>
  <c r="S127" i="2"/>
  <c r="S128" i="2" s="1"/>
  <c r="AC153" i="2"/>
  <c r="T121" i="3"/>
  <c r="T76" i="3"/>
  <c r="T14" i="2"/>
  <c r="T12" i="2"/>
  <c r="X96" i="2"/>
  <c r="W96" i="2"/>
  <c r="R118" i="3"/>
  <c r="S177" i="3"/>
  <c r="T119" i="3"/>
  <c r="S119" i="3"/>
  <c r="U12" i="2"/>
  <c r="U76" i="3"/>
  <c r="U14" i="2"/>
  <c r="V86" i="2"/>
  <c r="X94" i="2"/>
  <c r="T177" i="3"/>
  <c r="U119" i="3"/>
  <c r="U121" i="3"/>
  <c r="X132" i="2"/>
  <c r="X131" i="2" s="1"/>
  <c r="U87" i="2"/>
  <c r="U84" i="2"/>
  <c r="U177" i="3"/>
  <c r="S120" i="3"/>
  <c r="R176" i="3"/>
  <c r="R163" i="3"/>
  <c r="R29" i="4"/>
  <c r="S121" i="3"/>
  <c r="W105" i="2"/>
  <c r="S12" i="2"/>
  <c r="S76" i="3"/>
  <c r="S14" i="2"/>
  <c r="S77" i="3" s="1"/>
  <c r="V131" i="2"/>
  <c r="U123" i="3"/>
  <c r="U28" i="4"/>
  <c r="U14" i="4"/>
  <c r="T28" i="4"/>
  <c r="T14" i="4"/>
  <c r="T123" i="3"/>
  <c r="W131" i="2"/>
  <c r="Y97" i="2"/>
  <c r="Z97" i="2" s="1"/>
  <c r="AD153" i="2"/>
  <c r="V41" i="2"/>
  <c r="V18" i="2"/>
  <c r="V168" i="3"/>
  <c r="V28" i="3"/>
  <c r="V121" i="3" s="1"/>
  <c r="V10" i="3"/>
  <c r="V11" i="2"/>
  <c r="V9" i="3"/>
  <c r="V196" i="2"/>
  <c r="V147" i="2"/>
  <c r="S123" i="3"/>
  <c r="S28" i="4"/>
  <c r="S14" i="4"/>
  <c r="Y140" i="2"/>
  <c r="V134" i="2"/>
  <c r="T84" i="2"/>
  <c r="AA79" i="2"/>
  <c r="X89" i="2"/>
  <c r="X88" i="2" s="1"/>
  <c r="R114" i="3"/>
  <c r="R27" i="4"/>
  <c r="R13" i="4"/>
  <c r="U120" i="3"/>
  <c r="U15" i="4" l="1"/>
  <c r="S29" i="4"/>
  <c r="T15" i="4"/>
  <c r="S15" i="4"/>
  <c r="Y89" i="2"/>
  <c r="Y88" i="2" s="1"/>
  <c r="X41" i="2"/>
  <c r="X196" i="2"/>
  <c r="T127" i="2"/>
  <c r="T128" i="2" s="1"/>
  <c r="R81" i="3"/>
  <c r="R82" i="3" s="1"/>
  <c r="R11" i="4"/>
  <c r="X18" i="2"/>
  <c r="X11" i="2"/>
  <c r="X14" i="2" s="1"/>
  <c r="S162" i="3"/>
  <c r="X147" i="2"/>
  <c r="U127" i="2"/>
  <c r="U128" i="2" s="1"/>
  <c r="S22" i="3"/>
  <c r="T69" i="3" s="1"/>
  <c r="O173" i="2"/>
  <c r="O171" i="2"/>
  <c r="O174" i="2"/>
  <c r="O172" i="2"/>
  <c r="O102" i="2"/>
  <c r="Y78" i="2"/>
  <c r="R136" i="3"/>
  <c r="H24" i="6" s="1"/>
  <c r="H19" i="6"/>
  <c r="V142" i="2"/>
  <c r="V83" i="3" s="1"/>
  <c r="U77" i="3"/>
  <c r="U78" i="3" s="1"/>
  <c r="U90" i="3" s="1"/>
  <c r="W146" i="2"/>
  <c r="W145" i="2"/>
  <c r="X151" i="2"/>
  <c r="V120" i="3"/>
  <c r="X130" i="2"/>
  <c r="X129" i="2" s="1"/>
  <c r="Y136" i="2"/>
  <c r="Z136" i="2" s="1"/>
  <c r="Z91" i="2"/>
  <c r="X143" i="2"/>
  <c r="Y149" i="2"/>
  <c r="W17" i="2"/>
  <c r="W93" i="2"/>
  <c r="W78" i="2"/>
  <c r="T118" i="3"/>
  <c r="T77" i="3"/>
  <c r="T78" i="3" s="1"/>
  <c r="T90" i="3" s="1"/>
  <c r="Z39" i="2"/>
  <c r="Z96" i="2"/>
  <c r="Y134" i="2"/>
  <c r="V177" i="3"/>
  <c r="X93" i="2"/>
  <c r="Y94" i="2"/>
  <c r="Z94" i="2" s="1"/>
  <c r="S118" i="3"/>
  <c r="U163" i="3"/>
  <c r="U176" i="3"/>
  <c r="S176" i="3"/>
  <c r="T29" i="4"/>
  <c r="S163" i="3"/>
  <c r="V76" i="3"/>
  <c r="V12" i="2"/>
  <c r="V14" i="2"/>
  <c r="V77" i="3" s="1"/>
  <c r="AB79" i="2"/>
  <c r="AC79" i="2" s="1"/>
  <c r="S78" i="3"/>
  <c r="S90" i="3" s="1"/>
  <c r="V119" i="3"/>
  <c r="V84" i="2"/>
  <c r="V87" i="2"/>
  <c r="Y132" i="2"/>
  <c r="Y131" i="2" s="1"/>
  <c r="AA133" i="2"/>
  <c r="W86" i="2"/>
  <c r="Y41" i="2"/>
  <c r="Y28" i="3"/>
  <c r="Y168" i="3"/>
  <c r="Y18" i="2"/>
  <c r="Y9" i="3"/>
  <c r="Y196" i="2"/>
  <c r="Y11" i="2"/>
  <c r="Y10" i="3"/>
  <c r="Y147" i="2"/>
  <c r="S27" i="4"/>
  <c r="S114" i="3"/>
  <c r="S13" i="4"/>
  <c r="U99" i="2"/>
  <c r="U100" i="2" s="1"/>
  <c r="U118" i="3"/>
  <c r="T99" i="2"/>
  <c r="T100" i="2" s="1"/>
  <c r="AE137" i="2"/>
  <c r="T163" i="3"/>
  <c r="U29" i="4"/>
  <c r="T176" i="3"/>
  <c r="Z140" i="2"/>
  <c r="AA140" i="2" s="1"/>
  <c r="V123" i="3"/>
  <c r="V28" i="4"/>
  <c r="V14" i="4"/>
  <c r="Y96" i="2"/>
  <c r="V129" i="2"/>
  <c r="X105" i="2"/>
  <c r="Y105" i="2" s="1"/>
  <c r="AA97" i="2"/>
  <c r="AE153" i="2"/>
  <c r="AF153" i="2" s="1"/>
  <c r="Z89" i="2" l="1"/>
  <c r="Z88" i="2" s="1"/>
  <c r="W144" i="2"/>
  <c r="W150" i="2" s="1"/>
  <c r="V15" i="4"/>
  <c r="AA89" i="2"/>
  <c r="AA88" i="2" s="1"/>
  <c r="Z133" i="2"/>
  <c r="S20" i="3"/>
  <c r="W9" i="3"/>
  <c r="W28" i="3"/>
  <c r="W121" i="3" s="1"/>
  <c r="W168" i="3"/>
  <c r="W10" i="3"/>
  <c r="W120" i="3" s="1"/>
  <c r="P102" i="2"/>
  <c r="P170" i="2"/>
  <c r="O107" i="2"/>
  <c r="O104" i="2"/>
  <c r="O81" i="2" s="1"/>
  <c r="O115" i="2" s="1"/>
  <c r="O109" i="2"/>
  <c r="O73" i="2" s="1"/>
  <c r="O67" i="2"/>
  <c r="AA136" i="2"/>
  <c r="AB136" i="2" s="1"/>
  <c r="AC136" i="2" s="1"/>
  <c r="Y151" i="2"/>
  <c r="X145" i="2"/>
  <c r="X144" i="2" s="1"/>
  <c r="X150" i="2" s="1"/>
  <c r="T22" i="3"/>
  <c r="T20" i="3" s="1"/>
  <c r="Y146" i="2"/>
  <c r="V118" i="3"/>
  <c r="Z146" i="2"/>
  <c r="W196" i="2"/>
  <c r="W147" i="2"/>
  <c r="W142" i="2" s="1"/>
  <c r="W83" i="3" s="1"/>
  <c r="W41" i="2"/>
  <c r="X9" i="3"/>
  <c r="X168" i="3"/>
  <c r="W11" i="2"/>
  <c r="W76" i="3" s="1"/>
  <c r="X28" i="3"/>
  <c r="X10" i="3"/>
  <c r="W18" i="2"/>
  <c r="W134" i="2"/>
  <c r="W129" i="2" s="1"/>
  <c r="Z149" i="2"/>
  <c r="Y143" i="2"/>
  <c r="AA39" i="2"/>
  <c r="Z38" i="2"/>
  <c r="Z93" i="2" s="1"/>
  <c r="X142" i="2"/>
  <c r="Z130" i="2"/>
  <c r="Y130" i="2"/>
  <c r="Y129" i="2" s="1"/>
  <c r="Z90" i="2"/>
  <c r="AA91" i="2"/>
  <c r="AG153" i="2"/>
  <c r="AH153" i="2" s="1"/>
  <c r="V29" i="4"/>
  <c r="AB140" i="2"/>
  <c r="AC140" i="2" s="1"/>
  <c r="W87" i="2"/>
  <c r="W84" i="2"/>
  <c r="AD79" i="2"/>
  <c r="V78" i="3"/>
  <c r="V90" i="3" s="1"/>
  <c r="Y93" i="2"/>
  <c r="Y86" i="2"/>
  <c r="V176" i="3"/>
  <c r="V163" i="3"/>
  <c r="AA96" i="2"/>
  <c r="AB97" i="2"/>
  <c r="Y76" i="3"/>
  <c r="Y14" i="2"/>
  <c r="Y12" i="2"/>
  <c r="AF137" i="2"/>
  <c r="AG137" i="2" s="1"/>
  <c r="S81" i="3"/>
  <c r="S82" i="3" s="1"/>
  <c r="S136" i="3"/>
  <c r="S11" i="4"/>
  <c r="Z132" i="2"/>
  <c r="V99" i="2"/>
  <c r="V100" i="2" s="1"/>
  <c r="T136" i="3"/>
  <c r="T81" i="3"/>
  <c r="T82" i="3" s="1"/>
  <c r="T11" i="4"/>
  <c r="U81" i="3"/>
  <c r="U82" i="3" s="1"/>
  <c r="U136" i="3"/>
  <c r="U11" i="4"/>
  <c r="Y28" i="4"/>
  <c r="Y123" i="3"/>
  <c r="T27" i="4"/>
  <c r="T114" i="3"/>
  <c r="T13" i="4"/>
  <c r="T162" i="3"/>
  <c r="Z105" i="2"/>
  <c r="AA94" i="2"/>
  <c r="V127" i="2"/>
  <c r="V128" i="2" s="1"/>
  <c r="AD133" i="2"/>
  <c r="Y177" i="3"/>
  <c r="AB133" i="2"/>
  <c r="X86" i="2"/>
  <c r="O68" i="2" l="1"/>
  <c r="O70" i="2" s="1"/>
  <c r="O79" i="3"/>
  <c r="O80" i="3" s="1"/>
  <c r="O85" i="3" s="1"/>
  <c r="O91" i="3" s="1"/>
  <c r="O92" i="3" s="1"/>
  <c r="O93" i="3" s="1"/>
  <c r="O96" i="3" s="1"/>
  <c r="X127" i="2"/>
  <c r="X128" i="2" s="1"/>
  <c r="X83" i="3"/>
  <c r="AB89" i="2"/>
  <c r="AB88" i="2" s="1"/>
  <c r="AC133" i="2"/>
  <c r="Z131" i="2"/>
  <c r="W127" i="2"/>
  <c r="W128" i="2" s="1"/>
  <c r="U69" i="3"/>
  <c r="U22" i="3" s="1"/>
  <c r="V69" i="3" s="1"/>
  <c r="Y14" i="4"/>
  <c r="W28" i="4"/>
  <c r="W123" i="3"/>
  <c r="W14" i="4"/>
  <c r="W119" i="3"/>
  <c r="W118" i="3" s="1"/>
  <c r="W177" i="3"/>
  <c r="O112" i="2"/>
  <c r="O141" i="3" s="1"/>
  <c r="O74" i="2"/>
  <c r="O118" i="2"/>
  <c r="Q170" i="2"/>
  <c r="O122" i="2"/>
  <c r="O158" i="2"/>
  <c r="O106" i="2"/>
  <c r="O75" i="2"/>
  <c r="P198" i="2"/>
  <c r="P174" i="2"/>
  <c r="P171" i="2"/>
  <c r="P172" i="2"/>
  <c r="P173" i="2"/>
  <c r="P107" i="2"/>
  <c r="P67" i="2"/>
  <c r="P112" i="2" s="1"/>
  <c r="P104" i="2"/>
  <c r="P81" i="2" s="1"/>
  <c r="P115" i="2" s="1"/>
  <c r="P109" i="2"/>
  <c r="P73" i="2" s="1"/>
  <c r="Q102" i="2"/>
  <c r="AA146" i="2"/>
  <c r="AA130" i="2"/>
  <c r="Z151" i="2"/>
  <c r="AA151" i="2" s="1"/>
  <c r="Y145" i="2"/>
  <c r="Y144" i="2" s="1"/>
  <c r="AC130" i="2"/>
  <c r="X28" i="4"/>
  <c r="X14" i="4"/>
  <c r="X123" i="3"/>
  <c r="X76" i="3"/>
  <c r="W12" i="2"/>
  <c r="W14" i="2"/>
  <c r="Y77" i="3" s="1"/>
  <c r="Y78" i="3" s="1"/>
  <c r="Y90" i="3" s="1"/>
  <c r="X12" i="2"/>
  <c r="AD136" i="2"/>
  <c r="AD130" i="2" s="1"/>
  <c r="Z78" i="2"/>
  <c r="Z17" i="2"/>
  <c r="Z143" i="2"/>
  <c r="X119" i="3"/>
  <c r="X177" i="3"/>
  <c r="Y15" i="4" s="1"/>
  <c r="AH137" i="2"/>
  <c r="AI137" i="2" s="1"/>
  <c r="AA38" i="2"/>
  <c r="AA93" i="2" s="1"/>
  <c r="AA149" i="2"/>
  <c r="Y119" i="3"/>
  <c r="AA90" i="2"/>
  <c r="AA86" i="2" s="1"/>
  <c r="AB130" i="2"/>
  <c r="Y120" i="3"/>
  <c r="X120" i="3"/>
  <c r="AB91" i="2"/>
  <c r="AB90" i="2" s="1"/>
  <c r="AB39" i="2"/>
  <c r="Y121" i="3"/>
  <c r="X121" i="3"/>
  <c r="AF133" i="2"/>
  <c r="AB96" i="2"/>
  <c r="AC97" i="2"/>
  <c r="AD97" i="2" s="1"/>
  <c r="AE97" i="2" s="1"/>
  <c r="AB94" i="2"/>
  <c r="X87" i="2"/>
  <c r="X84" i="2"/>
  <c r="Z86" i="2"/>
  <c r="AI153" i="2"/>
  <c r="AJ153" i="2" s="1"/>
  <c r="Y163" i="3"/>
  <c r="AE133" i="2"/>
  <c r="Y84" i="2"/>
  <c r="Y87" i="2"/>
  <c r="V136" i="3"/>
  <c r="V11" i="4"/>
  <c r="V81" i="3"/>
  <c r="V82" i="3" s="1"/>
  <c r="AD140" i="2"/>
  <c r="AE140" i="2" s="1"/>
  <c r="AA132" i="2"/>
  <c r="AA131" i="2" s="1"/>
  <c r="W99" i="2"/>
  <c r="W100" i="2" s="1"/>
  <c r="AE79" i="2"/>
  <c r="AA105" i="2"/>
  <c r="AB105" i="2" s="1"/>
  <c r="Y150" i="2" l="1"/>
  <c r="Y142" i="2"/>
  <c r="X15" i="4"/>
  <c r="W15" i="4"/>
  <c r="AC89" i="2"/>
  <c r="AC88" i="2" s="1"/>
  <c r="Y127" i="2"/>
  <c r="Y128" i="2" s="1"/>
  <c r="Y83" i="3"/>
  <c r="U162" i="3"/>
  <c r="P79" i="3"/>
  <c r="P137" i="3" s="1"/>
  <c r="F25" i="6" s="1"/>
  <c r="U114" i="3"/>
  <c r="U27" i="4"/>
  <c r="U13" i="4"/>
  <c r="Q171" i="2"/>
  <c r="O137" i="3"/>
  <c r="E25" i="6" s="1"/>
  <c r="Z28" i="3"/>
  <c r="Z121" i="3" s="1"/>
  <c r="Z10" i="3"/>
  <c r="Z120" i="3" s="1"/>
  <c r="Z9" i="3"/>
  <c r="Z168" i="3"/>
  <c r="W29" i="4"/>
  <c r="W163" i="3"/>
  <c r="P141" i="3"/>
  <c r="O113" i="2"/>
  <c r="O120" i="2"/>
  <c r="O155" i="2"/>
  <c r="O156" i="2" s="1"/>
  <c r="R102" i="2"/>
  <c r="Q109" i="2"/>
  <c r="Q73" i="2" s="1"/>
  <c r="Q67" i="2"/>
  <c r="Q79" i="3" s="1"/>
  <c r="Q80" i="3" s="1"/>
  <c r="Q85" i="3" s="1"/>
  <c r="Q107" i="2"/>
  <c r="Q104" i="2"/>
  <c r="Q81" i="2" s="1"/>
  <c r="Q115" i="2" s="1"/>
  <c r="AE136" i="2"/>
  <c r="AF136" i="2" s="1"/>
  <c r="AG136" i="2" s="1"/>
  <c r="P158" i="2"/>
  <c r="P122" i="2"/>
  <c r="P68" i="2"/>
  <c r="P70" i="2" s="1"/>
  <c r="O71" i="2"/>
  <c r="O76" i="2"/>
  <c r="O117" i="2"/>
  <c r="Q174" i="2"/>
  <c r="Q173" i="2"/>
  <c r="Q172" i="2"/>
  <c r="Q198" i="2"/>
  <c r="O161" i="2"/>
  <c r="O125" i="2"/>
  <c r="P74" i="2"/>
  <c r="P118" i="2"/>
  <c r="AB146" i="2"/>
  <c r="AB144" i="2" s="1"/>
  <c r="AB150" i="2" s="1"/>
  <c r="P113" i="2"/>
  <c r="P155" i="2"/>
  <c r="P120" i="2"/>
  <c r="P106" i="2"/>
  <c r="P75" i="2"/>
  <c r="O163" i="2"/>
  <c r="O181" i="2"/>
  <c r="O186" i="2" s="1"/>
  <c r="R170" i="2"/>
  <c r="Y81" i="3"/>
  <c r="Y82" i="3" s="1"/>
  <c r="Y11" i="4"/>
  <c r="AA145" i="2"/>
  <c r="AA144" i="2" s="1"/>
  <c r="AA150" i="2" s="1"/>
  <c r="AB151" i="2"/>
  <c r="AB145" i="2" s="1"/>
  <c r="U20" i="3"/>
  <c r="Z145" i="2"/>
  <c r="Z144" i="2" s="1"/>
  <c r="Z150" i="2" s="1"/>
  <c r="Y118" i="3"/>
  <c r="V22" i="3"/>
  <c r="V20" i="3" s="1"/>
  <c r="X118" i="3"/>
  <c r="X29" i="4"/>
  <c r="X163" i="3"/>
  <c r="Y29" i="4"/>
  <c r="W77" i="3"/>
  <c r="W78" i="3" s="1"/>
  <c r="W90" i="3" s="1"/>
  <c r="X77" i="3"/>
  <c r="X78" i="3" s="1"/>
  <c r="X90" i="3" s="1"/>
  <c r="AK153" i="2"/>
  <c r="AL153" i="2" s="1"/>
  <c r="AM153" i="2" s="1"/>
  <c r="AB38" i="2"/>
  <c r="AB93" i="2" s="1"/>
  <c r="AC39" i="2"/>
  <c r="AC91" i="2"/>
  <c r="AD91" i="2" s="1"/>
  <c r="AA143" i="2"/>
  <c r="AB149" i="2"/>
  <c r="Z11" i="2"/>
  <c r="Z76" i="3" s="1"/>
  <c r="Z147" i="2"/>
  <c r="Z41" i="2"/>
  <c r="Z134" i="2"/>
  <c r="Z129" i="2" s="1"/>
  <c r="Z18" i="2"/>
  <c r="Z196" i="2"/>
  <c r="AA17" i="2"/>
  <c r="AA10" i="3" s="1"/>
  <c r="AA78" i="2"/>
  <c r="AC105" i="2"/>
  <c r="AD105" i="2" s="1"/>
  <c r="AF140" i="2"/>
  <c r="AG140" i="2" s="1"/>
  <c r="AC132" i="2"/>
  <c r="AC131" i="2" s="1"/>
  <c r="AB132" i="2"/>
  <c r="AB131" i="2" s="1"/>
  <c r="AA87" i="2"/>
  <c r="AA84" i="2"/>
  <c r="Z87" i="2"/>
  <c r="Z84" i="2"/>
  <c r="AE96" i="2"/>
  <c r="AG133" i="2"/>
  <c r="AH133" i="2"/>
  <c r="AF79" i="2"/>
  <c r="AG79" i="2" s="1"/>
  <c r="Y99" i="2"/>
  <c r="Y100" i="2" s="1"/>
  <c r="AJ137" i="2"/>
  <c r="AK137" i="2" s="1"/>
  <c r="AD89" i="2"/>
  <c r="AD88" i="2" s="1"/>
  <c r="AB86" i="2"/>
  <c r="V13" i="4"/>
  <c r="V114" i="3"/>
  <c r="V27" i="4"/>
  <c r="V162" i="3"/>
  <c r="AD96" i="2"/>
  <c r="X99" i="2"/>
  <c r="X100" i="2" s="1"/>
  <c r="AC96" i="2"/>
  <c r="AF97" i="2"/>
  <c r="AG97" i="2" s="1"/>
  <c r="AH97" i="2" s="1"/>
  <c r="AC94" i="2"/>
  <c r="AD94" i="2" s="1"/>
  <c r="AA120" i="3" l="1"/>
  <c r="P80" i="3"/>
  <c r="P85" i="3" s="1"/>
  <c r="P150" i="3" s="1"/>
  <c r="F42" i="6" s="1"/>
  <c r="Q137" i="3"/>
  <c r="G25" i="6" s="1"/>
  <c r="O176" i="2"/>
  <c r="AA168" i="3"/>
  <c r="AA9" i="3"/>
  <c r="AA119" i="3" s="1"/>
  <c r="AA28" i="3"/>
  <c r="AA121" i="3" s="1"/>
  <c r="Z28" i="4"/>
  <c r="Z123" i="3"/>
  <c r="Z14" i="4"/>
  <c r="Z119" i="3"/>
  <c r="Z118" i="3" s="1"/>
  <c r="Z177" i="3"/>
  <c r="O142" i="3"/>
  <c r="O150" i="3"/>
  <c r="E42" i="6" s="1"/>
  <c r="O151" i="3"/>
  <c r="E43" i="6" s="1"/>
  <c r="O113" i="3"/>
  <c r="O116" i="3" s="1"/>
  <c r="E20" i="6" s="1"/>
  <c r="O10" i="4"/>
  <c r="O12" i="4" s="1"/>
  <c r="Q142" i="3"/>
  <c r="Q151" i="3"/>
  <c r="G43" i="6" s="1"/>
  <c r="Q150" i="3"/>
  <c r="G42" i="6" s="1"/>
  <c r="Q10" i="4"/>
  <c r="Q12" i="4" s="1"/>
  <c r="Q113" i="3"/>
  <c r="Q116" i="3" s="1"/>
  <c r="G20" i="6" s="1"/>
  <c r="Q112" i="2"/>
  <c r="AE130" i="2"/>
  <c r="AC146" i="2"/>
  <c r="P71" i="2"/>
  <c r="P76" i="2"/>
  <c r="P117" i="2"/>
  <c r="O124" i="2"/>
  <c r="O160" i="2"/>
  <c r="Q75" i="2"/>
  <c r="Q106" i="2"/>
  <c r="O166" i="2"/>
  <c r="O184" i="2"/>
  <c r="O189" i="2" s="1"/>
  <c r="Q118" i="2"/>
  <c r="Q74" i="2"/>
  <c r="Q158" i="2"/>
  <c r="Q122" i="2"/>
  <c r="O69" i="2"/>
  <c r="O72" i="2"/>
  <c r="O116" i="2"/>
  <c r="R172" i="2"/>
  <c r="R198" i="2"/>
  <c r="R173" i="2"/>
  <c r="R174" i="2"/>
  <c r="P163" i="2"/>
  <c r="P181" i="2"/>
  <c r="P186" i="2" s="1"/>
  <c r="R171" i="2"/>
  <c r="P156" i="2"/>
  <c r="P176" i="2"/>
  <c r="P143" i="3" s="1"/>
  <c r="R67" i="2"/>
  <c r="R107" i="2"/>
  <c r="R109" i="2"/>
  <c r="R73" i="2" s="1"/>
  <c r="R104" i="2"/>
  <c r="R81" i="2" s="1"/>
  <c r="R115" i="2" s="1"/>
  <c r="W69" i="3"/>
  <c r="W22" i="3" s="1"/>
  <c r="P125" i="2"/>
  <c r="P161" i="2"/>
  <c r="Q68" i="2"/>
  <c r="Q70" i="2" s="1"/>
  <c r="AC151" i="2"/>
  <c r="AC145" i="2" s="1"/>
  <c r="Z142" i="2"/>
  <c r="AE89" i="2"/>
  <c r="AE88" i="2" s="1"/>
  <c r="AG130" i="2"/>
  <c r="AE91" i="2"/>
  <c r="AE90" i="2" s="1"/>
  <c r="AD90" i="2"/>
  <c r="AC38" i="2"/>
  <c r="AC93" i="2" s="1"/>
  <c r="AD39" i="2"/>
  <c r="X11" i="4"/>
  <c r="X81" i="3"/>
  <c r="X82" i="3" s="1"/>
  <c r="X136" i="3"/>
  <c r="Y136" i="3"/>
  <c r="Z14" i="2"/>
  <c r="Z77" i="3" s="1"/>
  <c r="Z78" i="3" s="1"/>
  <c r="Z90" i="3" s="1"/>
  <c r="Z12" i="2"/>
  <c r="AB17" i="2"/>
  <c r="AB28" i="3" s="1"/>
  <c r="AB78" i="2"/>
  <c r="AB143" i="2"/>
  <c r="AF130" i="2"/>
  <c r="AA134" i="2"/>
  <c r="AA129" i="2" s="1"/>
  <c r="AA11" i="2"/>
  <c r="AA76" i="3" s="1"/>
  <c r="AA18" i="2"/>
  <c r="AA147" i="2"/>
  <c r="AA196" i="2"/>
  <c r="AA123" i="3" s="1"/>
  <c r="AA41" i="2"/>
  <c r="AH136" i="2"/>
  <c r="AI136" i="2" s="1"/>
  <c r="AC90" i="2"/>
  <c r="AC86" i="2" s="1"/>
  <c r="W136" i="3"/>
  <c r="W11" i="4"/>
  <c r="W81" i="3"/>
  <c r="W82" i="3" s="1"/>
  <c r="AC149" i="2"/>
  <c r="AC143" i="2" s="1"/>
  <c r="AL137" i="2"/>
  <c r="AM137" i="2" s="1"/>
  <c r="AH79" i="2"/>
  <c r="AE94" i="2"/>
  <c r="AF94" i="2" s="1"/>
  <c r="AD132" i="2"/>
  <c r="AD131" i="2" s="1"/>
  <c r="AG96" i="2"/>
  <c r="AH140" i="2"/>
  <c r="AI140" i="2" s="1"/>
  <c r="Z99" i="2"/>
  <c r="Z100" i="2" s="1"/>
  <c r="AI97" i="2"/>
  <c r="AJ97" i="2" s="1"/>
  <c r="AF96" i="2"/>
  <c r="AI133" i="2"/>
  <c r="AH96" i="2"/>
  <c r="AB84" i="2"/>
  <c r="AB87" i="2"/>
  <c r="AN153" i="2"/>
  <c r="AA99" i="2"/>
  <c r="AA100" i="2" s="1"/>
  <c r="AE105" i="2"/>
  <c r="AF105" i="2" s="1"/>
  <c r="AC144" i="2" l="1"/>
  <c r="AC150" i="2" s="1"/>
  <c r="Z15" i="4"/>
  <c r="Z127" i="2"/>
  <c r="Z128" i="2" s="1"/>
  <c r="Z83" i="3"/>
  <c r="O178" i="2"/>
  <c r="O98" i="3"/>
  <c r="AF89" i="2"/>
  <c r="AF88" i="2" s="1"/>
  <c r="AE86" i="2"/>
  <c r="Z81" i="3"/>
  <c r="Z82" i="3" s="1"/>
  <c r="Z11" i="4"/>
  <c r="O16" i="4"/>
  <c r="Q16" i="4"/>
  <c r="Q18" i="4" s="1"/>
  <c r="O143" i="3"/>
  <c r="O193" i="2"/>
  <c r="O144" i="3" s="1"/>
  <c r="P113" i="3"/>
  <c r="P116" i="3" s="1"/>
  <c r="F20" i="6" s="1"/>
  <c r="P10" i="4"/>
  <c r="P12" i="4" s="1"/>
  <c r="P142" i="3"/>
  <c r="P151" i="3"/>
  <c r="F43" i="6" s="1"/>
  <c r="W13" i="4"/>
  <c r="W114" i="3"/>
  <c r="AB10" i="3"/>
  <c r="AB120" i="3" s="1"/>
  <c r="W162" i="3"/>
  <c r="W27" i="4"/>
  <c r="AB9" i="3"/>
  <c r="AB119" i="3" s="1"/>
  <c r="AA177" i="3"/>
  <c r="AB168" i="3"/>
  <c r="AA28" i="4"/>
  <c r="AA14" i="4"/>
  <c r="Z29" i="4"/>
  <c r="Z163" i="3"/>
  <c r="R68" i="2"/>
  <c r="R70" i="2" s="1"/>
  <c r="R79" i="3"/>
  <c r="Q141" i="3"/>
  <c r="Q113" i="2"/>
  <c r="Q155" i="2"/>
  <c r="R112" i="2"/>
  <c r="R141" i="3" s="1"/>
  <c r="Q120" i="2"/>
  <c r="W20" i="3"/>
  <c r="X69" i="3"/>
  <c r="X27" i="4" s="1"/>
  <c r="AD151" i="2"/>
  <c r="AE151" i="2" s="1"/>
  <c r="R122" i="2"/>
  <c r="R158" i="2"/>
  <c r="R74" i="2"/>
  <c r="R118" i="2"/>
  <c r="R106" i="2"/>
  <c r="R75" i="2"/>
  <c r="R71" i="2" s="1"/>
  <c r="Q117" i="2"/>
  <c r="Q76" i="2"/>
  <c r="T102" i="2"/>
  <c r="O165" i="2"/>
  <c r="O183" i="2"/>
  <c r="O188" i="2" s="1"/>
  <c r="P184" i="2"/>
  <c r="P189" i="2" s="1"/>
  <c r="P166" i="2"/>
  <c r="P178" i="2"/>
  <c r="P193" i="2"/>
  <c r="P144" i="3" s="1"/>
  <c r="P98" i="3"/>
  <c r="Q161" i="2"/>
  <c r="Q125" i="2"/>
  <c r="P160" i="2"/>
  <c r="P124" i="2"/>
  <c r="Q71" i="2"/>
  <c r="Q163" i="2"/>
  <c r="Q181" i="2"/>
  <c r="Q186" i="2" s="1"/>
  <c r="T170" i="2"/>
  <c r="S170" i="2"/>
  <c r="S102" i="2"/>
  <c r="O123" i="2"/>
  <c r="O159" i="2"/>
  <c r="P116" i="2"/>
  <c r="P69" i="2"/>
  <c r="P72" i="2"/>
  <c r="Z136" i="3"/>
  <c r="AB147" i="2"/>
  <c r="AB18" i="2"/>
  <c r="AB41" i="2"/>
  <c r="AB134" i="2"/>
  <c r="AB129" i="2" s="1"/>
  <c r="AB196" i="2"/>
  <c r="AB28" i="4" s="1"/>
  <c r="AB11" i="2"/>
  <c r="AB76" i="3" s="1"/>
  <c r="AF91" i="2"/>
  <c r="AA118" i="3"/>
  <c r="AD38" i="2"/>
  <c r="AE39" i="2"/>
  <c r="AH130" i="2"/>
  <c r="AC78" i="2"/>
  <c r="AC17" i="2"/>
  <c r="AC9" i="3" s="1"/>
  <c r="AI130" i="2"/>
  <c r="AA142" i="2"/>
  <c r="AD149" i="2"/>
  <c r="AA14" i="2"/>
  <c r="AA77" i="3" s="1"/>
  <c r="AA78" i="3" s="1"/>
  <c r="AA90" i="3" s="1"/>
  <c r="AA12" i="2"/>
  <c r="AB121" i="3"/>
  <c r="AJ136" i="2"/>
  <c r="AK136" i="2" s="1"/>
  <c r="AJ96" i="2"/>
  <c r="AK97" i="2"/>
  <c r="AL97" i="2" s="1"/>
  <c r="AC87" i="2"/>
  <c r="AC84" i="2"/>
  <c r="AB99" i="2"/>
  <c r="AB100" i="2" s="1"/>
  <c r="AJ133" i="2"/>
  <c r="AG94" i="2"/>
  <c r="AH94" i="2" s="1"/>
  <c r="AE132" i="2"/>
  <c r="AE131" i="2" s="1"/>
  <c r="AO153" i="2"/>
  <c r="AI96" i="2"/>
  <c r="AN137" i="2"/>
  <c r="AO137" i="2" s="1"/>
  <c r="AI79" i="2"/>
  <c r="AG105" i="2"/>
  <c r="AH105" i="2" s="1"/>
  <c r="AD86" i="2"/>
  <c r="AJ140" i="2"/>
  <c r="AG89" i="2" l="1"/>
  <c r="AG88" i="2" s="1"/>
  <c r="AD146" i="2"/>
  <c r="AA29" i="4"/>
  <c r="AA15" i="4"/>
  <c r="AA127" i="2"/>
  <c r="AA128" i="2" s="1"/>
  <c r="AA83" i="3"/>
  <c r="P16" i="4"/>
  <c r="P18" i="4" s="1"/>
  <c r="AC119" i="3"/>
  <c r="AB177" i="3"/>
  <c r="AB15" i="4" s="1"/>
  <c r="X114" i="3"/>
  <c r="X22" i="3"/>
  <c r="Y69" i="3" s="1"/>
  <c r="U170" i="2" s="1"/>
  <c r="U198" i="2" s="1"/>
  <c r="AA163" i="3"/>
  <c r="X13" i="4"/>
  <c r="AC28" i="3"/>
  <c r="AC121" i="3" s="1"/>
  <c r="X162" i="3"/>
  <c r="AB123" i="3"/>
  <c r="AB14" i="4"/>
  <c r="AC10" i="3"/>
  <c r="AC120" i="3" s="1"/>
  <c r="R80" i="3"/>
  <c r="R85" i="3" s="1"/>
  <c r="R137" i="3"/>
  <c r="H25" i="6" s="1"/>
  <c r="R113" i="2"/>
  <c r="AC168" i="3"/>
  <c r="R120" i="2"/>
  <c r="AH89" i="2"/>
  <c r="AH88" i="2" s="1"/>
  <c r="R155" i="2"/>
  <c r="R156" i="2" s="1"/>
  <c r="R69" i="2"/>
  <c r="R116" i="2"/>
  <c r="R123" i="2" s="1"/>
  <c r="AD145" i="2"/>
  <c r="Q156" i="2"/>
  <c r="Q176" i="2"/>
  <c r="U102" i="2"/>
  <c r="U67" i="2" s="1"/>
  <c r="S107" i="2"/>
  <c r="S67" i="2"/>
  <c r="S79" i="3" s="1"/>
  <c r="S109" i="2"/>
  <c r="S73" i="2" s="1"/>
  <c r="S104" i="2"/>
  <c r="S81" i="2" s="1"/>
  <c r="S115" i="2" s="1"/>
  <c r="Q160" i="2"/>
  <c r="Q124" i="2"/>
  <c r="S198" i="2"/>
  <c r="S173" i="2"/>
  <c r="T173" i="2" s="1"/>
  <c r="S172" i="2"/>
  <c r="T172" i="2" s="1"/>
  <c r="S174" i="2"/>
  <c r="T174" i="2" s="1"/>
  <c r="S171" i="2"/>
  <c r="T171" i="2" s="1"/>
  <c r="Q166" i="2"/>
  <c r="Q184" i="2"/>
  <c r="Q189" i="2" s="1"/>
  <c r="R76" i="2"/>
  <c r="R117" i="2"/>
  <c r="R72" i="2"/>
  <c r="T198" i="2"/>
  <c r="T107" i="2"/>
  <c r="T109" i="2"/>
  <c r="T73" i="2" s="1"/>
  <c r="T104" i="2"/>
  <c r="T81" i="2" s="1"/>
  <c r="T115" i="2" s="1"/>
  <c r="T67" i="2"/>
  <c r="R161" i="2"/>
  <c r="R125" i="2"/>
  <c r="P165" i="2"/>
  <c r="P183" i="2"/>
  <c r="P188" i="2" s="1"/>
  <c r="P123" i="2"/>
  <c r="P159" i="2"/>
  <c r="Q69" i="2"/>
  <c r="Q116" i="2"/>
  <c r="Q72" i="2"/>
  <c r="R181" i="2"/>
  <c r="R186" i="2" s="1"/>
  <c r="R163" i="2"/>
  <c r="O182" i="2"/>
  <c r="O187" i="2" s="1"/>
  <c r="O164" i="2"/>
  <c r="AB142" i="2"/>
  <c r="AK130" i="2"/>
  <c r="AL136" i="2"/>
  <c r="AL130" i="2" s="1"/>
  <c r="AE145" i="2"/>
  <c r="AF146" i="2"/>
  <c r="AE146" i="2"/>
  <c r="AE144" i="2" s="1"/>
  <c r="AE150" i="2" s="1"/>
  <c r="AF151" i="2"/>
  <c r="AL133" i="2"/>
  <c r="AA11" i="4"/>
  <c r="AA81" i="3"/>
  <c r="AA82" i="3" s="1"/>
  <c r="AA136" i="3"/>
  <c r="AC11" i="2"/>
  <c r="AC76" i="3" s="1"/>
  <c r="AC41" i="2"/>
  <c r="AC196" i="2"/>
  <c r="AC28" i="4" s="1"/>
  <c r="AC147" i="2"/>
  <c r="AC134" i="2"/>
  <c r="AC129" i="2" s="1"/>
  <c r="AC18" i="2"/>
  <c r="AD17" i="2"/>
  <c r="AD28" i="3" s="1"/>
  <c r="AD78" i="2"/>
  <c r="AD93" i="2"/>
  <c r="AD84" i="2" s="1"/>
  <c r="AF90" i="2"/>
  <c r="AF86" i="2" s="1"/>
  <c r="AD143" i="2"/>
  <c r="AE149" i="2"/>
  <c r="AB14" i="2"/>
  <c r="AB77" i="3" s="1"/>
  <c r="AB78" i="3" s="1"/>
  <c r="AB90" i="3" s="1"/>
  <c r="AB12" i="2"/>
  <c r="AJ130" i="2"/>
  <c r="AB118" i="3"/>
  <c r="AG91" i="2"/>
  <c r="AG90" i="2" s="1"/>
  <c r="AG86" i="2" s="1"/>
  <c r="AE38" i="2"/>
  <c r="AF39" i="2"/>
  <c r="AK133" i="2"/>
  <c r="AH132" i="2"/>
  <c r="AH131" i="2" s="1"/>
  <c r="AK140" i="2"/>
  <c r="AG132" i="2"/>
  <c r="AG131" i="2" s="1"/>
  <c r="AL96" i="2"/>
  <c r="AI94" i="2"/>
  <c r="AJ94" i="2" s="1"/>
  <c r="AK94" i="2" s="1"/>
  <c r="AK96" i="2"/>
  <c r="AD87" i="2"/>
  <c r="AC99" i="2"/>
  <c r="AC100" i="2" s="1"/>
  <c r="AM97" i="2"/>
  <c r="AF132" i="2"/>
  <c r="AF131" i="2" s="1"/>
  <c r="AP153" i="2"/>
  <c r="AE87" i="2"/>
  <c r="AJ79" i="2"/>
  <c r="AP137" i="2"/>
  <c r="AQ137" i="2" s="1"/>
  <c r="AI105" i="2"/>
  <c r="AJ105" i="2" s="1"/>
  <c r="AD144" i="2" l="1"/>
  <c r="AD150" i="2" s="1"/>
  <c r="AB29" i="4"/>
  <c r="AB127" i="2"/>
  <c r="AB128" i="2" s="1"/>
  <c r="AB83" i="3"/>
  <c r="AM136" i="2"/>
  <c r="AN136" i="2" s="1"/>
  <c r="AO136" i="2" s="1"/>
  <c r="AB163" i="3"/>
  <c r="Y22" i="3"/>
  <c r="Z69" i="3" s="1"/>
  <c r="V170" i="2" s="1"/>
  <c r="V198" i="2" s="1"/>
  <c r="Y13" i="4"/>
  <c r="Y114" i="3"/>
  <c r="Y27" i="4"/>
  <c r="U173" i="2"/>
  <c r="X20" i="3"/>
  <c r="Y162" i="3"/>
  <c r="U172" i="2"/>
  <c r="R159" i="2"/>
  <c r="R164" i="2" s="1"/>
  <c r="U171" i="2"/>
  <c r="U174" i="2"/>
  <c r="R176" i="2"/>
  <c r="R178" i="2" s="1"/>
  <c r="AC118" i="3"/>
  <c r="AC177" i="3"/>
  <c r="AD10" i="3"/>
  <c r="AD120" i="3" s="1"/>
  <c r="U104" i="2"/>
  <c r="U81" i="2" s="1"/>
  <c r="U115" i="2" s="1"/>
  <c r="U158" i="2" s="1"/>
  <c r="U107" i="2"/>
  <c r="U75" i="2" s="1"/>
  <c r="S137" i="3"/>
  <c r="S80" i="3"/>
  <c r="S85" i="3" s="1"/>
  <c r="AI89" i="2"/>
  <c r="AI88" i="2" s="1"/>
  <c r="AC14" i="4"/>
  <c r="AD9" i="3"/>
  <c r="AD119" i="3" s="1"/>
  <c r="Q143" i="3"/>
  <c r="AC123" i="3"/>
  <c r="AD168" i="3"/>
  <c r="U109" i="2"/>
  <c r="U73" i="2" s="1"/>
  <c r="U118" i="2" s="1"/>
  <c r="R10" i="4"/>
  <c r="R12" i="4" s="1"/>
  <c r="R150" i="3"/>
  <c r="H42" i="6" s="1"/>
  <c r="R142" i="3"/>
  <c r="R113" i="3"/>
  <c r="R116" i="3" s="1"/>
  <c r="H20" i="6" s="1"/>
  <c r="R151" i="3"/>
  <c r="H43" i="6" s="1"/>
  <c r="U79" i="3"/>
  <c r="U80" i="3" s="1"/>
  <c r="U85" i="3" s="1"/>
  <c r="T79" i="3"/>
  <c r="Q98" i="3"/>
  <c r="Q178" i="2"/>
  <c r="Q193" i="2"/>
  <c r="Q144" i="3" s="1"/>
  <c r="AM133" i="2"/>
  <c r="S112" i="2"/>
  <c r="T112" i="2"/>
  <c r="T68" i="2"/>
  <c r="T70" i="2" s="1"/>
  <c r="T122" i="2"/>
  <c r="T158" i="2"/>
  <c r="S68" i="2"/>
  <c r="S70" i="2" s="1"/>
  <c r="S106" i="2"/>
  <c r="S75" i="2"/>
  <c r="Q123" i="2"/>
  <c r="Q159" i="2"/>
  <c r="P182" i="2"/>
  <c r="P187" i="2" s="1"/>
  <c r="P164" i="2"/>
  <c r="T74" i="2"/>
  <c r="T118" i="2"/>
  <c r="T106" i="2"/>
  <c r="T75" i="2"/>
  <c r="R124" i="2"/>
  <c r="R160" i="2"/>
  <c r="Q183" i="2"/>
  <c r="Q188" i="2" s="1"/>
  <c r="Q165" i="2"/>
  <c r="S122" i="2"/>
  <c r="S158" i="2"/>
  <c r="V102" i="2"/>
  <c r="R184" i="2"/>
  <c r="R189" i="2" s="1"/>
  <c r="R166" i="2"/>
  <c r="S74" i="2"/>
  <c r="S118" i="2"/>
  <c r="U68" i="2"/>
  <c r="U70" i="2" s="1"/>
  <c r="U112" i="2"/>
  <c r="AG146" i="2"/>
  <c r="AF145" i="2"/>
  <c r="AF144" i="2" s="1"/>
  <c r="AF150" i="2" s="1"/>
  <c r="AG151" i="2"/>
  <c r="AB136" i="3"/>
  <c r="AB81" i="3"/>
  <c r="AB82" i="3" s="1"/>
  <c r="AB11" i="4"/>
  <c r="AE143" i="2"/>
  <c r="AF149" i="2"/>
  <c r="AF143" i="2" s="1"/>
  <c r="AF87" i="2"/>
  <c r="AE17" i="2"/>
  <c r="AE9" i="3" s="1"/>
  <c r="AE78" i="2"/>
  <c r="AE93" i="2"/>
  <c r="AE84" i="2" s="1"/>
  <c r="AC142" i="2"/>
  <c r="AF38" i="2"/>
  <c r="AG39" i="2"/>
  <c r="AH91" i="2"/>
  <c r="AI91" i="2" s="1"/>
  <c r="AR137" i="2"/>
  <c r="AS137" i="2" s="1"/>
  <c r="AM130" i="2"/>
  <c r="AD147" i="2"/>
  <c r="AD142" i="2" s="1"/>
  <c r="AD83" i="3" s="1"/>
  <c r="AD196" i="2"/>
  <c r="AD14" i="4" s="1"/>
  <c r="AD18" i="2"/>
  <c r="AD41" i="2"/>
  <c r="AD11" i="2"/>
  <c r="AD76" i="3" s="1"/>
  <c r="AD134" i="2"/>
  <c r="AD129" i="2" s="1"/>
  <c r="AD121" i="3"/>
  <c r="AC14" i="2"/>
  <c r="AC77" i="3" s="1"/>
  <c r="AC78" i="3" s="1"/>
  <c r="AC90" i="3" s="1"/>
  <c r="AC12" i="2"/>
  <c r="AJ132" i="2"/>
  <c r="AJ131" i="2" s="1"/>
  <c r="AM96" i="2"/>
  <c r="AN133" i="2"/>
  <c r="AQ153" i="2"/>
  <c r="AK79" i="2"/>
  <c r="AG87" i="2"/>
  <c r="AN97" i="2"/>
  <c r="AK105" i="2"/>
  <c r="AI132" i="2"/>
  <c r="AI131" i="2" s="1"/>
  <c r="AD99" i="2"/>
  <c r="AD100" i="2" s="1"/>
  <c r="AL94" i="2"/>
  <c r="AL140" i="2"/>
  <c r="AC15" i="4" l="1"/>
  <c r="AC127" i="2"/>
  <c r="AC128" i="2" s="1"/>
  <c r="AC83" i="3"/>
  <c r="Z13" i="4"/>
  <c r="V173" i="2"/>
  <c r="Z27" i="4"/>
  <c r="Z162" i="3"/>
  <c r="V174" i="2"/>
  <c r="Z114" i="3"/>
  <c r="V172" i="2"/>
  <c r="Y20" i="3"/>
  <c r="Z22" i="3"/>
  <c r="AA69" i="3" s="1"/>
  <c r="W170" i="2" s="1"/>
  <c r="V171" i="2"/>
  <c r="R16" i="4"/>
  <c r="R18" i="4" s="1"/>
  <c r="R182" i="2"/>
  <c r="R187" i="2" s="1"/>
  <c r="R143" i="3"/>
  <c r="AJ89" i="2"/>
  <c r="AJ88" i="2" s="1"/>
  <c r="R193" i="2"/>
  <c r="R144" i="3" s="1"/>
  <c r="R98" i="3"/>
  <c r="U122" i="2"/>
  <c r="AC163" i="3"/>
  <c r="AC29" i="4"/>
  <c r="U71" i="2"/>
  <c r="U69" i="2" s="1"/>
  <c r="U74" i="2"/>
  <c r="U106" i="2"/>
  <c r="AE168" i="3"/>
  <c r="AE10" i="3"/>
  <c r="AE120" i="3" s="1"/>
  <c r="AE28" i="3"/>
  <c r="AE121" i="3" s="1"/>
  <c r="AD123" i="3"/>
  <c r="AD28" i="4"/>
  <c r="AG149" i="2"/>
  <c r="AH149" i="2" s="1"/>
  <c r="AI149" i="2" s="1"/>
  <c r="U137" i="3"/>
  <c r="AD118" i="3"/>
  <c r="AD177" i="3"/>
  <c r="S150" i="3"/>
  <c r="S113" i="3"/>
  <c r="S116" i="3" s="1"/>
  <c r="S10" i="4"/>
  <c r="S12" i="4" s="1"/>
  <c r="S142" i="3"/>
  <c r="S151" i="3"/>
  <c r="S155" i="2"/>
  <c r="S176" i="2" s="1"/>
  <c r="S193" i="2" s="1"/>
  <c r="S144" i="3" s="1"/>
  <c r="S141" i="3"/>
  <c r="U141" i="3"/>
  <c r="T141" i="3"/>
  <c r="T137" i="3"/>
  <c r="T80" i="3"/>
  <c r="T85" i="3" s="1"/>
  <c r="U10" i="4"/>
  <c r="U12" i="4" s="1"/>
  <c r="U16" i="4" s="1"/>
  <c r="U18" i="4" s="1"/>
  <c r="U142" i="3"/>
  <c r="U113" i="3"/>
  <c r="U116" i="3" s="1"/>
  <c r="U150" i="3"/>
  <c r="U151" i="3"/>
  <c r="S113" i="2"/>
  <c r="S120" i="2"/>
  <c r="S161" i="2"/>
  <c r="S125" i="2"/>
  <c r="T163" i="2"/>
  <c r="T181" i="2"/>
  <c r="T186" i="2" s="1"/>
  <c r="R183" i="2"/>
  <c r="R188" i="2" s="1"/>
  <c r="R165" i="2"/>
  <c r="Q164" i="2"/>
  <c r="Q182" i="2"/>
  <c r="Q187" i="2" s="1"/>
  <c r="V107" i="2"/>
  <c r="V104" i="2"/>
  <c r="V81" i="2" s="1"/>
  <c r="V115" i="2" s="1"/>
  <c r="V67" i="2"/>
  <c r="V79" i="3" s="1"/>
  <c r="V80" i="3" s="1"/>
  <c r="V85" i="3" s="1"/>
  <c r="V109" i="2"/>
  <c r="V73" i="2" s="1"/>
  <c r="T71" i="2"/>
  <c r="T117" i="2"/>
  <c r="T76" i="2"/>
  <c r="S163" i="2"/>
  <c r="S181" i="2"/>
  <c r="S186" i="2" s="1"/>
  <c r="S71" i="2"/>
  <c r="S117" i="2"/>
  <c r="S76" i="2"/>
  <c r="AE99" i="2"/>
  <c r="AE100" i="2" s="1"/>
  <c r="W102" i="2"/>
  <c r="T125" i="2"/>
  <c r="T161" i="2"/>
  <c r="T155" i="2"/>
  <c r="T120" i="2"/>
  <c r="T113" i="2"/>
  <c r="U120" i="2"/>
  <c r="U113" i="2"/>
  <c r="U155" i="2"/>
  <c r="U125" i="2"/>
  <c r="U161" i="2"/>
  <c r="U181" i="2"/>
  <c r="U186" i="2" s="1"/>
  <c r="U163" i="2"/>
  <c r="U76" i="2"/>
  <c r="U117" i="2"/>
  <c r="AO130" i="2"/>
  <c r="AP136" i="2"/>
  <c r="AP130" i="2" s="1"/>
  <c r="AG145" i="2"/>
  <c r="AG144" i="2" s="1"/>
  <c r="AG150" i="2" s="1"/>
  <c r="AH151" i="2"/>
  <c r="AI151" i="2" s="1"/>
  <c r="AI145" i="2" s="1"/>
  <c r="AH146" i="2"/>
  <c r="AJ146" i="2"/>
  <c r="AC136" i="3"/>
  <c r="AC81" i="3"/>
  <c r="AC82" i="3" s="1"/>
  <c r="AC11" i="4"/>
  <c r="AH39" i="2"/>
  <c r="AH38" i="2" s="1"/>
  <c r="AE196" i="2"/>
  <c r="AE14" i="4" s="1"/>
  <c r="AE134" i="2"/>
  <c r="AE129" i="2" s="1"/>
  <c r="AE18" i="2"/>
  <c r="AE11" i="2"/>
  <c r="AE76" i="3" s="1"/>
  <c r="AE147" i="2"/>
  <c r="AE142" i="2" s="1"/>
  <c r="AE83" i="3" s="1"/>
  <c r="AE41" i="2"/>
  <c r="AG38" i="2"/>
  <c r="AD14" i="2"/>
  <c r="AD77" i="3" s="1"/>
  <c r="AD78" i="3" s="1"/>
  <c r="AD90" i="3" s="1"/>
  <c r="AD12" i="2"/>
  <c r="AN130" i="2"/>
  <c r="AF17" i="2"/>
  <c r="AF168" i="3" s="1"/>
  <c r="AF78" i="2"/>
  <c r="AF93" i="2"/>
  <c r="AF84" i="2" s="1"/>
  <c r="AM132" i="2"/>
  <c r="AM131" i="2" s="1"/>
  <c r="AE119" i="3"/>
  <c r="AJ91" i="2"/>
  <c r="AJ90" i="2" s="1"/>
  <c r="AI90" i="2"/>
  <c r="AI86" i="2" s="1"/>
  <c r="AD127" i="2"/>
  <c r="AD128" i="2" s="1"/>
  <c r="AH90" i="2"/>
  <c r="AH86" i="2" s="1"/>
  <c r="AH87" i="2" s="1"/>
  <c r="AO133" i="2"/>
  <c r="AT137" i="2"/>
  <c r="AU137" i="2" s="1"/>
  <c r="AN96" i="2"/>
  <c r="AL79" i="2"/>
  <c r="AM79" i="2" s="1"/>
  <c r="AN79" i="2" s="1"/>
  <c r="AL105" i="2"/>
  <c r="AO97" i="2"/>
  <c r="AM94" i="2"/>
  <c r="AN94" i="2" s="1"/>
  <c r="AK132" i="2"/>
  <c r="AK131" i="2" s="1"/>
  <c r="AM140" i="2"/>
  <c r="AL132" i="2"/>
  <c r="AL131" i="2" s="1"/>
  <c r="AR153" i="2"/>
  <c r="AG143" i="2" l="1"/>
  <c r="AD163" i="3"/>
  <c r="AD15" i="4"/>
  <c r="AK89" i="2"/>
  <c r="AK88" i="2" s="1"/>
  <c r="AA114" i="3"/>
  <c r="W172" i="2"/>
  <c r="AA22" i="3"/>
  <c r="AB69" i="3" s="1"/>
  <c r="AB22" i="3" s="1"/>
  <c r="AC69" i="3" s="1"/>
  <c r="Y170" i="2" s="1"/>
  <c r="Z20" i="3"/>
  <c r="AA162" i="3"/>
  <c r="W171" i="2"/>
  <c r="W198" i="2"/>
  <c r="W173" i="2"/>
  <c r="AA27" i="4"/>
  <c r="AA13" i="4"/>
  <c r="W174" i="2"/>
  <c r="S16" i="4"/>
  <c r="S18" i="4" s="1"/>
  <c r="U116" i="2"/>
  <c r="U123" i="2" s="1"/>
  <c r="U72" i="2"/>
  <c r="AE177" i="3"/>
  <c r="AD29" i="4"/>
  <c r="S156" i="2"/>
  <c r="AE28" i="4"/>
  <c r="V137" i="3"/>
  <c r="S178" i="2"/>
  <c r="S98" i="3"/>
  <c r="AE123" i="3"/>
  <c r="AF10" i="3"/>
  <c r="AF120" i="3" s="1"/>
  <c r="AF28" i="3"/>
  <c r="AF121" i="3" s="1"/>
  <c r="AF9" i="3"/>
  <c r="AF119" i="3" s="1"/>
  <c r="S143" i="3"/>
  <c r="T151" i="3"/>
  <c r="T142" i="3"/>
  <c r="T10" i="4"/>
  <c r="T12" i="4" s="1"/>
  <c r="T16" i="4" s="1"/>
  <c r="T18" i="4" s="1"/>
  <c r="T113" i="3"/>
  <c r="T116" i="3" s="1"/>
  <c r="T150" i="3"/>
  <c r="V142" i="3"/>
  <c r="V150" i="3"/>
  <c r="V10" i="4"/>
  <c r="V12" i="4" s="1"/>
  <c r="V16" i="4" s="1"/>
  <c r="V18" i="4" s="1"/>
  <c r="V151" i="3"/>
  <c r="V113" i="3"/>
  <c r="V116" i="3" s="1"/>
  <c r="AH143" i="2"/>
  <c r="S69" i="2"/>
  <c r="S116" i="2"/>
  <c r="S72" i="2"/>
  <c r="V122" i="2"/>
  <c r="V158" i="2"/>
  <c r="T176" i="2"/>
  <c r="T143" i="3" s="1"/>
  <c r="T156" i="2"/>
  <c r="V106" i="2"/>
  <c r="V75" i="2"/>
  <c r="S184" i="2"/>
  <c r="S189" i="2" s="1"/>
  <c r="S166" i="2"/>
  <c r="V68" i="2"/>
  <c r="V70" i="2" s="1"/>
  <c r="V112" i="2"/>
  <c r="V141" i="3" s="1"/>
  <c r="T166" i="2"/>
  <c r="T184" i="2"/>
  <c r="T189" i="2" s="1"/>
  <c r="W104" i="2"/>
  <c r="W81" i="2" s="1"/>
  <c r="W115" i="2" s="1"/>
  <c r="W67" i="2"/>
  <c r="W79" i="3" s="1"/>
  <c r="W109" i="2"/>
  <c r="W73" i="2" s="1"/>
  <c r="W107" i="2"/>
  <c r="T124" i="2"/>
  <c r="T160" i="2"/>
  <c r="S160" i="2"/>
  <c r="S124" i="2"/>
  <c r="T72" i="2"/>
  <c r="T69" i="2"/>
  <c r="T116" i="2"/>
  <c r="X102" i="2"/>
  <c r="X170" i="2"/>
  <c r="V74" i="2"/>
  <c r="V118" i="2"/>
  <c r="AQ136" i="2"/>
  <c r="AQ130" i="2" s="1"/>
  <c r="U160" i="2"/>
  <c r="U124" i="2"/>
  <c r="U156" i="2"/>
  <c r="U176" i="2"/>
  <c r="U184" i="2"/>
  <c r="U189" i="2" s="1"/>
  <c r="U166" i="2"/>
  <c r="AO132" i="2"/>
  <c r="AO131" i="2" s="1"/>
  <c r="AH145" i="2"/>
  <c r="AH144" i="2" s="1"/>
  <c r="AH150" i="2" s="1"/>
  <c r="AJ151" i="2"/>
  <c r="AI146" i="2"/>
  <c r="AI144" i="2" s="1"/>
  <c r="AI150" i="2" s="1"/>
  <c r="AD81" i="3"/>
  <c r="AD82" i="3" s="1"/>
  <c r="AD11" i="4"/>
  <c r="AD136" i="3"/>
  <c r="AO94" i="2"/>
  <c r="AP94" i="2" s="1"/>
  <c r="AF18" i="2"/>
  <c r="AF147" i="2"/>
  <c r="AF142" i="2" s="1"/>
  <c r="AF83" i="3" s="1"/>
  <c r="AF41" i="2"/>
  <c r="AF196" i="2"/>
  <c r="AF123" i="3" s="1"/>
  <c r="AF11" i="2"/>
  <c r="AF76" i="3" s="1"/>
  <c r="AF134" i="2"/>
  <c r="AF129" i="2" s="1"/>
  <c r="AF99" i="2"/>
  <c r="AF100" i="2" s="1"/>
  <c r="AI143" i="2"/>
  <c r="AK91" i="2"/>
  <c r="AL91" i="2" s="1"/>
  <c r="AE118" i="3"/>
  <c r="AE14" i="2"/>
  <c r="AE77" i="3" s="1"/>
  <c r="AE78" i="3" s="1"/>
  <c r="AE90" i="3" s="1"/>
  <c r="AE12" i="2"/>
  <c r="AG17" i="2"/>
  <c r="AG9" i="3" s="1"/>
  <c r="AG78" i="2"/>
  <c r="AG93" i="2"/>
  <c r="AG84" i="2" s="1"/>
  <c r="AH17" i="2"/>
  <c r="AH78" i="2"/>
  <c r="AH93" i="2"/>
  <c r="AH84" i="2" s="1"/>
  <c r="AE127" i="2"/>
  <c r="AE128" i="2" s="1"/>
  <c r="AJ149" i="2"/>
  <c r="AI39" i="2"/>
  <c r="AB20" i="3"/>
  <c r="AP133" i="2"/>
  <c r="AS153" i="2"/>
  <c r="AT153" i="2" s="1"/>
  <c r="AV137" i="2"/>
  <c r="AO96" i="2"/>
  <c r="AO79" i="2"/>
  <c r="AP79" i="2" s="1"/>
  <c r="AN140" i="2"/>
  <c r="AO140" i="2" s="1"/>
  <c r="AP97" i="2"/>
  <c r="AI87" i="2"/>
  <c r="AJ86" i="2"/>
  <c r="AM105" i="2"/>
  <c r="AE163" i="3" l="1"/>
  <c r="AE15" i="4"/>
  <c r="AB162" i="3"/>
  <c r="AB13" i="4"/>
  <c r="AB114" i="3"/>
  <c r="AB27" i="4"/>
  <c r="AL89" i="2"/>
  <c r="AL88" i="2" s="1"/>
  <c r="AA20" i="3"/>
  <c r="U159" i="2"/>
  <c r="U164" i="2" s="1"/>
  <c r="AE29" i="4"/>
  <c r="AG28" i="3"/>
  <c r="AG121" i="3" s="1"/>
  <c r="AF28" i="4"/>
  <c r="AF118" i="3"/>
  <c r="AF14" i="4"/>
  <c r="AG10" i="3"/>
  <c r="AG120" i="3" s="1"/>
  <c r="AF177" i="3"/>
  <c r="AF15" i="4" s="1"/>
  <c r="AG168" i="3"/>
  <c r="AG119" i="3"/>
  <c r="AQ132" i="2"/>
  <c r="U143" i="3"/>
  <c r="W137" i="3"/>
  <c r="W80" i="3"/>
  <c r="W85" i="3" s="1"/>
  <c r="AN132" i="2"/>
  <c r="AN131" i="2" s="1"/>
  <c r="AR136" i="2"/>
  <c r="AR130" i="2" s="1"/>
  <c r="W158" i="2"/>
  <c r="W122" i="2"/>
  <c r="V161" i="2"/>
  <c r="V125" i="2"/>
  <c r="S165" i="2"/>
  <c r="S183" i="2"/>
  <c r="S188" i="2" s="1"/>
  <c r="T178" i="2"/>
  <c r="T98" i="3"/>
  <c r="T193" i="2"/>
  <c r="T144" i="3" s="1"/>
  <c r="V163" i="2"/>
  <c r="V181" i="2"/>
  <c r="V186" i="2" s="1"/>
  <c r="X198" i="2"/>
  <c r="X172" i="2"/>
  <c r="Y172" i="2" s="1"/>
  <c r="X174" i="2"/>
  <c r="Y174" i="2" s="1"/>
  <c r="X171" i="2"/>
  <c r="Y171" i="2" s="1"/>
  <c r="X173" i="2"/>
  <c r="Y173" i="2" s="1"/>
  <c r="T183" i="2"/>
  <c r="T188" i="2" s="1"/>
  <c r="T165" i="2"/>
  <c r="X109" i="2"/>
  <c r="X73" i="2" s="1"/>
  <c r="X104" i="2"/>
  <c r="X81" i="2" s="1"/>
  <c r="X115" i="2" s="1"/>
  <c r="X107" i="2"/>
  <c r="X67" i="2"/>
  <c r="X79" i="3" s="1"/>
  <c r="W106" i="2"/>
  <c r="W75" i="2"/>
  <c r="T123" i="2"/>
  <c r="T159" i="2"/>
  <c r="W74" i="2"/>
  <c r="W118" i="2"/>
  <c r="S123" i="2"/>
  <c r="S159" i="2"/>
  <c r="V113" i="2"/>
  <c r="V155" i="2"/>
  <c r="V120" i="2"/>
  <c r="Y102" i="2"/>
  <c r="Y109" i="2" s="1"/>
  <c r="Y73" i="2" s="1"/>
  <c r="W112" i="2"/>
  <c r="W141" i="3" s="1"/>
  <c r="W68" i="2"/>
  <c r="W70" i="2" s="1"/>
  <c r="V71" i="2"/>
  <c r="V76" i="2"/>
  <c r="V117" i="2"/>
  <c r="Y198" i="2"/>
  <c r="U193" i="2"/>
  <c r="U144" i="3" s="1"/>
  <c r="U178" i="2"/>
  <c r="U98" i="3"/>
  <c r="U183" i="2"/>
  <c r="U188" i="2" s="1"/>
  <c r="U165" i="2"/>
  <c r="AJ145" i="2"/>
  <c r="AJ144" i="2" s="1"/>
  <c r="AJ150" i="2" s="1"/>
  <c r="AH99" i="2"/>
  <c r="AH100" i="2" s="1"/>
  <c r="AK146" i="2"/>
  <c r="AM146" i="2"/>
  <c r="AK151" i="2"/>
  <c r="AH196" i="2"/>
  <c r="AH11" i="2"/>
  <c r="AH147" i="2"/>
  <c r="AH18" i="2"/>
  <c r="AH41" i="2"/>
  <c r="AH134" i="2"/>
  <c r="AH129" i="2" s="1"/>
  <c r="AF127" i="2"/>
  <c r="AF128" i="2" s="1"/>
  <c r="AC22" i="3"/>
  <c r="AD69" i="3" s="1"/>
  <c r="Z102" i="2" s="1"/>
  <c r="AL90" i="2"/>
  <c r="AM91" i="2"/>
  <c r="AN91" i="2" s="1"/>
  <c r="AN90" i="2" s="1"/>
  <c r="AK90" i="2"/>
  <c r="AK86" i="2" s="1"/>
  <c r="AK87" i="2" s="1"/>
  <c r="AF12" i="2"/>
  <c r="AF14" i="2"/>
  <c r="AF77" i="3" s="1"/>
  <c r="AF78" i="3" s="1"/>
  <c r="AF90" i="3" s="1"/>
  <c r="AU153" i="2"/>
  <c r="AV153" i="2" s="1"/>
  <c r="AE136" i="3"/>
  <c r="AE81" i="3"/>
  <c r="AE82" i="3" s="1"/>
  <c r="AE11" i="4"/>
  <c r="AG147" i="2"/>
  <c r="AG142" i="2" s="1"/>
  <c r="AG83" i="3" s="1"/>
  <c r="AG196" i="2"/>
  <c r="AG14" i="4" s="1"/>
  <c r="AG11" i="2"/>
  <c r="AG76" i="3" s="1"/>
  <c r="AG41" i="2"/>
  <c r="AG18" i="2"/>
  <c r="AH168" i="3"/>
  <c r="AG134" i="2"/>
  <c r="AG129" i="2" s="1"/>
  <c r="AH28" i="3"/>
  <c r="AH9" i="3"/>
  <c r="AH119" i="3" s="1"/>
  <c r="AH10" i="3"/>
  <c r="AG99" i="2"/>
  <c r="AG100" i="2" s="1"/>
  <c r="AI38" i="2"/>
  <c r="AJ39" i="2"/>
  <c r="AJ143" i="2"/>
  <c r="AK149" i="2"/>
  <c r="AR133" i="2"/>
  <c r="AP96" i="2"/>
  <c r="AQ94" i="2"/>
  <c r="AR94" i="2" s="1"/>
  <c r="AQ79" i="2"/>
  <c r="AQ133" i="2"/>
  <c r="AP140" i="2"/>
  <c r="AC27" i="4"/>
  <c r="AC13" i="4"/>
  <c r="AC114" i="3"/>
  <c r="AC162" i="3"/>
  <c r="AQ97" i="2"/>
  <c r="AJ87" i="2"/>
  <c r="AN105" i="2"/>
  <c r="AO105" i="2" s="1"/>
  <c r="AW137" i="2"/>
  <c r="AS136" i="2" l="1"/>
  <c r="U182" i="2"/>
  <c r="U187" i="2" s="1"/>
  <c r="AM89" i="2"/>
  <c r="AL86" i="2"/>
  <c r="AL87" i="2" s="1"/>
  <c r="AH121" i="3"/>
  <c r="AF29" i="4"/>
  <c r="AG28" i="4"/>
  <c r="AG177" i="3"/>
  <c r="AG123" i="3"/>
  <c r="AF163" i="3"/>
  <c r="X80" i="3"/>
  <c r="X85" i="3" s="1"/>
  <c r="X10" i="4" s="1"/>
  <c r="X12" i="4" s="1"/>
  <c r="X16" i="4" s="1"/>
  <c r="X18" i="4" s="1"/>
  <c r="X137" i="3"/>
  <c r="AG118" i="3"/>
  <c r="AP132" i="2"/>
  <c r="AP131" i="2" s="1"/>
  <c r="W151" i="3"/>
  <c r="W150" i="3"/>
  <c r="W142" i="3"/>
  <c r="W113" i="3"/>
  <c r="W116" i="3" s="1"/>
  <c r="W10" i="4"/>
  <c r="W12" i="4" s="1"/>
  <c r="W16" i="4" s="1"/>
  <c r="W18" i="4" s="1"/>
  <c r="Y67" i="2"/>
  <c r="Y79" i="3" s="1"/>
  <c r="Y137" i="3" s="1"/>
  <c r="Y104" i="2"/>
  <c r="Y81" i="2" s="1"/>
  <c r="Y115" i="2" s="1"/>
  <c r="Y158" i="2" s="1"/>
  <c r="Z104" i="2"/>
  <c r="Z81" i="2" s="1"/>
  <c r="Z115" i="2" s="1"/>
  <c r="Z67" i="2"/>
  <c r="Z79" i="3" s="1"/>
  <c r="Z109" i="2"/>
  <c r="Z73" i="2" s="1"/>
  <c r="Z107" i="2"/>
  <c r="V72" i="2"/>
  <c r="V116" i="2"/>
  <c r="V69" i="2"/>
  <c r="X75" i="2"/>
  <c r="X106" i="2"/>
  <c r="Y107" i="2"/>
  <c r="Y106" i="2" s="1"/>
  <c r="W161" i="2"/>
  <c r="W125" i="2"/>
  <c r="X158" i="2"/>
  <c r="X122" i="2"/>
  <c r="W120" i="2"/>
  <c r="W113" i="2"/>
  <c r="W155" i="2"/>
  <c r="X118" i="2"/>
  <c r="X74" i="2"/>
  <c r="T164" i="2"/>
  <c r="T182" i="2"/>
  <c r="T187" i="2" s="1"/>
  <c r="Z170" i="2"/>
  <c r="V156" i="2"/>
  <c r="V176" i="2"/>
  <c r="V143" i="3" s="1"/>
  <c r="W71" i="2"/>
  <c r="W117" i="2"/>
  <c r="W76" i="2"/>
  <c r="W163" i="2"/>
  <c r="W181" i="2"/>
  <c r="W186" i="2" s="1"/>
  <c r="V160" i="2"/>
  <c r="V124" i="2"/>
  <c r="V166" i="2"/>
  <c r="V184" i="2"/>
  <c r="V189" i="2" s="1"/>
  <c r="S164" i="2"/>
  <c r="S182" i="2"/>
  <c r="S187" i="2" s="1"/>
  <c r="X68" i="2"/>
  <c r="X70" i="2" s="1"/>
  <c r="X112" i="2"/>
  <c r="X141" i="3" s="1"/>
  <c r="AN146" i="2"/>
  <c r="Y74" i="2"/>
  <c r="Y118" i="2"/>
  <c r="AD22" i="3"/>
  <c r="AD20" i="3" s="1"/>
  <c r="AL151" i="2"/>
  <c r="AL145" i="2" s="1"/>
  <c r="AK145" i="2"/>
  <c r="AK144" i="2" s="1"/>
  <c r="AK150" i="2" s="1"/>
  <c r="AC20" i="3"/>
  <c r="AL146" i="2"/>
  <c r="AF11" i="4"/>
  <c r="AF81" i="3"/>
  <c r="AF82" i="3" s="1"/>
  <c r="AF136" i="3"/>
  <c r="AH120" i="3"/>
  <c r="AG12" i="2"/>
  <c r="AG14" i="2"/>
  <c r="AG77" i="3" s="1"/>
  <c r="AG78" i="3" s="1"/>
  <c r="AG90" i="3" s="1"/>
  <c r="AH76" i="3"/>
  <c r="AK39" i="2"/>
  <c r="AJ38" i="2"/>
  <c r="AH28" i="4"/>
  <c r="AH14" i="4"/>
  <c r="AH123" i="3"/>
  <c r="AK143" i="2"/>
  <c r="AL149" i="2"/>
  <c r="AI17" i="2"/>
  <c r="AI78" i="2"/>
  <c r="AI93" i="2"/>
  <c r="AI84" i="2" s="1"/>
  <c r="AH177" i="3"/>
  <c r="AG127" i="2"/>
  <c r="AG128" i="2" s="1"/>
  <c r="AM90" i="2"/>
  <c r="AH12" i="2"/>
  <c r="AH14" i="2"/>
  <c r="AO91" i="2"/>
  <c r="AP91" i="2" s="1"/>
  <c r="AR97" i="2"/>
  <c r="AR96" i="2" s="1"/>
  <c r="AS130" i="2"/>
  <c r="AT136" i="2"/>
  <c r="AH142" i="2"/>
  <c r="AP105" i="2"/>
  <c r="AQ105" i="2" s="1"/>
  <c r="AW153" i="2"/>
  <c r="AQ140" i="2"/>
  <c r="AQ131" i="2"/>
  <c r="AQ96" i="2"/>
  <c r="AT133" i="2"/>
  <c r="AR132" i="2"/>
  <c r="AR131" i="2" s="1"/>
  <c r="AS133" i="2"/>
  <c r="AD114" i="3"/>
  <c r="AD27" i="4"/>
  <c r="AD13" i="4"/>
  <c r="AD162" i="3"/>
  <c r="AS94" i="2"/>
  <c r="AX137" i="2"/>
  <c r="AY137" i="2" s="1"/>
  <c r="AR79" i="2"/>
  <c r="AS79" i="2" s="1"/>
  <c r="AL144" i="2" l="1"/>
  <c r="AL150" i="2" s="1"/>
  <c r="AN89" i="2"/>
  <c r="AN88" i="2" s="1"/>
  <c r="AM88" i="2"/>
  <c r="AG29" i="4"/>
  <c r="AH15" i="4"/>
  <c r="AG15" i="4"/>
  <c r="AH127" i="2"/>
  <c r="AH128" i="2" s="1"/>
  <c r="AH83" i="3"/>
  <c r="AG163" i="3"/>
  <c r="AO89" i="2"/>
  <c r="AO88" i="2" s="1"/>
  <c r="AN86" i="2"/>
  <c r="AN87" i="2" s="1"/>
  <c r="AM86" i="2"/>
  <c r="AM87" i="2" s="1"/>
  <c r="AP89" i="2"/>
  <c r="AP88" i="2" s="1"/>
  <c r="AH118" i="3"/>
  <c r="AE69" i="3"/>
  <c r="AA102" i="2" s="1"/>
  <c r="AA67" i="2" s="1"/>
  <c r="Y112" i="2"/>
  <c r="Y141" i="3" s="1"/>
  <c r="X151" i="3"/>
  <c r="X150" i="3"/>
  <c r="Y68" i="2"/>
  <c r="Y70" i="2" s="1"/>
  <c r="X113" i="3"/>
  <c r="X116" i="3" s="1"/>
  <c r="X142" i="3"/>
  <c r="Z137" i="3"/>
  <c r="Z80" i="3"/>
  <c r="Z85" i="3" s="1"/>
  <c r="AI9" i="3"/>
  <c r="AI168" i="3"/>
  <c r="AI10" i="3"/>
  <c r="AI120" i="3" s="1"/>
  <c r="AI28" i="3"/>
  <c r="AI121" i="3" s="1"/>
  <c r="Y80" i="3"/>
  <c r="Y85" i="3" s="1"/>
  <c r="Y150" i="3" s="1"/>
  <c r="AH77" i="3"/>
  <c r="AH78" i="3" s="1"/>
  <c r="AH90" i="3" s="1"/>
  <c r="Y75" i="2"/>
  <c r="Y71" i="2" s="1"/>
  <c r="Z106" i="2"/>
  <c r="Y122" i="2"/>
  <c r="Z75" i="2"/>
  <c r="Z117" i="2" s="1"/>
  <c r="X117" i="2"/>
  <c r="X76" i="2"/>
  <c r="AH29" i="4"/>
  <c r="X120" i="2"/>
  <c r="X155" i="2"/>
  <c r="X113" i="2"/>
  <c r="Z198" i="2"/>
  <c r="Z172" i="2"/>
  <c r="Z173" i="2"/>
  <c r="Z171" i="2"/>
  <c r="Z174" i="2"/>
  <c r="V159" i="2"/>
  <c r="V123" i="2"/>
  <c r="X181" i="2"/>
  <c r="X186" i="2" s="1"/>
  <c r="X163" i="2"/>
  <c r="W160" i="2"/>
  <c r="W124" i="2"/>
  <c r="AA170" i="2"/>
  <c r="W72" i="2"/>
  <c r="W69" i="2"/>
  <c r="W116" i="2"/>
  <c r="X161" i="2"/>
  <c r="X125" i="2"/>
  <c r="W166" i="2"/>
  <c r="W184" i="2"/>
  <c r="W189" i="2" s="1"/>
  <c r="Z74" i="2"/>
  <c r="Z118" i="2"/>
  <c r="V165" i="2"/>
  <c r="V183" i="2"/>
  <c r="V188" i="2" s="1"/>
  <c r="V98" i="3"/>
  <c r="V193" i="2"/>
  <c r="V144" i="3" s="1"/>
  <c r="V178" i="2"/>
  <c r="X71" i="2"/>
  <c r="Z68" i="2"/>
  <c r="Z70" i="2" s="1"/>
  <c r="Z112" i="2"/>
  <c r="W156" i="2"/>
  <c r="W176" i="2"/>
  <c r="W143" i="3" s="1"/>
  <c r="Z158" i="2"/>
  <c r="Z122" i="2"/>
  <c r="Y125" i="2"/>
  <c r="Y161" i="2"/>
  <c r="Y163" i="2"/>
  <c r="Y181" i="2"/>
  <c r="Y186" i="2" s="1"/>
  <c r="AO146" i="2"/>
  <c r="AM151" i="2"/>
  <c r="AN151" i="2" s="1"/>
  <c r="AQ91" i="2"/>
  <c r="AR91" i="2" s="1"/>
  <c r="AP90" i="2"/>
  <c r="AG81" i="3"/>
  <c r="AG82" i="3" s="1"/>
  <c r="AG11" i="4"/>
  <c r="AK38" i="2"/>
  <c r="AL39" i="2"/>
  <c r="AM39" i="2" s="1"/>
  <c r="AJ17" i="2"/>
  <c r="AJ28" i="3" s="1"/>
  <c r="AJ78" i="2"/>
  <c r="AJ93" i="2"/>
  <c r="AJ84" i="2" s="1"/>
  <c r="AS97" i="2"/>
  <c r="AS96" i="2" s="1"/>
  <c r="AL143" i="2"/>
  <c r="AM149" i="2"/>
  <c r="AU136" i="2"/>
  <c r="AT130" i="2"/>
  <c r="AO90" i="2"/>
  <c r="AH163" i="3"/>
  <c r="AI196" i="2"/>
  <c r="AI123" i="3" s="1"/>
  <c r="AI11" i="2"/>
  <c r="AI76" i="3" s="1"/>
  <c r="AI147" i="2"/>
  <c r="AI142" i="2" s="1"/>
  <c r="AI83" i="3" s="1"/>
  <c r="AI41" i="2"/>
  <c r="AI18" i="2"/>
  <c r="AI134" i="2"/>
  <c r="AI129" i="2" s="1"/>
  <c r="AI99" i="2"/>
  <c r="AI100" i="2" s="1"/>
  <c r="AG136" i="3"/>
  <c r="AT79" i="2"/>
  <c r="AU79" i="2" s="1"/>
  <c r="AV133" i="2"/>
  <c r="AZ137" i="2"/>
  <c r="BA137" i="2" s="1"/>
  <c r="AR140" i="2"/>
  <c r="AS140" i="2" s="1"/>
  <c r="AX153" i="2"/>
  <c r="AU133" i="2"/>
  <c r="AR105" i="2"/>
  <c r="AT94" i="2"/>
  <c r="AS132" i="2"/>
  <c r="AS131" i="2" s="1"/>
  <c r="AP86" i="2" l="1"/>
  <c r="AO86" i="2"/>
  <c r="AO87" i="2" s="1"/>
  <c r="AQ89" i="2"/>
  <c r="AQ88" i="2" s="1"/>
  <c r="Y155" i="2"/>
  <c r="AE162" i="3"/>
  <c r="AA109" i="2"/>
  <c r="AA73" i="2" s="1"/>
  <c r="AA74" i="2" s="1"/>
  <c r="AE114" i="3"/>
  <c r="AE13" i="4"/>
  <c r="AE22" i="3"/>
  <c r="AF69" i="3" s="1"/>
  <c r="AB170" i="2" s="1"/>
  <c r="AB198" i="2" s="1"/>
  <c r="AA104" i="2"/>
  <c r="AA81" i="2" s="1"/>
  <c r="AA115" i="2" s="1"/>
  <c r="AA158" i="2" s="1"/>
  <c r="AA163" i="2" s="1"/>
  <c r="AE27" i="4"/>
  <c r="AA107" i="2"/>
  <c r="Y113" i="2"/>
  <c r="AA79" i="3"/>
  <c r="AA137" i="3" s="1"/>
  <c r="AA68" i="2"/>
  <c r="AA70" i="2" s="1"/>
  <c r="Y120" i="2"/>
  <c r="AJ10" i="3"/>
  <c r="AJ120" i="3" s="1"/>
  <c r="AJ9" i="3"/>
  <c r="AJ119" i="3" s="1"/>
  <c r="Y10" i="4"/>
  <c r="Y12" i="4" s="1"/>
  <c r="Y16" i="4" s="1"/>
  <c r="Y18" i="4" s="1"/>
  <c r="Y113" i="3"/>
  <c r="Y116" i="3" s="1"/>
  <c r="Y151" i="3"/>
  <c r="Z71" i="2"/>
  <c r="Z116" i="2" s="1"/>
  <c r="Y117" i="2"/>
  <c r="Y124" i="2" s="1"/>
  <c r="AJ168" i="3"/>
  <c r="AI119" i="3"/>
  <c r="AI118" i="3" s="1"/>
  <c r="AI177" i="3"/>
  <c r="Y76" i="2"/>
  <c r="Z141" i="3"/>
  <c r="Z151" i="3"/>
  <c r="Z142" i="3"/>
  <c r="Z150" i="3"/>
  <c r="Z10" i="4"/>
  <c r="Z12" i="4" s="1"/>
  <c r="Z16" i="4" s="1"/>
  <c r="Z18" i="4" s="1"/>
  <c r="Z113" i="3"/>
  <c r="Z116" i="3" s="1"/>
  <c r="Y142" i="3"/>
  <c r="AA112" i="2"/>
  <c r="AA120" i="2" s="1"/>
  <c r="Z76" i="2"/>
  <c r="Z120" i="2"/>
  <c r="Z113" i="2"/>
  <c r="Z155" i="2"/>
  <c r="V164" i="2"/>
  <c r="V182" i="2"/>
  <c r="V187" i="2" s="1"/>
  <c r="AA172" i="2"/>
  <c r="AA173" i="2"/>
  <c r="AA171" i="2"/>
  <c r="AA198" i="2"/>
  <c r="AA174" i="2"/>
  <c r="Z125" i="2"/>
  <c r="Z161" i="2"/>
  <c r="X72" i="2"/>
  <c r="X116" i="2"/>
  <c r="X69" i="2"/>
  <c r="W183" i="2"/>
  <c r="W188" i="2" s="1"/>
  <c r="W165" i="2"/>
  <c r="X160" i="2"/>
  <c r="X124" i="2"/>
  <c r="AB102" i="2"/>
  <c r="Z163" i="2"/>
  <c r="Z181" i="2"/>
  <c r="Z186" i="2" s="1"/>
  <c r="X184" i="2"/>
  <c r="X189" i="2" s="1"/>
  <c r="X166" i="2"/>
  <c r="W193" i="2"/>
  <c r="W144" i="3" s="1"/>
  <c r="W98" i="3"/>
  <c r="W178" i="2"/>
  <c r="W159" i="2"/>
  <c r="W123" i="2"/>
  <c r="X176" i="2"/>
  <c r="X143" i="3" s="1"/>
  <c r="X156" i="2"/>
  <c r="Y156" i="2"/>
  <c r="Y176" i="2"/>
  <c r="Y143" i="3" s="1"/>
  <c r="Y72" i="2"/>
  <c r="Y69" i="2"/>
  <c r="Y116" i="2"/>
  <c r="Y166" i="2"/>
  <c r="Y184" i="2"/>
  <c r="Y189" i="2" s="1"/>
  <c r="Z124" i="2"/>
  <c r="Z160" i="2"/>
  <c r="AO151" i="2"/>
  <c r="AP151" i="2" s="1"/>
  <c r="AN145" i="2"/>
  <c r="AN144" i="2" s="1"/>
  <c r="AN150" i="2" s="1"/>
  <c r="AT97" i="2"/>
  <c r="AT96" i="2" s="1"/>
  <c r="AM145" i="2"/>
  <c r="AM144" i="2" s="1"/>
  <c r="AM150" i="2" s="1"/>
  <c r="AH136" i="3"/>
  <c r="AH81" i="3"/>
  <c r="AH82" i="3" s="1"/>
  <c r="AH11" i="4"/>
  <c r="AI12" i="2"/>
  <c r="AI14" i="2"/>
  <c r="AI77" i="3" s="1"/>
  <c r="AI78" i="3" s="1"/>
  <c r="AI90" i="3" s="1"/>
  <c r="AM38" i="2"/>
  <c r="AN39" i="2"/>
  <c r="AO39" i="2" s="1"/>
  <c r="AQ90" i="2"/>
  <c r="AI127" i="2"/>
  <c r="AI128" i="2" s="1"/>
  <c r="AU130" i="2"/>
  <c r="AV136" i="2"/>
  <c r="AW136" i="2" s="1"/>
  <c r="AK17" i="2"/>
  <c r="AK168" i="3" s="1"/>
  <c r="AK93" i="2"/>
  <c r="AK84" i="2" s="1"/>
  <c r="AK78" i="2"/>
  <c r="AR90" i="2"/>
  <c r="AU94" i="2"/>
  <c r="AV94" i="2" s="1"/>
  <c r="AW94" i="2" s="1"/>
  <c r="AM143" i="2"/>
  <c r="AJ121" i="3"/>
  <c r="AJ196" i="2"/>
  <c r="AJ14" i="4" s="1"/>
  <c r="AJ11" i="2"/>
  <c r="AJ76" i="3" s="1"/>
  <c r="AJ147" i="2"/>
  <c r="AJ142" i="2" s="1"/>
  <c r="AJ83" i="3" s="1"/>
  <c r="AJ41" i="2"/>
  <c r="AJ18" i="2"/>
  <c r="AJ134" i="2"/>
  <c r="AJ129" i="2" s="1"/>
  <c r="AJ99" i="2"/>
  <c r="AJ100" i="2" s="1"/>
  <c r="AL38" i="2"/>
  <c r="AS91" i="2"/>
  <c r="AT91" i="2" s="1"/>
  <c r="AN149" i="2"/>
  <c r="AT132" i="2"/>
  <c r="AT131" i="2" s="1"/>
  <c r="AY153" i="2"/>
  <c r="AZ153" i="2" s="1"/>
  <c r="AT140" i="2"/>
  <c r="AU140" i="2" s="1"/>
  <c r="AV79" i="2"/>
  <c r="AS105" i="2"/>
  <c r="AT105" i="2" s="1"/>
  <c r="AW133" i="2"/>
  <c r="AP87" i="2"/>
  <c r="BB137" i="2"/>
  <c r="BC137" i="2" s="1"/>
  <c r="BD137" i="2" s="1"/>
  <c r="AI15" i="4" l="1"/>
  <c r="AR89" i="2"/>
  <c r="AR88" i="2" s="1"/>
  <c r="AS89" i="2"/>
  <c r="AS88" i="2" s="1"/>
  <c r="AQ86" i="2"/>
  <c r="AQ87" i="2" s="1"/>
  <c r="AF13" i="4"/>
  <c r="AF162" i="3"/>
  <c r="AF27" i="4"/>
  <c r="AB174" i="2"/>
  <c r="AF114" i="3"/>
  <c r="AA118" i="2"/>
  <c r="AA125" i="2" s="1"/>
  <c r="AA80" i="3"/>
  <c r="AA85" i="3" s="1"/>
  <c r="AA113" i="3" s="1"/>
  <c r="AA116" i="3" s="1"/>
  <c r="AA106" i="2"/>
  <c r="AB171" i="2"/>
  <c r="AF22" i="3"/>
  <c r="AG69" i="3" s="1"/>
  <c r="AC170" i="2" s="1"/>
  <c r="AC198" i="2" s="1"/>
  <c r="AB173" i="2"/>
  <c r="AA122" i="2"/>
  <c r="AB172" i="2"/>
  <c r="AE20" i="3"/>
  <c r="AA75" i="2"/>
  <c r="AA71" i="2" s="1"/>
  <c r="AA116" i="2" s="1"/>
  <c r="Y160" i="2"/>
  <c r="Y165" i="2" s="1"/>
  <c r="AJ177" i="3"/>
  <c r="AA181" i="2"/>
  <c r="AA186" i="2" s="1"/>
  <c r="AJ28" i="4"/>
  <c r="AJ123" i="3"/>
  <c r="AA113" i="2"/>
  <c r="Z69" i="2"/>
  <c r="AK10" i="3"/>
  <c r="AK120" i="3" s="1"/>
  <c r="Z72" i="2"/>
  <c r="AK9" i="3"/>
  <c r="AK28" i="3"/>
  <c r="AK121" i="3" s="1"/>
  <c r="AA155" i="2"/>
  <c r="AA176" i="2" s="1"/>
  <c r="AA141" i="3"/>
  <c r="AI29" i="4"/>
  <c r="AI163" i="3"/>
  <c r="AU97" i="2"/>
  <c r="AU96" i="2" s="1"/>
  <c r="AC102" i="2"/>
  <c r="W182" i="2"/>
  <c r="W187" i="2" s="1"/>
  <c r="W164" i="2"/>
  <c r="AB67" i="2"/>
  <c r="AB107" i="2"/>
  <c r="AB109" i="2"/>
  <c r="AB73" i="2" s="1"/>
  <c r="AB104" i="2"/>
  <c r="AB81" i="2" s="1"/>
  <c r="AB115" i="2" s="1"/>
  <c r="Z166" i="2"/>
  <c r="Z184" i="2"/>
  <c r="Z189" i="2" s="1"/>
  <c r="X159" i="2"/>
  <c r="X123" i="2"/>
  <c r="X183" i="2"/>
  <c r="X188" i="2" s="1"/>
  <c r="X165" i="2"/>
  <c r="Z156" i="2"/>
  <c r="Z176" i="2"/>
  <c r="X193" i="2"/>
  <c r="X144" i="3" s="1"/>
  <c r="X178" i="2"/>
  <c r="X98" i="3"/>
  <c r="AP146" i="2"/>
  <c r="AP144" i="2" s="1"/>
  <c r="AP150" i="2" s="1"/>
  <c r="Y123" i="2"/>
  <c r="Y159" i="2"/>
  <c r="Z183" i="2"/>
  <c r="Z188" i="2" s="1"/>
  <c r="Z165" i="2"/>
  <c r="Y193" i="2"/>
  <c r="Y144" i="3" s="1"/>
  <c r="Y178" i="2"/>
  <c r="Y98" i="3"/>
  <c r="Z159" i="2"/>
  <c r="Z123" i="2"/>
  <c r="AU91" i="2"/>
  <c r="AU90" i="2" s="1"/>
  <c r="AQ151" i="2"/>
  <c r="AR151" i="2" s="1"/>
  <c r="AP145" i="2"/>
  <c r="AO145" i="2"/>
  <c r="AO144" i="2" s="1"/>
  <c r="AO150" i="2" s="1"/>
  <c r="AW130" i="2"/>
  <c r="AO38" i="2"/>
  <c r="AJ12" i="2"/>
  <c r="AJ14" i="2"/>
  <c r="AJ77" i="3" s="1"/>
  <c r="AJ78" i="3" s="1"/>
  <c r="AJ90" i="3" s="1"/>
  <c r="AK11" i="2"/>
  <c r="AK76" i="3" s="1"/>
  <c r="AK196" i="2"/>
  <c r="AK14" i="4" s="1"/>
  <c r="AK41" i="2"/>
  <c r="AK147" i="2"/>
  <c r="AK142" i="2" s="1"/>
  <c r="AK83" i="3" s="1"/>
  <c r="AK18" i="2"/>
  <c r="AK134" i="2"/>
  <c r="AK129" i="2" s="1"/>
  <c r="AK99" i="2"/>
  <c r="AK100" i="2" s="1"/>
  <c r="AJ127" i="2"/>
  <c r="AJ128" i="2" s="1"/>
  <c r="AT90" i="2"/>
  <c r="AX136" i="2"/>
  <c r="AV130" i="2"/>
  <c r="AJ118" i="3"/>
  <c r="AN38" i="2"/>
  <c r="AM17" i="2"/>
  <c r="AM93" i="2"/>
  <c r="AM84" i="2" s="1"/>
  <c r="AM78" i="2"/>
  <c r="AN143" i="2"/>
  <c r="AO149" i="2"/>
  <c r="AP39" i="2"/>
  <c r="AP38" i="2" s="1"/>
  <c r="AV97" i="2"/>
  <c r="AS90" i="2"/>
  <c r="AU105" i="2"/>
  <c r="AV105" i="2" s="1"/>
  <c r="AL17" i="2"/>
  <c r="AL9" i="3" s="1"/>
  <c r="AL93" i="2"/>
  <c r="AL84" i="2" s="1"/>
  <c r="AL78" i="2"/>
  <c r="AI136" i="3"/>
  <c r="AI11" i="4"/>
  <c r="AI81" i="3"/>
  <c r="AI82" i="3" s="1"/>
  <c r="AV140" i="2"/>
  <c r="AU132" i="2"/>
  <c r="AU131" i="2" s="1"/>
  <c r="AV132" i="2"/>
  <c r="AV131" i="2" s="1"/>
  <c r="AX133" i="2"/>
  <c r="AX94" i="2"/>
  <c r="AW79" i="2"/>
  <c r="BA153" i="2"/>
  <c r="AJ29" i="4" l="1"/>
  <c r="AJ15" i="4"/>
  <c r="AG162" i="3"/>
  <c r="AT89" i="2"/>
  <c r="AT88" i="2" s="1"/>
  <c r="AS86" i="2"/>
  <c r="AS87" i="2" s="1"/>
  <c r="AR86" i="2"/>
  <c r="AR87" i="2" s="1"/>
  <c r="AU89" i="2"/>
  <c r="AA10" i="4"/>
  <c r="AA12" i="4" s="1"/>
  <c r="AA16" i="4" s="1"/>
  <c r="AA18" i="4" s="1"/>
  <c r="AA69" i="2"/>
  <c r="AA150" i="3"/>
  <c r="AC171" i="2"/>
  <c r="AF20" i="3"/>
  <c r="AG114" i="3"/>
  <c r="AG13" i="4"/>
  <c r="AC174" i="2"/>
  <c r="AC172" i="2"/>
  <c r="AG27" i="4"/>
  <c r="AG22" i="3"/>
  <c r="AH69" i="3" s="1"/>
  <c r="AH27" i="4" s="1"/>
  <c r="AA161" i="2"/>
  <c r="AA166" i="2" s="1"/>
  <c r="AA72" i="2"/>
  <c r="AA142" i="3"/>
  <c r="AA151" i="3"/>
  <c r="AJ163" i="3"/>
  <c r="AA76" i="2"/>
  <c r="AC173" i="2"/>
  <c r="Y183" i="2"/>
  <c r="Y188" i="2" s="1"/>
  <c r="AA117" i="2"/>
  <c r="AA160" i="2" s="1"/>
  <c r="AA183" i="2" s="1"/>
  <c r="AA188" i="2" s="1"/>
  <c r="AA156" i="2"/>
  <c r="AK177" i="3"/>
  <c r="AK119" i="3"/>
  <c r="AK118" i="3" s="1"/>
  <c r="AL168" i="3"/>
  <c r="AL28" i="3"/>
  <c r="AL121" i="3" s="1"/>
  <c r="AL10" i="3"/>
  <c r="AL120" i="3" s="1"/>
  <c r="AA143" i="3"/>
  <c r="AB79" i="3"/>
  <c r="Z143" i="3"/>
  <c r="AK28" i="4"/>
  <c r="AK123" i="3"/>
  <c r="AB68" i="2"/>
  <c r="AB70" i="2" s="1"/>
  <c r="AB112" i="2"/>
  <c r="AB141" i="3" s="1"/>
  <c r="AB74" i="2"/>
  <c r="AB118" i="2"/>
  <c r="AB158" i="2"/>
  <c r="AB122" i="2"/>
  <c r="AB106" i="2"/>
  <c r="AB75" i="2"/>
  <c r="AV91" i="2"/>
  <c r="AW91" i="2" s="1"/>
  <c r="X182" i="2"/>
  <c r="X187" i="2" s="1"/>
  <c r="X164" i="2"/>
  <c r="AD170" i="2"/>
  <c r="AD102" i="2"/>
  <c r="Z193" i="2"/>
  <c r="Z144" i="3" s="1"/>
  <c r="Z98" i="3"/>
  <c r="Z178" i="2"/>
  <c r="AC109" i="2"/>
  <c r="AC73" i="2" s="1"/>
  <c r="AC104" i="2"/>
  <c r="AC81" i="2" s="1"/>
  <c r="AC115" i="2" s="1"/>
  <c r="AC67" i="2"/>
  <c r="AC79" i="3" s="1"/>
  <c r="AC107" i="2"/>
  <c r="AR146" i="2"/>
  <c r="AQ146" i="2"/>
  <c r="Z164" i="2"/>
  <c r="Z182" i="2"/>
  <c r="Z187" i="2" s="1"/>
  <c r="Y182" i="2"/>
  <c r="Y187" i="2" s="1"/>
  <c r="Y164" i="2"/>
  <c r="AA159" i="2"/>
  <c r="AA123" i="2"/>
  <c r="AA98" i="3"/>
  <c r="AA178" i="2"/>
  <c r="AA193" i="2"/>
  <c r="AS151" i="2"/>
  <c r="AT151" i="2" s="1"/>
  <c r="AU151" i="2" s="1"/>
  <c r="AU145" i="2" s="1"/>
  <c r="AR145" i="2"/>
  <c r="AQ145" i="2"/>
  <c r="AJ136" i="3"/>
  <c r="AJ81" i="3"/>
  <c r="AJ82" i="3" s="1"/>
  <c r="AJ11" i="4"/>
  <c r="AK14" i="2"/>
  <c r="AK77" i="3" s="1"/>
  <c r="AK78" i="3" s="1"/>
  <c r="AK90" i="3" s="1"/>
  <c r="AK12" i="2"/>
  <c r="AV96" i="2"/>
  <c r="AW97" i="2"/>
  <c r="AW96" i="2" s="1"/>
  <c r="AP17" i="2"/>
  <c r="AP93" i="2"/>
  <c r="AP84" i="2" s="1"/>
  <c r="AP78" i="2"/>
  <c r="AY136" i="2"/>
  <c r="AZ136" i="2" s="1"/>
  <c r="BA136" i="2" s="1"/>
  <c r="AX130" i="2"/>
  <c r="AL41" i="2"/>
  <c r="AL196" i="2"/>
  <c r="AL123" i="3" s="1"/>
  <c r="AL11" i="2"/>
  <c r="AL76" i="3" s="1"/>
  <c r="AM168" i="3"/>
  <c r="AL147" i="2"/>
  <c r="AL142" i="2" s="1"/>
  <c r="AL83" i="3" s="1"/>
  <c r="AM9" i="3"/>
  <c r="AM119" i="3" s="1"/>
  <c r="AM28" i="3"/>
  <c r="AL18" i="2"/>
  <c r="AM10" i="3"/>
  <c r="AL134" i="2"/>
  <c r="AL129" i="2" s="1"/>
  <c r="AL99" i="2"/>
  <c r="AL100" i="2" s="1"/>
  <c r="AL119" i="3"/>
  <c r="AO17" i="2"/>
  <c r="AO93" i="2"/>
  <c r="AO84" i="2" s="1"/>
  <c r="AO78" i="2"/>
  <c r="AW105" i="2"/>
  <c r="AX105" i="2" s="1"/>
  <c r="AY105" i="2" s="1"/>
  <c r="AZ105" i="2" s="1"/>
  <c r="AM11" i="2"/>
  <c r="AM41" i="2"/>
  <c r="AM147" i="2"/>
  <c r="AM142" i="2" s="1"/>
  <c r="AM83" i="3" s="1"/>
  <c r="AM18" i="2"/>
  <c r="AM196" i="2"/>
  <c r="AM134" i="2"/>
  <c r="AM129" i="2" s="1"/>
  <c r="AM99" i="2"/>
  <c r="AM100" i="2" s="1"/>
  <c r="AO143" i="2"/>
  <c r="AP149" i="2"/>
  <c r="AQ39" i="2"/>
  <c r="AN17" i="2"/>
  <c r="AN10" i="3" s="1"/>
  <c r="AN93" i="2"/>
  <c r="AN84" i="2" s="1"/>
  <c r="AN78" i="2"/>
  <c r="AK127" i="2"/>
  <c r="AK128" i="2" s="1"/>
  <c r="AZ133" i="2"/>
  <c r="BB153" i="2"/>
  <c r="AY133" i="2"/>
  <c r="AW140" i="2"/>
  <c r="AX140" i="2" s="1"/>
  <c r="AX79" i="2"/>
  <c r="AY79" i="2" s="1"/>
  <c r="AZ79" i="2" s="1"/>
  <c r="BB133" i="2"/>
  <c r="AW132" i="2"/>
  <c r="AW131" i="2" s="1"/>
  <c r="AY94" i="2"/>
  <c r="AU88" i="2" l="1"/>
  <c r="AU86" i="2" s="1"/>
  <c r="AU87" i="2" s="1"/>
  <c r="AQ144" i="2"/>
  <c r="AQ150" i="2" s="1"/>
  <c r="AR144" i="2"/>
  <c r="AR150" i="2" s="1"/>
  <c r="AK15" i="4"/>
  <c r="AT86" i="2"/>
  <c r="AT87" i="2" s="1"/>
  <c r="AV89" i="2"/>
  <c r="AV88" i="2" s="1"/>
  <c r="AA184" i="2"/>
  <c r="AA189" i="2" s="1"/>
  <c r="AA165" i="2"/>
  <c r="AH13" i="4"/>
  <c r="AH162" i="3"/>
  <c r="AH114" i="3"/>
  <c r="AH22" i="3"/>
  <c r="AI69" i="3" s="1"/>
  <c r="AE170" i="2" s="1"/>
  <c r="AE198" i="2" s="1"/>
  <c r="AG20" i="3"/>
  <c r="AA124" i="2"/>
  <c r="AK163" i="3"/>
  <c r="AK29" i="4"/>
  <c r="AL177" i="3"/>
  <c r="AM120" i="3"/>
  <c r="AL28" i="4"/>
  <c r="AL14" i="4"/>
  <c r="AC137" i="3"/>
  <c r="AC80" i="3"/>
  <c r="AC85" i="3" s="1"/>
  <c r="AC151" i="3" s="1"/>
  <c r="AN9" i="3"/>
  <c r="AN119" i="3" s="1"/>
  <c r="AN168" i="3"/>
  <c r="AN28" i="3"/>
  <c r="AN121" i="3" s="1"/>
  <c r="AB137" i="3"/>
  <c r="AB80" i="3"/>
  <c r="AB85" i="3" s="1"/>
  <c r="AB120" i="2"/>
  <c r="AA144" i="3"/>
  <c r="AB113" i="2"/>
  <c r="AB155" i="2"/>
  <c r="AB156" i="2" s="1"/>
  <c r="AV90" i="2"/>
  <c r="AD109" i="2"/>
  <c r="AD73" i="2" s="1"/>
  <c r="AD104" i="2"/>
  <c r="AD81" i="2" s="1"/>
  <c r="AD115" i="2" s="1"/>
  <c r="AD107" i="2"/>
  <c r="AD67" i="2"/>
  <c r="AD79" i="3" s="1"/>
  <c r="AD137" i="3" s="1"/>
  <c r="AC106" i="2"/>
  <c r="AC75" i="2"/>
  <c r="AD171" i="2"/>
  <c r="AD174" i="2"/>
  <c r="AD172" i="2"/>
  <c r="AD198" i="2"/>
  <c r="AD173" i="2"/>
  <c r="AC112" i="2"/>
  <c r="AC141" i="3" s="1"/>
  <c r="AC68" i="2"/>
  <c r="AC70" i="2" s="1"/>
  <c r="AE102" i="2"/>
  <c r="AB71" i="2"/>
  <c r="AB117" i="2"/>
  <c r="AB76" i="2"/>
  <c r="AC122" i="2"/>
  <c r="AC158" i="2"/>
  <c r="AC74" i="2"/>
  <c r="AC118" i="2"/>
  <c r="AB163" i="2"/>
  <c r="AB181" i="2"/>
  <c r="AB186" i="2" s="1"/>
  <c r="AB125" i="2"/>
  <c r="AB161" i="2"/>
  <c r="AS146" i="2"/>
  <c r="AA164" i="2"/>
  <c r="AA182" i="2"/>
  <c r="AA187" i="2" s="1"/>
  <c r="AT145" i="2"/>
  <c r="AS145" i="2"/>
  <c r="AV151" i="2"/>
  <c r="AW151" i="2" s="1"/>
  <c r="BA130" i="2"/>
  <c r="AK11" i="4"/>
  <c r="AK136" i="3"/>
  <c r="AK81" i="3"/>
  <c r="AK82" i="3" s="1"/>
  <c r="AQ149" i="2"/>
  <c r="AR149" i="2" s="1"/>
  <c r="AR143" i="2" s="1"/>
  <c r="AP143" i="2"/>
  <c r="AM127" i="2"/>
  <c r="AM128" i="2" s="1"/>
  <c r="AO41" i="2"/>
  <c r="AO147" i="2"/>
  <c r="AO142" i="2" s="1"/>
  <c r="AO83" i="3" s="1"/>
  <c r="AP168" i="3"/>
  <c r="AO11" i="2"/>
  <c r="AO18" i="2"/>
  <c r="AO196" i="2"/>
  <c r="AP28" i="3"/>
  <c r="AP10" i="3"/>
  <c r="AP9" i="3"/>
  <c r="AO134" i="2"/>
  <c r="AO129" i="2" s="1"/>
  <c r="AO99" i="2"/>
  <c r="AO100" i="2" s="1"/>
  <c r="AM177" i="3"/>
  <c r="AZ130" i="2"/>
  <c r="AM12" i="2"/>
  <c r="AM14" i="2"/>
  <c r="AM77" i="3" s="1"/>
  <c r="AL118" i="3"/>
  <c r="AN147" i="2"/>
  <c r="AN142" i="2" s="1"/>
  <c r="AN83" i="3" s="1"/>
  <c r="AN11" i="2"/>
  <c r="AN76" i="3" s="1"/>
  <c r="AN18" i="2"/>
  <c r="AN41" i="2"/>
  <c r="AN196" i="2"/>
  <c r="AN28" i="4" s="1"/>
  <c r="AO9" i="3"/>
  <c r="AO28" i="3"/>
  <c r="AO10" i="3"/>
  <c r="AO168" i="3"/>
  <c r="AN134" i="2"/>
  <c r="AN129" i="2" s="1"/>
  <c r="AN99" i="2"/>
  <c r="AN100" i="2" s="1"/>
  <c r="AX91" i="2"/>
  <c r="AW90" i="2"/>
  <c r="AY130" i="2"/>
  <c r="BB136" i="2"/>
  <c r="BB130" i="2" s="1"/>
  <c r="AX97" i="2"/>
  <c r="AM121" i="3"/>
  <c r="AQ38" i="2"/>
  <c r="AR39" i="2"/>
  <c r="AL12" i="2"/>
  <c r="AL14" i="2"/>
  <c r="AL77" i="3" s="1"/>
  <c r="AL78" i="3" s="1"/>
  <c r="AL90" i="3" s="1"/>
  <c r="AM76" i="3"/>
  <c r="AL127" i="2"/>
  <c r="AL128" i="2" s="1"/>
  <c r="AM123" i="3"/>
  <c r="AM14" i="4"/>
  <c r="AM28" i="4"/>
  <c r="AN120" i="3"/>
  <c r="AP196" i="2"/>
  <c r="AP147" i="2"/>
  <c r="AP18" i="2"/>
  <c r="AP41" i="2"/>
  <c r="AP11" i="2"/>
  <c r="AP134" i="2"/>
  <c r="AP129" i="2" s="1"/>
  <c r="AP99" i="2"/>
  <c r="AP100" i="2" s="1"/>
  <c r="AZ94" i="2"/>
  <c r="BA105" i="2"/>
  <c r="AY140" i="2"/>
  <c r="AZ140" i="2" s="1"/>
  <c r="AX132" i="2"/>
  <c r="AX131" i="2" s="1"/>
  <c r="BC153" i="2"/>
  <c r="BC133" i="2"/>
  <c r="BA133" i="2"/>
  <c r="BA79" i="2"/>
  <c r="AS144" i="2" l="1"/>
  <c r="AS150" i="2" s="1"/>
  <c r="AM15" i="4"/>
  <c r="AL15" i="4"/>
  <c r="AM118" i="3"/>
  <c r="AV86" i="2"/>
  <c r="AV87" i="2" s="1"/>
  <c r="AW89" i="2"/>
  <c r="AW88" i="2" s="1"/>
  <c r="AI22" i="3"/>
  <c r="AI20" i="3" s="1"/>
  <c r="AI27" i="4"/>
  <c r="AI28" i="4" s="1"/>
  <c r="AI162" i="3"/>
  <c r="AI13" i="4"/>
  <c r="AI14" i="4" s="1"/>
  <c r="AI114" i="3"/>
  <c r="AE171" i="2"/>
  <c r="AE172" i="2"/>
  <c r="AE174" i="2"/>
  <c r="AH20" i="3"/>
  <c r="AE173" i="2"/>
  <c r="AL163" i="3"/>
  <c r="AM29" i="4"/>
  <c r="AL29" i="4"/>
  <c r="AC150" i="3"/>
  <c r="AC142" i="3"/>
  <c r="AN14" i="4"/>
  <c r="AC10" i="4"/>
  <c r="AC12" i="4" s="1"/>
  <c r="AC16" i="4" s="1"/>
  <c r="AC18" i="4" s="1"/>
  <c r="AC113" i="3"/>
  <c r="AC116" i="3" s="1"/>
  <c r="AO121" i="3"/>
  <c r="AN177" i="3"/>
  <c r="AB113" i="3"/>
  <c r="AB116" i="3" s="1"/>
  <c r="AB150" i="3"/>
  <c r="AB142" i="3"/>
  <c r="AB151" i="3"/>
  <c r="AB10" i="4"/>
  <c r="AB12" i="4" s="1"/>
  <c r="AB16" i="4" s="1"/>
  <c r="AB18" i="4" s="1"/>
  <c r="AD80" i="3"/>
  <c r="AD85" i="3" s="1"/>
  <c r="AD150" i="3" s="1"/>
  <c r="AN123" i="3"/>
  <c r="AD112" i="2"/>
  <c r="AD155" i="2" s="1"/>
  <c r="AB176" i="2"/>
  <c r="AB72" i="2"/>
  <c r="AB116" i="2"/>
  <c r="AB69" i="2"/>
  <c r="AE67" i="2"/>
  <c r="AE79" i="3" s="1"/>
  <c r="AE109" i="2"/>
  <c r="AE73" i="2" s="1"/>
  <c r="AE107" i="2"/>
  <c r="AE104" i="2"/>
  <c r="AE81" i="2" s="1"/>
  <c r="AE115" i="2" s="1"/>
  <c r="AC71" i="2"/>
  <c r="AC76" i="2"/>
  <c r="AC117" i="2"/>
  <c r="AF170" i="2"/>
  <c r="AF198" i="2" s="1"/>
  <c r="AC125" i="2"/>
  <c r="AC161" i="2"/>
  <c r="AF102" i="2"/>
  <c r="AC113" i="2"/>
  <c r="AC120" i="2"/>
  <c r="AC155" i="2"/>
  <c r="AB166" i="2"/>
  <c r="AB184" i="2"/>
  <c r="AB189" i="2" s="1"/>
  <c r="AC163" i="2"/>
  <c r="AC181" i="2"/>
  <c r="AC186" i="2" s="1"/>
  <c r="AD75" i="2"/>
  <c r="AD106" i="2"/>
  <c r="AD158" i="2"/>
  <c r="AD122" i="2"/>
  <c r="AD74" i="2"/>
  <c r="AD118" i="2"/>
  <c r="BC136" i="2"/>
  <c r="BC130" i="2" s="1"/>
  <c r="AB160" i="2"/>
  <c r="AB124" i="2"/>
  <c r="AD68" i="2"/>
  <c r="AD70" i="2" s="1"/>
  <c r="AT146" i="2"/>
  <c r="AT144" i="2" s="1"/>
  <c r="AT150" i="2" s="1"/>
  <c r="AM78" i="3"/>
  <c r="AM90" i="3" s="1"/>
  <c r="AX151" i="2"/>
  <c r="AY151" i="2" s="1"/>
  <c r="AW145" i="2"/>
  <c r="AV145" i="2"/>
  <c r="AP12" i="2"/>
  <c r="AP14" i="2"/>
  <c r="AP177" i="3"/>
  <c r="AS39" i="2"/>
  <c r="AT39" i="2" s="1"/>
  <c r="AU39" i="2" s="1"/>
  <c r="AR38" i="2"/>
  <c r="AQ17" i="2"/>
  <c r="AQ78" i="2"/>
  <c r="AQ93" i="2"/>
  <c r="AQ84" i="2" s="1"/>
  <c r="AP120" i="3"/>
  <c r="AP123" i="3"/>
  <c r="AP14" i="4"/>
  <c r="AP28" i="4"/>
  <c r="AN127" i="2"/>
  <c r="AN128" i="2" s="1"/>
  <c r="AN12" i="2"/>
  <c r="AN14" i="2"/>
  <c r="AN77" i="3" s="1"/>
  <c r="AN78" i="3" s="1"/>
  <c r="AN90" i="3" s="1"/>
  <c r="AO76" i="3"/>
  <c r="AO120" i="3"/>
  <c r="AP121" i="3"/>
  <c r="AM163" i="3"/>
  <c r="AS149" i="2"/>
  <c r="AX96" i="2"/>
  <c r="AY97" i="2"/>
  <c r="AZ97" i="2" s="1"/>
  <c r="AZ96" i="2" s="1"/>
  <c r="AO177" i="3"/>
  <c r="AP15" i="4" s="1"/>
  <c r="AP119" i="3"/>
  <c r="AN118" i="3"/>
  <c r="AP76" i="3"/>
  <c r="AO12" i="2"/>
  <c r="AO14" i="2"/>
  <c r="AP142" i="2"/>
  <c r="AO123" i="3"/>
  <c r="AO14" i="4"/>
  <c r="AO28" i="4"/>
  <c r="AQ143" i="2"/>
  <c r="BD133" i="2"/>
  <c r="AL136" i="3"/>
  <c r="AL81" i="3"/>
  <c r="AL82" i="3" s="1"/>
  <c r="AL11" i="4"/>
  <c r="AX90" i="2"/>
  <c r="AY91" i="2"/>
  <c r="AO119" i="3"/>
  <c r="AO127" i="2"/>
  <c r="AO128" i="2" s="1"/>
  <c r="BA140" i="2"/>
  <c r="BB140" i="2" s="1"/>
  <c r="AY132" i="2"/>
  <c r="AY131" i="2" s="1"/>
  <c r="BD153" i="2"/>
  <c r="BB105" i="2"/>
  <c r="BC105" i="2" s="1"/>
  <c r="BA94" i="2"/>
  <c r="BB79" i="2"/>
  <c r="AN29" i="4" l="1"/>
  <c r="AO15" i="4"/>
  <c r="AN15" i="4"/>
  <c r="AP127" i="2"/>
  <c r="AP128" i="2" s="1"/>
  <c r="AP83" i="3"/>
  <c r="AW86" i="2"/>
  <c r="AW87" i="2" s="1"/>
  <c r="AX89" i="2"/>
  <c r="AX88" i="2" s="1"/>
  <c r="AJ69" i="3"/>
  <c r="AJ22" i="3" s="1"/>
  <c r="AJ20" i="3" s="1"/>
  <c r="AM81" i="3"/>
  <c r="AM82" i="3" s="1"/>
  <c r="AM11" i="4"/>
  <c r="AD113" i="2"/>
  <c r="AN163" i="3"/>
  <c r="AO29" i="4"/>
  <c r="AM136" i="3"/>
  <c r="AE80" i="3"/>
  <c r="AE85" i="3" s="1"/>
  <c r="AE10" i="4" s="1"/>
  <c r="AE12" i="4" s="1"/>
  <c r="AE16" i="4" s="1"/>
  <c r="AE18" i="4" s="1"/>
  <c r="AE137" i="3"/>
  <c r="AD142" i="3"/>
  <c r="AD141" i="3"/>
  <c r="AD151" i="3"/>
  <c r="AB193" i="2"/>
  <c r="AB144" i="3" s="1"/>
  <c r="AB143" i="3"/>
  <c r="AQ9" i="3"/>
  <c r="AQ10" i="3"/>
  <c r="AQ120" i="3" s="1"/>
  <c r="AQ168" i="3"/>
  <c r="AQ28" i="3"/>
  <c r="AQ121" i="3" s="1"/>
  <c r="AD10" i="4"/>
  <c r="AD12" i="4" s="1"/>
  <c r="AD16" i="4" s="1"/>
  <c r="AD18" i="4" s="1"/>
  <c r="AD113" i="3"/>
  <c r="AD116" i="3" s="1"/>
  <c r="AD120" i="2"/>
  <c r="AB178" i="2"/>
  <c r="AB98" i="3"/>
  <c r="AF174" i="2"/>
  <c r="BD136" i="2"/>
  <c r="BD130" i="2" s="1"/>
  <c r="AF172" i="2"/>
  <c r="AE74" i="2"/>
  <c r="AE118" i="2"/>
  <c r="AF173" i="2"/>
  <c r="AG102" i="2"/>
  <c r="AF171" i="2"/>
  <c r="AB165" i="2"/>
  <c r="AB183" i="2"/>
  <c r="AB188" i="2" s="1"/>
  <c r="AD76" i="2"/>
  <c r="AD117" i="2"/>
  <c r="AC156" i="2"/>
  <c r="AC176" i="2"/>
  <c r="AC143" i="3" s="1"/>
  <c r="AC160" i="2"/>
  <c r="AC124" i="2"/>
  <c r="AB123" i="2"/>
  <c r="AB159" i="2"/>
  <c r="AD181" i="2"/>
  <c r="AD186" i="2" s="1"/>
  <c r="AD163" i="2"/>
  <c r="AD71" i="2"/>
  <c r="AC72" i="2"/>
  <c r="AC69" i="2"/>
  <c r="AC116" i="2"/>
  <c r="AD156" i="2"/>
  <c r="AD176" i="2"/>
  <c r="AD125" i="2"/>
  <c r="AD161" i="2"/>
  <c r="AF109" i="2"/>
  <c r="AF73" i="2" s="1"/>
  <c r="AF67" i="2"/>
  <c r="AF107" i="2"/>
  <c r="AF104" i="2"/>
  <c r="AF81" i="2" s="1"/>
  <c r="AF115" i="2" s="1"/>
  <c r="AE158" i="2"/>
  <c r="AE122" i="2"/>
  <c r="AE112" i="2"/>
  <c r="AE68" i="2"/>
  <c r="AE70" i="2" s="1"/>
  <c r="AU146" i="2"/>
  <c r="AU144" i="2" s="1"/>
  <c r="AU150" i="2" s="1"/>
  <c r="AC184" i="2"/>
  <c r="AC189" i="2" s="1"/>
  <c r="AC166" i="2"/>
  <c r="AE106" i="2"/>
  <c r="AE75" i="2"/>
  <c r="AY145" i="2"/>
  <c r="AZ151" i="2"/>
  <c r="AO118" i="3"/>
  <c r="AX145" i="2"/>
  <c r="AU38" i="2"/>
  <c r="AN136" i="3"/>
  <c r="AN81" i="3"/>
  <c r="AN82" i="3" s="1"/>
  <c r="AN11" i="4"/>
  <c r="AS143" i="2"/>
  <c r="AY90" i="2"/>
  <c r="AZ91" i="2"/>
  <c r="AP118" i="3"/>
  <c r="AQ196" i="2"/>
  <c r="AQ11" i="2"/>
  <c r="AQ76" i="3" s="1"/>
  <c r="AQ18" i="2"/>
  <c r="AQ41" i="2"/>
  <c r="AQ147" i="2"/>
  <c r="AQ142" i="2" s="1"/>
  <c r="AQ83" i="3" s="1"/>
  <c r="AQ134" i="2"/>
  <c r="AQ129" i="2" s="1"/>
  <c r="AQ99" i="2"/>
  <c r="AQ100" i="2" s="1"/>
  <c r="AR17" i="2"/>
  <c r="AR10" i="3" s="1"/>
  <c r="AR93" i="2"/>
  <c r="AR84" i="2" s="1"/>
  <c r="AR78" i="2"/>
  <c r="AT149" i="2"/>
  <c r="AP29" i="4"/>
  <c r="AO163" i="3"/>
  <c r="AS38" i="2"/>
  <c r="AV39" i="2"/>
  <c r="AV38" i="2" s="1"/>
  <c r="AT38" i="2"/>
  <c r="AP77" i="3"/>
  <c r="AP78" i="3" s="1"/>
  <c r="AP90" i="3" s="1"/>
  <c r="AY96" i="2"/>
  <c r="BA97" i="2"/>
  <c r="AP163" i="3"/>
  <c r="AO77" i="3"/>
  <c r="AO78" i="3" s="1"/>
  <c r="AO90" i="3" s="1"/>
  <c r="BD105" i="2"/>
  <c r="BC140" i="2"/>
  <c r="AZ132" i="2"/>
  <c r="AZ131" i="2" s="1"/>
  <c r="BB94" i="2"/>
  <c r="BC79" i="2"/>
  <c r="BD79" i="2" s="1"/>
  <c r="AK69" i="3" l="1"/>
  <c r="AK162" i="3" s="1"/>
  <c r="AJ114" i="3"/>
  <c r="AJ13" i="4"/>
  <c r="AX86" i="2"/>
  <c r="AX87" i="2" s="1"/>
  <c r="AY89" i="2"/>
  <c r="AY88" i="2" s="1"/>
  <c r="AJ27" i="4"/>
  <c r="AJ162" i="3"/>
  <c r="AK27" i="4"/>
  <c r="AK114" i="3"/>
  <c r="AE151" i="3"/>
  <c r="AE113" i="3"/>
  <c r="AE116" i="3" s="1"/>
  <c r="AE150" i="3"/>
  <c r="AE142" i="3"/>
  <c r="AR168" i="3"/>
  <c r="AK13" i="4"/>
  <c r="AE141" i="3"/>
  <c r="AR9" i="3"/>
  <c r="AR119" i="3" s="1"/>
  <c r="AQ14" i="4"/>
  <c r="AQ28" i="4"/>
  <c r="AQ123" i="3"/>
  <c r="AQ177" i="3"/>
  <c r="AQ119" i="3"/>
  <c r="AQ118" i="3" s="1"/>
  <c r="AF79" i="3"/>
  <c r="AR28" i="3"/>
  <c r="AR121" i="3" s="1"/>
  <c r="AD143" i="3"/>
  <c r="AF68" i="2"/>
  <c r="AF70" i="2" s="1"/>
  <c r="AF112" i="2"/>
  <c r="AF141" i="3" s="1"/>
  <c r="AC165" i="2"/>
  <c r="AC183" i="2"/>
  <c r="AC188" i="2" s="1"/>
  <c r="AG109" i="2"/>
  <c r="AG73" i="2" s="1"/>
  <c r="AG104" i="2"/>
  <c r="AG81" i="2" s="1"/>
  <c r="AG115" i="2" s="1"/>
  <c r="AG107" i="2"/>
  <c r="AG67" i="2"/>
  <c r="AG79" i="3" s="1"/>
  <c r="AF74" i="2"/>
  <c r="AF118" i="2"/>
  <c r="AC178" i="2"/>
  <c r="AC98" i="3"/>
  <c r="AC193" i="2"/>
  <c r="AC144" i="3" s="1"/>
  <c r="AD166" i="2"/>
  <c r="AD184" i="2"/>
  <c r="AD189" i="2" s="1"/>
  <c r="AV146" i="2"/>
  <c r="AV144" i="2" s="1"/>
  <c r="AV150" i="2" s="1"/>
  <c r="AE125" i="2"/>
  <c r="AE161" i="2"/>
  <c r="AE120" i="2"/>
  <c r="AE155" i="2"/>
  <c r="AE113" i="2"/>
  <c r="AD124" i="2"/>
  <c r="AD160" i="2"/>
  <c r="AD72" i="2"/>
  <c r="AD69" i="2"/>
  <c r="AD116" i="2"/>
  <c r="AD193" i="2"/>
  <c r="AD98" i="3"/>
  <c r="AD178" i="2"/>
  <c r="AE71" i="2"/>
  <c r="AE76" i="2"/>
  <c r="AE117" i="2"/>
  <c r="AE163" i="2"/>
  <c r="AE181" i="2"/>
  <c r="AE186" i="2" s="1"/>
  <c r="AB164" i="2"/>
  <c r="AB182" i="2"/>
  <c r="AB187" i="2" s="1"/>
  <c r="AF158" i="2"/>
  <c r="AF122" i="2"/>
  <c r="AC159" i="2"/>
  <c r="AC123" i="2"/>
  <c r="AF106" i="2"/>
  <c r="AF75" i="2"/>
  <c r="AZ145" i="2"/>
  <c r="BA151" i="2"/>
  <c r="AP136" i="3"/>
  <c r="AP11" i="4"/>
  <c r="AP81" i="3"/>
  <c r="AP82" i="3" s="1"/>
  <c r="AW39" i="2"/>
  <c r="AX39" i="2" s="1"/>
  <c r="AU149" i="2"/>
  <c r="AU143" i="2" s="1"/>
  <c r="AT143" i="2"/>
  <c r="BB97" i="2"/>
  <c r="BB96" i="2" s="1"/>
  <c r="BA96" i="2"/>
  <c r="AV17" i="2"/>
  <c r="AV93" i="2"/>
  <c r="AV84" i="2" s="1"/>
  <c r="AV78" i="2"/>
  <c r="AO136" i="3"/>
  <c r="AO81" i="3"/>
  <c r="AO82" i="3" s="1"/>
  <c r="AO11" i="4"/>
  <c r="AS17" i="2"/>
  <c r="AS9" i="3" s="1"/>
  <c r="AS78" i="2"/>
  <c r="AS93" i="2"/>
  <c r="AS84" i="2" s="1"/>
  <c r="BA91" i="2"/>
  <c r="AZ90" i="2"/>
  <c r="AR11" i="2"/>
  <c r="AR76" i="3" s="1"/>
  <c r="AR41" i="2"/>
  <c r="AR18" i="2"/>
  <c r="AR196" i="2"/>
  <c r="AR123" i="3" s="1"/>
  <c r="AR147" i="2"/>
  <c r="AR142" i="2" s="1"/>
  <c r="AR83" i="3" s="1"/>
  <c r="AR134" i="2"/>
  <c r="AR129" i="2" s="1"/>
  <c r="AR99" i="2"/>
  <c r="AR100" i="2" s="1"/>
  <c r="AR120" i="3"/>
  <c r="AQ127" i="2"/>
  <c r="AQ128" i="2" s="1"/>
  <c r="AQ12" i="2"/>
  <c r="AQ14" i="2"/>
  <c r="AQ77" i="3" s="1"/>
  <c r="AQ78" i="3" s="1"/>
  <c r="AQ90" i="3" s="1"/>
  <c r="AT17" i="2"/>
  <c r="AT78" i="2"/>
  <c r="AT93" i="2"/>
  <c r="AT84" i="2" s="1"/>
  <c r="AU17" i="2"/>
  <c r="AU78" i="2"/>
  <c r="AU93" i="2"/>
  <c r="AU84" i="2" s="1"/>
  <c r="BD140" i="2"/>
  <c r="BC94" i="2"/>
  <c r="BD94" i="2" s="1"/>
  <c r="BA132" i="2"/>
  <c r="BA131" i="2" s="1"/>
  <c r="BB132" i="2"/>
  <c r="BB131" i="2" s="1"/>
  <c r="AQ15" i="4" l="1"/>
  <c r="AG170" i="2"/>
  <c r="AK22" i="3"/>
  <c r="AZ89" i="2"/>
  <c r="AZ88" i="2" s="1"/>
  <c r="AY86" i="2"/>
  <c r="AY87" i="2" s="1"/>
  <c r="BA89" i="2"/>
  <c r="BA88" i="2" s="1"/>
  <c r="AS28" i="3"/>
  <c r="AS121" i="3" s="1"/>
  <c r="AR177" i="3"/>
  <c r="AS168" i="3"/>
  <c r="AR14" i="4"/>
  <c r="AS10" i="3"/>
  <c r="AS120" i="3" s="1"/>
  <c r="AR28" i="4"/>
  <c r="AG137" i="3"/>
  <c r="AG80" i="3"/>
  <c r="AG85" i="3" s="1"/>
  <c r="AG151" i="3" s="1"/>
  <c r="AQ163" i="3"/>
  <c r="AQ29" i="4"/>
  <c r="AF80" i="3"/>
  <c r="AF85" i="3" s="1"/>
  <c r="AF137" i="3"/>
  <c r="AD144" i="3"/>
  <c r="AV149" i="2"/>
  <c r="AW149" i="2" s="1"/>
  <c r="AW143" i="2" s="1"/>
  <c r="AF181" i="2"/>
  <c r="AF186" i="2" s="1"/>
  <c r="AF163" i="2"/>
  <c r="AG158" i="2"/>
  <c r="AG122" i="2"/>
  <c r="AG74" i="2"/>
  <c r="AG118" i="2"/>
  <c r="AH102" i="2"/>
  <c r="AH170" i="2"/>
  <c r="AE176" i="2"/>
  <c r="AE143" i="3" s="1"/>
  <c r="AE156" i="2"/>
  <c r="AF76" i="2"/>
  <c r="AF117" i="2"/>
  <c r="AD123" i="2"/>
  <c r="AD159" i="2"/>
  <c r="AE184" i="2"/>
  <c r="AE189" i="2" s="1"/>
  <c r="AE166" i="2"/>
  <c r="AF161" i="2"/>
  <c r="AF125" i="2"/>
  <c r="AF120" i="2"/>
  <c r="AF155" i="2"/>
  <c r="AF113" i="2"/>
  <c r="BC97" i="2"/>
  <c r="AE160" i="2"/>
  <c r="AE124" i="2"/>
  <c r="AC182" i="2"/>
  <c r="AC187" i="2" s="1"/>
  <c r="AC164" i="2"/>
  <c r="AG112" i="2"/>
  <c r="AG141" i="3" s="1"/>
  <c r="AG68" i="2"/>
  <c r="AG70" i="2" s="1"/>
  <c r="AF71" i="2"/>
  <c r="AE116" i="2"/>
  <c r="AE72" i="2"/>
  <c r="AE69" i="2"/>
  <c r="AD183" i="2"/>
  <c r="AD188" i="2" s="1"/>
  <c r="AD165" i="2"/>
  <c r="AG75" i="2"/>
  <c r="AG71" i="2" s="1"/>
  <c r="AG106" i="2"/>
  <c r="BB91" i="2"/>
  <c r="BB90" i="2" s="1"/>
  <c r="AR118" i="3"/>
  <c r="BA145" i="2"/>
  <c r="BB151" i="2"/>
  <c r="BB145" i="2" s="1"/>
  <c r="AU9" i="3"/>
  <c r="AU10" i="3"/>
  <c r="AT11" i="2"/>
  <c r="AT41" i="2"/>
  <c r="AT196" i="2"/>
  <c r="AU168" i="3"/>
  <c r="AU28" i="3"/>
  <c r="AT18" i="2"/>
  <c r="AT147" i="2"/>
  <c r="AT142" i="2" s="1"/>
  <c r="AT83" i="3" s="1"/>
  <c r="AT134" i="2"/>
  <c r="AT129" i="2" s="1"/>
  <c r="AT99" i="2"/>
  <c r="AT100" i="2" s="1"/>
  <c r="AR127" i="2"/>
  <c r="AR128" i="2" s="1"/>
  <c r="AY39" i="2"/>
  <c r="AW38" i="2"/>
  <c r="AR14" i="2"/>
  <c r="AR77" i="3" s="1"/>
  <c r="AR78" i="3" s="1"/>
  <c r="AR90" i="3" s="1"/>
  <c r="AR12" i="2"/>
  <c r="AS119" i="3"/>
  <c r="AQ136" i="3"/>
  <c r="AQ11" i="4"/>
  <c r="AQ81" i="3"/>
  <c r="AQ82" i="3" s="1"/>
  <c r="AX38" i="2"/>
  <c r="AV18" i="2"/>
  <c r="AV41" i="2"/>
  <c r="AV11" i="2"/>
  <c r="AV196" i="2"/>
  <c r="AV147" i="2"/>
  <c r="AV134" i="2"/>
  <c r="AV129" i="2" s="1"/>
  <c r="AV99" i="2"/>
  <c r="AV100" i="2" s="1"/>
  <c r="AV28" i="3"/>
  <c r="AV10" i="3"/>
  <c r="AU196" i="2"/>
  <c r="AV168" i="3"/>
  <c r="AU11" i="2"/>
  <c r="AU41" i="2"/>
  <c r="AV9" i="3"/>
  <c r="AU18" i="2"/>
  <c r="AU147" i="2"/>
  <c r="AU134" i="2"/>
  <c r="AU129" i="2" s="1"/>
  <c r="AU99" i="2"/>
  <c r="AU100" i="2" s="1"/>
  <c r="BA90" i="2"/>
  <c r="AS18" i="2"/>
  <c r="AS41" i="2"/>
  <c r="AS11" i="2"/>
  <c r="AS76" i="3" s="1"/>
  <c r="AS196" i="2"/>
  <c r="AS14" i="4" s="1"/>
  <c r="AT28" i="3"/>
  <c r="AT168" i="3"/>
  <c r="AT10" i="3"/>
  <c r="AT9" i="3"/>
  <c r="AS147" i="2"/>
  <c r="AS142" i="2" s="1"/>
  <c r="AS83" i="3" s="1"/>
  <c r="AS134" i="2"/>
  <c r="AS129" i="2" s="1"/>
  <c r="AS99" i="2"/>
  <c r="AS100" i="2" s="1"/>
  <c r="BC132" i="2"/>
  <c r="BC131" i="2" s="1"/>
  <c r="AV143" i="2" l="1"/>
  <c r="AR29" i="4"/>
  <c r="AR15" i="4"/>
  <c r="AK20" i="3"/>
  <c r="AL69" i="3"/>
  <c r="AG198" i="2"/>
  <c r="AG174" i="2"/>
  <c r="AH174" i="2" s="1"/>
  <c r="AG173" i="2"/>
  <c r="AH173" i="2" s="1"/>
  <c r="AG172" i="2"/>
  <c r="AH172" i="2" s="1"/>
  <c r="AG171" i="2"/>
  <c r="AH171" i="2" s="1"/>
  <c r="BB89" i="2"/>
  <c r="BB88" i="2" s="1"/>
  <c r="BA86" i="2"/>
  <c r="BA87" i="2" s="1"/>
  <c r="AZ86" i="2"/>
  <c r="AZ87" i="2" s="1"/>
  <c r="BC89" i="2"/>
  <c r="BC88" i="2" s="1"/>
  <c r="AR163" i="3"/>
  <c r="AS177" i="3"/>
  <c r="AG10" i="4"/>
  <c r="AG12" i="4" s="1"/>
  <c r="AG16" i="4" s="1"/>
  <c r="AG18" i="4" s="1"/>
  <c r="AG142" i="3"/>
  <c r="AG150" i="3"/>
  <c r="AG113" i="3"/>
  <c r="AG116" i="3" s="1"/>
  <c r="AF10" i="4"/>
  <c r="AF12" i="4" s="1"/>
  <c r="AF16" i="4" s="1"/>
  <c r="AF18" i="4" s="1"/>
  <c r="AF142" i="3"/>
  <c r="AF151" i="3"/>
  <c r="AF150" i="3"/>
  <c r="AF113" i="3"/>
  <c r="AF116" i="3" s="1"/>
  <c r="AS28" i="4"/>
  <c r="AS123" i="3"/>
  <c r="AW146" i="2"/>
  <c r="AW144" i="2" s="1"/>
  <c r="AW150" i="2" s="1"/>
  <c r="AG72" i="2"/>
  <c r="AG116" i="2"/>
  <c r="AG159" i="2" s="1"/>
  <c r="AG69" i="2"/>
  <c r="BC96" i="2"/>
  <c r="BD97" i="2"/>
  <c r="BD96" i="2" s="1"/>
  <c r="AE183" i="2"/>
  <c r="AE188" i="2" s="1"/>
  <c r="AE165" i="2"/>
  <c r="AH198" i="2"/>
  <c r="AE159" i="2"/>
  <c r="AE123" i="2"/>
  <c r="AH67" i="2"/>
  <c r="AH79" i="3" s="1"/>
  <c r="AH137" i="3" s="1"/>
  <c r="AH107" i="2"/>
  <c r="AH109" i="2"/>
  <c r="AH73" i="2" s="1"/>
  <c r="AH104" i="2"/>
  <c r="AH81" i="2" s="1"/>
  <c r="AH115" i="2" s="1"/>
  <c r="AF69" i="2"/>
  <c r="AF116" i="2"/>
  <c r="AF72" i="2"/>
  <c r="AG161" i="2"/>
  <c r="AG125" i="2"/>
  <c r="AF176" i="2"/>
  <c r="AF143" i="3" s="1"/>
  <c r="AF156" i="2"/>
  <c r="AG76" i="2"/>
  <c r="AG117" i="2"/>
  <c r="AG155" i="2"/>
  <c r="AG113" i="2"/>
  <c r="AG120" i="2"/>
  <c r="AF124" i="2"/>
  <c r="AF160" i="2"/>
  <c r="AG163" i="2"/>
  <c r="AD164" i="2"/>
  <c r="AD182" i="2"/>
  <c r="AD187" i="2" s="1"/>
  <c r="AF184" i="2"/>
  <c r="AF189" i="2" s="1"/>
  <c r="AF166" i="2"/>
  <c r="AE98" i="3"/>
  <c r="AE193" i="2"/>
  <c r="AE144" i="3" s="1"/>
  <c r="AE178" i="2"/>
  <c r="BC151" i="2"/>
  <c r="BC145" i="2" s="1"/>
  <c r="BC91" i="2"/>
  <c r="AV121" i="3"/>
  <c r="AS118" i="3"/>
  <c r="AU142" i="2"/>
  <c r="AU120" i="3"/>
  <c r="AR81" i="3"/>
  <c r="AR82" i="3" s="1"/>
  <c r="AR136" i="3"/>
  <c r="AR11" i="4"/>
  <c r="AV14" i="2"/>
  <c r="AV12" i="2"/>
  <c r="AZ39" i="2"/>
  <c r="AU121" i="3"/>
  <c r="AT121" i="3"/>
  <c r="AT123" i="3"/>
  <c r="AT28" i="4"/>
  <c r="AT14" i="4"/>
  <c r="AV123" i="3"/>
  <c r="AV14" i="4"/>
  <c r="AV28" i="4"/>
  <c r="AU28" i="4"/>
  <c r="AU123" i="3"/>
  <c r="AU14" i="4"/>
  <c r="AS14" i="2"/>
  <c r="AS77" i="3" s="1"/>
  <c r="AS78" i="3" s="1"/>
  <c r="AS90" i="3" s="1"/>
  <c r="AS12" i="2"/>
  <c r="AT76" i="3"/>
  <c r="AX17" i="2"/>
  <c r="AX93" i="2"/>
  <c r="AX84" i="2" s="1"/>
  <c r="AX78" i="2"/>
  <c r="AY38" i="2"/>
  <c r="BD132" i="2"/>
  <c r="BD131" i="2" s="1"/>
  <c r="AS127" i="2"/>
  <c r="AS128" i="2" s="1"/>
  <c r="AV142" i="2"/>
  <c r="AT14" i="2"/>
  <c r="AU76" i="3"/>
  <c r="AT12" i="2"/>
  <c r="AU12" i="2"/>
  <c r="AU14" i="2"/>
  <c r="AV76" i="3"/>
  <c r="AT127" i="2"/>
  <c r="AT128" i="2" s="1"/>
  <c r="AV120" i="3"/>
  <c r="AT119" i="3"/>
  <c r="AT177" i="3"/>
  <c r="AU119" i="3"/>
  <c r="AV177" i="3"/>
  <c r="AX149" i="2"/>
  <c r="AW17" i="2"/>
  <c r="AW93" i="2"/>
  <c r="AW84" i="2" s="1"/>
  <c r="AW78" i="2"/>
  <c r="AT120" i="3"/>
  <c r="AU177" i="3"/>
  <c r="AV119" i="3"/>
  <c r="AV15" i="4" l="1"/>
  <c r="AS163" i="3"/>
  <c r="AT15" i="4"/>
  <c r="AU15" i="4"/>
  <c r="AS15" i="4"/>
  <c r="AG181" i="2"/>
  <c r="AG186" i="2" s="1"/>
  <c r="AL162" i="3"/>
  <c r="AL27" i="4"/>
  <c r="AL22" i="3"/>
  <c r="AL114" i="3"/>
  <c r="AL13" i="4"/>
  <c r="AV127" i="2"/>
  <c r="AV128" i="2" s="1"/>
  <c r="AV83" i="3"/>
  <c r="AU127" i="2"/>
  <c r="AU128" i="2" s="1"/>
  <c r="AU83" i="3"/>
  <c r="BB86" i="2"/>
  <c r="BB87" i="2" s="1"/>
  <c r="BD89" i="2"/>
  <c r="BD88" i="2" s="1"/>
  <c r="AS29" i="4"/>
  <c r="AH80" i="3"/>
  <c r="AH85" i="3" s="1"/>
  <c r="AH113" i="3" s="1"/>
  <c r="AH116" i="3" s="1"/>
  <c r="AW168" i="3"/>
  <c r="AW9" i="3"/>
  <c r="AW10" i="3"/>
  <c r="AW120" i="3" s="1"/>
  <c r="AW28" i="3"/>
  <c r="AW121" i="3" s="1"/>
  <c r="BD151" i="2"/>
  <c r="BD145" i="2" s="1"/>
  <c r="AG123" i="2"/>
  <c r="AX146" i="2"/>
  <c r="AX144" i="2" s="1"/>
  <c r="AX150" i="2" s="1"/>
  <c r="AT77" i="3"/>
  <c r="AT78" i="3" s="1"/>
  <c r="AT90" i="3" s="1"/>
  <c r="AH112" i="2"/>
  <c r="AV118" i="3"/>
  <c r="AH106" i="2"/>
  <c r="AH75" i="2"/>
  <c r="AH71" i="2" s="1"/>
  <c r="AG166" i="2"/>
  <c r="AG184" i="2"/>
  <c r="AG189" i="2" s="1"/>
  <c r="AG156" i="2"/>
  <c r="AG176" i="2"/>
  <c r="AG143" i="3" s="1"/>
  <c r="AF159" i="2"/>
  <c r="AF123" i="2"/>
  <c r="AE164" i="2"/>
  <c r="AE182" i="2"/>
  <c r="AE187" i="2" s="1"/>
  <c r="AG160" i="2"/>
  <c r="AG124" i="2"/>
  <c r="AH68" i="2"/>
  <c r="AH70" i="2" s="1"/>
  <c r="AH158" i="2"/>
  <c r="AH122" i="2"/>
  <c r="AI102" i="2"/>
  <c r="AI170" i="2"/>
  <c r="AF183" i="2"/>
  <c r="AF188" i="2" s="1"/>
  <c r="AF165" i="2"/>
  <c r="AF98" i="3"/>
  <c r="AF178" i="2"/>
  <c r="AF193" i="2"/>
  <c r="AH118" i="2"/>
  <c r="AH74" i="2"/>
  <c r="BC90" i="2"/>
  <c r="BC86" i="2" s="1"/>
  <c r="BC87" i="2" s="1"/>
  <c r="BD91" i="2"/>
  <c r="BD90" i="2" s="1"/>
  <c r="AG182" i="2"/>
  <c r="AG187" i="2" s="1"/>
  <c r="AG164" i="2"/>
  <c r="AU118" i="3"/>
  <c r="AV77" i="3"/>
  <c r="AV78" i="3" s="1"/>
  <c r="AV90" i="3" s="1"/>
  <c r="AV29" i="4"/>
  <c r="AU163" i="3"/>
  <c r="AY17" i="2"/>
  <c r="AY168" i="3" s="1"/>
  <c r="AY93" i="2"/>
  <c r="AY84" i="2" s="1"/>
  <c r="AY78" i="2"/>
  <c r="AZ38" i="2"/>
  <c r="AV163" i="3"/>
  <c r="AS11" i="4"/>
  <c r="AS136" i="3"/>
  <c r="AS81" i="3"/>
  <c r="AS82" i="3" s="1"/>
  <c r="BA39" i="2"/>
  <c r="BB39" i="2" s="1"/>
  <c r="BB38" i="2" s="1"/>
  <c r="AW196" i="2"/>
  <c r="AX28" i="3"/>
  <c r="AX10" i="3"/>
  <c r="AX9" i="3"/>
  <c r="AW11" i="2"/>
  <c r="AW76" i="3" s="1"/>
  <c r="AW18" i="2"/>
  <c r="AW41" i="2"/>
  <c r="AX168" i="3"/>
  <c r="AW147" i="2"/>
  <c r="AW134" i="2"/>
  <c r="AW129" i="2" s="1"/>
  <c r="AW99" i="2"/>
  <c r="AW100" i="2" s="1"/>
  <c r="AU29" i="4"/>
  <c r="AT163" i="3"/>
  <c r="AT29" i="4"/>
  <c r="AU77" i="3"/>
  <c r="AU78" i="3" s="1"/>
  <c r="AU90" i="3" s="1"/>
  <c r="AT118" i="3"/>
  <c r="AX143" i="2"/>
  <c r="AY149" i="2"/>
  <c r="AX196" i="2"/>
  <c r="AX41" i="2"/>
  <c r="AX11" i="2"/>
  <c r="AX18" i="2"/>
  <c r="AX147" i="2"/>
  <c r="AX134" i="2"/>
  <c r="AX129" i="2" s="1"/>
  <c r="AX99" i="2"/>
  <c r="AX100" i="2" s="1"/>
  <c r="AL20" i="3" l="1"/>
  <c r="AM69" i="3"/>
  <c r="BD86" i="2"/>
  <c r="BD87" i="2" s="1"/>
  <c r="AH10" i="4"/>
  <c r="AH12" i="4" s="1"/>
  <c r="AH16" i="4" s="1"/>
  <c r="AH18" i="4" s="1"/>
  <c r="AH151" i="3"/>
  <c r="AH150" i="3"/>
  <c r="AH142" i="3"/>
  <c r="AY10" i="3"/>
  <c r="AY28" i="3"/>
  <c r="AY121" i="3" s="1"/>
  <c r="AY9" i="3"/>
  <c r="AY119" i="3" s="1"/>
  <c r="AH113" i="2"/>
  <c r="AH141" i="3"/>
  <c r="AW14" i="4"/>
  <c r="AW123" i="3"/>
  <c r="AW28" i="4"/>
  <c r="AW177" i="3"/>
  <c r="AW119" i="3"/>
  <c r="AW118" i="3" s="1"/>
  <c r="AY146" i="2"/>
  <c r="AY144" i="2" s="1"/>
  <c r="AY150" i="2" s="1"/>
  <c r="AH155" i="2"/>
  <c r="AH156" i="2" s="1"/>
  <c r="AF144" i="3"/>
  <c r="AH120" i="2"/>
  <c r="AG183" i="2"/>
  <c r="AG188" i="2" s="1"/>
  <c r="AG165" i="2"/>
  <c r="AH69" i="2"/>
  <c r="AH116" i="2"/>
  <c r="AH72" i="2"/>
  <c r="AI174" i="2"/>
  <c r="AI171" i="2"/>
  <c r="AI198" i="2"/>
  <c r="AI172" i="2"/>
  <c r="AI173" i="2"/>
  <c r="AI109" i="2"/>
  <c r="AI73" i="2" s="1"/>
  <c r="AI104" i="2"/>
  <c r="AI81" i="2" s="1"/>
  <c r="AI115" i="2" s="1"/>
  <c r="AI67" i="2"/>
  <c r="AI79" i="3" s="1"/>
  <c r="AI137" i="3" s="1"/>
  <c r="AI107" i="2"/>
  <c r="AH125" i="2"/>
  <c r="AH161" i="2"/>
  <c r="AF164" i="2"/>
  <c r="AF182" i="2"/>
  <c r="AF187" i="2" s="1"/>
  <c r="AH76" i="2"/>
  <c r="AH117" i="2"/>
  <c r="AH181" i="2"/>
  <c r="AH186" i="2" s="1"/>
  <c r="AH163" i="2"/>
  <c r="AG98" i="3"/>
  <c r="AG193" i="2"/>
  <c r="AG144" i="3" s="1"/>
  <c r="AG178" i="2"/>
  <c r="AV81" i="3"/>
  <c r="AV82" i="3" s="1"/>
  <c r="AV11" i="4"/>
  <c r="AU81" i="3"/>
  <c r="AU82" i="3" s="1"/>
  <c r="AU136" i="3"/>
  <c r="AU11" i="4"/>
  <c r="AV136" i="3"/>
  <c r="BB17" i="2"/>
  <c r="BB78" i="2"/>
  <c r="BB93" i="2"/>
  <c r="BB84" i="2" s="1"/>
  <c r="AX177" i="3"/>
  <c r="AX119" i="3"/>
  <c r="BA38" i="2"/>
  <c r="AZ17" i="2"/>
  <c r="AZ168" i="3" s="1"/>
  <c r="AZ78" i="2"/>
  <c r="AZ93" i="2"/>
  <c r="AZ84" i="2" s="1"/>
  <c r="AX121" i="3"/>
  <c r="AX142" i="2"/>
  <c r="AX123" i="3"/>
  <c r="AX28" i="4"/>
  <c r="AX14" i="4"/>
  <c r="AT136" i="3"/>
  <c r="AT81" i="3"/>
  <c r="AT82" i="3" s="1"/>
  <c r="AT11" i="4"/>
  <c r="AY41" i="2"/>
  <c r="AY18" i="2"/>
  <c r="AY196" i="2"/>
  <c r="AY14" i="4" s="1"/>
  <c r="AY11" i="2"/>
  <c r="AY76" i="3" s="1"/>
  <c r="AY147" i="2"/>
  <c r="AY134" i="2"/>
  <c r="AY129" i="2" s="1"/>
  <c r="AY99" i="2"/>
  <c r="AY100" i="2" s="1"/>
  <c r="AX12" i="2"/>
  <c r="AX14" i="2"/>
  <c r="AZ149" i="2"/>
  <c r="BA149" i="2" s="1"/>
  <c r="AY143" i="2"/>
  <c r="AX120" i="3"/>
  <c r="AW12" i="2"/>
  <c r="AX76" i="3"/>
  <c r="AW14" i="2"/>
  <c r="AW77" i="3" s="1"/>
  <c r="AW78" i="3" s="1"/>
  <c r="AW90" i="3" s="1"/>
  <c r="AW142" i="2"/>
  <c r="BC39" i="2"/>
  <c r="BC38" i="2" s="1"/>
  <c r="AX15" i="4" l="1"/>
  <c r="AW15" i="4"/>
  <c r="AM13" i="4"/>
  <c r="AM114" i="3"/>
  <c r="AM162" i="3"/>
  <c r="AM22" i="3"/>
  <c r="AM27" i="4"/>
  <c r="AX127" i="2"/>
  <c r="AX128" i="2" s="1"/>
  <c r="AX83" i="3"/>
  <c r="AW127" i="2"/>
  <c r="AW128" i="2" s="1"/>
  <c r="AW83" i="3"/>
  <c r="AY177" i="3"/>
  <c r="AY120" i="3"/>
  <c r="AY118" i="3" s="1"/>
  <c r="AZ9" i="3"/>
  <c r="AZ119" i="3" s="1"/>
  <c r="AH176" i="2"/>
  <c r="AH143" i="3" s="1"/>
  <c r="AI80" i="3"/>
  <c r="AI85" i="3" s="1"/>
  <c r="AI10" i="4" s="1"/>
  <c r="AI12" i="4" s="1"/>
  <c r="AI16" i="4" s="1"/>
  <c r="AY123" i="3"/>
  <c r="AW163" i="3"/>
  <c r="AW29" i="4"/>
  <c r="AZ10" i="3"/>
  <c r="AZ120" i="3" s="1"/>
  <c r="AY28" i="4"/>
  <c r="AZ28" i="3"/>
  <c r="AZ121" i="3" s="1"/>
  <c r="AX77" i="3"/>
  <c r="AX78" i="3" s="1"/>
  <c r="AX90" i="3" s="1"/>
  <c r="AZ146" i="2"/>
  <c r="AZ144" i="2" s="1"/>
  <c r="AZ150" i="2" s="1"/>
  <c r="AI112" i="2"/>
  <c r="AI68" i="2"/>
  <c r="AI70" i="2" s="1"/>
  <c r="AI74" i="2"/>
  <c r="AI118" i="2"/>
  <c r="AI122" i="2"/>
  <c r="AI158" i="2"/>
  <c r="AH159" i="2"/>
  <c r="AH123" i="2"/>
  <c r="AJ170" i="2"/>
  <c r="AJ102" i="2"/>
  <c r="AH124" i="2"/>
  <c r="AH160" i="2"/>
  <c r="AH184" i="2"/>
  <c r="AH189" i="2" s="1"/>
  <c r="AH166" i="2"/>
  <c r="AI75" i="2"/>
  <c r="AI106" i="2"/>
  <c r="AX118" i="3"/>
  <c r="BB149" i="2"/>
  <c r="BB143" i="2" s="1"/>
  <c r="BA143" i="2"/>
  <c r="AX163" i="3"/>
  <c r="AX29" i="4"/>
  <c r="AZ11" i="2"/>
  <c r="AZ76" i="3" s="1"/>
  <c r="AZ41" i="2"/>
  <c r="AZ18" i="2"/>
  <c r="AZ196" i="2"/>
  <c r="AZ14" i="4" s="1"/>
  <c r="AZ147" i="2"/>
  <c r="AZ134" i="2"/>
  <c r="AZ129" i="2" s="1"/>
  <c r="AZ99" i="2"/>
  <c r="AZ100" i="2" s="1"/>
  <c r="BB18" i="2"/>
  <c r="BB41" i="2"/>
  <c r="BB11" i="2"/>
  <c r="BB196" i="2"/>
  <c r="BB147" i="2"/>
  <c r="BB134" i="2"/>
  <c r="BB129" i="2" s="1"/>
  <c r="BB99" i="2"/>
  <c r="BB100" i="2" s="1"/>
  <c r="BC17" i="2"/>
  <c r="BC78" i="2"/>
  <c r="BC93" i="2"/>
  <c r="BC84" i="2" s="1"/>
  <c r="AW81" i="3"/>
  <c r="AW82" i="3" s="1"/>
  <c r="AW136" i="3"/>
  <c r="AW11" i="4"/>
  <c r="AY12" i="2"/>
  <c r="AY14" i="2"/>
  <c r="AY77" i="3" s="1"/>
  <c r="AY78" i="3" s="1"/>
  <c r="AY90" i="3" s="1"/>
  <c r="AZ143" i="2"/>
  <c r="BC149" i="2"/>
  <c r="BC143" i="2" s="1"/>
  <c r="BD39" i="2"/>
  <c r="BD38" i="2" s="1"/>
  <c r="AY142" i="2"/>
  <c r="BA17" i="2"/>
  <c r="BA78" i="2"/>
  <c r="BA93" i="2"/>
  <c r="BA84" i="2" s="1"/>
  <c r="AY15" i="4" l="1"/>
  <c r="AM20" i="3"/>
  <c r="AN69" i="3"/>
  <c r="AY127" i="2"/>
  <c r="AY128" i="2" s="1"/>
  <c r="AY83" i="3"/>
  <c r="AY163" i="3"/>
  <c r="AY29" i="4"/>
  <c r="AI150" i="3"/>
  <c r="AH98" i="3"/>
  <c r="AH178" i="2"/>
  <c r="AH193" i="2"/>
  <c r="AH144" i="3" s="1"/>
  <c r="AI113" i="3"/>
  <c r="AI116" i="3" s="1"/>
  <c r="AI151" i="3"/>
  <c r="AZ28" i="4"/>
  <c r="AI142" i="3"/>
  <c r="AZ123" i="3"/>
  <c r="BC9" i="3"/>
  <c r="BA168" i="3"/>
  <c r="AZ118" i="3"/>
  <c r="BA9" i="3"/>
  <c r="BA119" i="3" s="1"/>
  <c r="BA28" i="3"/>
  <c r="BA121" i="3" s="1"/>
  <c r="BA10" i="3"/>
  <c r="BA120" i="3" s="1"/>
  <c r="AZ177" i="3"/>
  <c r="AI141" i="3"/>
  <c r="BA146" i="2"/>
  <c r="BA144" i="2" s="1"/>
  <c r="BA150" i="2" s="1"/>
  <c r="BC28" i="3"/>
  <c r="AH164" i="2"/>
  <c r="AH182" i="2"/>
  <c r="AH187" i="2" s="1"/>
  <c r="AI163" i="2"/>
  <c r="AI181" i="2"/>
  <c r="AI186" i="2" s="1"/>
  <c r="AH165" i="2"/>
  <c r="AH183" i="2"/>
  <c r="AH188" i="2" s="1"/>
  <c r="AI161" i="2"/>
  <c r="AI125" i="2"/>
  <c r="AI76" i="2"/>
  <c r="AI117" i="2"/>
  <c r="AI71" i="2"/>
  <c r="AJ67" i="2"/>
  <c r="AJ79" i="3" s="1"/>
  <c r="AJ80" i="3" s="1"/>
  <c r="AJ85" i="3" s="1"/>
  <c r="AJ109" i="2"/>
  <c r="AJ73" i="2" s="1"/>
  <c r="AJ107" i="2"/>
  <c r="AJ104" i="2"/>
  <c r="AJ81" i="2" s="1"/>
  <c r="AJ115" i="2" s="1"/>
  <c r="AJ198" i="2"/>
  <c r="AJ173" i="2"/>
  <c r="AJ174" i="2"/>
  <c r="AJ171" i="2"/>
  <c r="AJ172" i="2"/>
  <c r="AI155" i="2"/>
  <c r="AI120" i="2"/>
  <c r="AI113" i="2"/>
  <c r="BC10" i="3"/>
  <c r="BC168" i="3"/>
  <c r="AY81" i="3"/>
  <c r="AY82" i="3" s="1"/>
  <c r="AY136" i="3"/>
  <c r="AY11" i="4"/>
  <c r="AZ12" i="2"/>
  <c r="AZ14" i="2"/>
  <c r="AZ77" i="3" s="1"/>
  <c r="AZ78" i="3" s="1"/>
  <c r="AZ90" i="3" s="1"/>
  <c r="AX136" i="3"/>
  <c r="AX81" i="3"/>
  <c r="AX82" i="3" s="1"/>
  <c r="AX11" i="4"/>
  <c r="BC196" i="2"/>
  <c r="BC41" i="2"/>
  <c r="BC11" i="2"/>
  <c r="BC76" i="3" s="1"/>
  <c r="BC18" i="2"/>
  <c r="BC147" i="2"/>
  <c r="BC134" i="2"/>
  <c r="BC129" i="2" s="1"/>
  <c r="BC99" i="2"/>
  <c r="BC100" i="2" s="1"/>
  <c r="BD17" i="2"/>
  <c r="BD28" i="3" s="1"/>
  <c r="BD78" i="2"/>
  <c r="BD93" i="2"/>
  <c r="BD84" i="2" s="1"/>
  <c r="BB10" i="3"/>
  <c r="BB28" i="3"/>
  <c r="BB168" i="3"/>
  <c r="BB9" i="3"/>
  <c r="BA41" i="2"/>
  <c r="BA11" i="2"/>
  <c r="BB12" i="2" s="1"/>
  <c r="BA196" i="2"/>
  <c r="BA28" i="4" s="1"/>
  <c r="BA18" i="2"/>
  <c r="BA147" i="2"/>
  <c r="BA134" i="2"/>
  <c r="BA129" i="2" s="1"/>
  <c r="BA99" i="2"/>
  <c r="BA100" i="2" s="1"/>
  <c r="AZ142" i="2"/>
  <c r="BB14" i="2"/>
  <c r="BD149" i="2"/>
  <c r="BD143" i="2" s="1"/>
  <c r="AZ15" i="4" l="1"/>
  <c r="AN27" i="4"/>
  <c r="AN22" i="3"/>
  <c r="AN114" i="3"/>
  <c r="AN162" i="3"/>
  <c r="AN13" i="4"/>
  <c r="AZ127" i="2"/>
  <c r="AZ128" i="2" s="1"/>
  <c r="AZ83" i="3"/>
  <c r="BA123" i="3"/>
  <c r="BA14" i="4"/>
  <c r="BB119" i="3"/>
  <c r="BC177" i="3"/>
  <c r="BC14" i="4"/>
  <c r="AZ163" i="3"/>
  <c r="BD121" i="3"/>
  <c r="AZ29" i="4"/>
  <c r="BC121" i="3"/>
  <c r="BA177" i="3"/>
  <c r="BD10" i="3"/>
  <c r="BD120" i="3" s="1"/>
  <c r="BD168" i="3"/>
  <c r="BA76" i="3"/>
  <c r="BA118" i="3"/>
  <c r="BA142" i="2"/>
  <c r="BD9" i="3"/>
  <c r="BD119" i="3" s="1"/>
  <c r="AJ137" i="3"/>
  <c r="AJ150" i="3"/>
  <c r="AJ151" i="3"/>
  <c r="AJ113" i="3"/>
  <c r="AJ116" i="3" s="1"/>
  <c r="AJ142" i="3"/>
  <c r="AJ10" i="4"/>
  <c r="AJ12" i="4" s="1"/>
  <c r="BB146" i="2"/>
  <c r="BB144" i="2" s="1"/>
  <c r="BC146" i="2"/>
  <c r="BC144" i="2" s="1"/>
  <c r="BC150" i="2" s="1"/>
  <c r="BC120" i="3"/>
  <c r="BC123" i="3"/>
  <c r="AJ112" i="2"/>
  <c r="AJ68" i="2"/>
  <c r="AJ70" i="2" s="1"/>
  <c r="AJ122" i="2"/>
  <c r="AJ158" i="2"/>
  <c r="AI176" i="2"/>
  <c r="AI156" i="2"/>
  <c r="AJ106" i="2"/>
  <c r="AJ75" i="2"/>
  <c r="AI166" i="2"/>
  <c r="AI184" i="2"/>
  <c r="AI189" i="2" s="1"/>
  <c r="AJ118" i="2"/>
  <c r="AJ74" i="2"/>
  <c r="AI69" i="2"/>
  <c r="AI116" i="2"/>
  <c r="AI72" i="2"/>
  <c r="AI124" i="2"/>
  <c r="AI160" i="2"/>
  <c r="AK102" i="2"/>
  <c r="AK170" i="2"/>
  <c r="BC28" i="4"/>
  <c r="AZ136" i="3"/>
  <c r="AZ11" i="4"/>
  <c r="AZ81" i="3"/>
  <c r="AZ82" i="3" s="1"/>
  <c r="BB121" i="3"/>
  <c r="BB76" i="3"/>
  <c r="BA12" i="2"/>
  <c r="BA14" i="2"/>
  <c r="BA77" i="3" s="1"/>
  <c r="BD11" i="2"/>
  <c r="BD76" i="3" s="1"/>
  <c r="BD196" i="2"/>
  <c r="BD14" i="4" s="1"/>
  <c r="BD41" i="2"/>
  <c r="BD18" i="2"/>
  <c r="BD147" i="2"/>
  <c r="BD134" i="2"/>
  <c r="BD129" i="2" s="1"/>
  <c r="BD99" i="2"/>
  <c r="BD100" i="2" s="1"/>
  <c r="BC12" i="2"/>
  <c r="BC14" i="2"/>
  <c r="BC77" i="3" s="1"/>
  <c r="BC78" i="3" s="1"/>
  <c r="BC90" i="3" s="1"/>
  <c r="BB123" i="3"/>
  <c r="BB28" i="4"/>
  <c r="BB14" i="4"/>
  <c r="BC119" i="3"/>
  <c r="BB177" i="3"/>
  <c r="BC15" i="4" s="1"/>
  <c r="BB120" i="3"/>
  <c r="BC142" i="2" l="1"/>
  <c r="BC83" i="3" s="1"/>
  <c r="BB150" i="2"/>
  <c r="BB142" i="2"/>
  <c r="BC163" i="3"/>
  <c r="BB15" i="4"/>
  <c r="BA15" i="4"/>
  <c r="AO69" i="3"/>
  <c r="AN20" i="3"/>
  <c r="BA127" i="2"/>
  <c r="BA128" i="2" s="1"/>
  <c r="BA83" i="3"/>
  <c r="BA29" i="4"/>
  <c r="BC118" i="3"/>
  <c r="BA163" i="3"/>
  <c r="BA78" i="3"/>
  <c r="BA90" i="3" s="1"/>
  <c r="BD177" i="3"/>
  <c r="BD163" i="3" s="1"/>
  <c r="BD123" i="3"/>
  <c r="BD28" i="4"/>
  <c r="AJ141" i="3"/>
  <c r="AI143" i="3"/>
  <c r="BD146" i="2"/>
  <c r="BD144" i="2" s="1"/>
  <c r="BD150" i="2" s="1"/>
  <c r="BB77" i="3"/>
  <c r="BB78" i="3" s="1"/>
  <c r="BB90" i="3" s="1"/>
  <c r="BD118" i="3"/>
  <c r="AJ113" i="2"/>
  <c r="AJ155" i="2"/>
  <c r="AJ156" i="2" s="1"/>
  <c r="AJ120" i="2"/>
  <c r="BB118" i="3"/>
  <c r="AJ117" i="2"/>
  <c r="AJ76" i="2"/>
  <c r="AK173" i="2"/>
  <c r="AK174" i="2"/>
  <c r="AK171" i="2"/>
  <c r="AK198" i="2"/>
  <c r="AK172" i="2"/>
  <c r="AK109" i="2"/>
  <c r="AK73" i="2" s="1"/>
  <c r="AK104" i="2"/>
  <c r="AK81" i="2" s="1"/>
  <c r="AK115" i="2" s="1"/>
  <c r="AK67" i="2"/>
  <c r="AK79" i="3" s="1"/>
  <c r="AK80" i="3" s="1"/>
  <c r="AK85" i="3" s="1"/>
  <c r="AK107" i="2"/>
  <c r="AI165" i="2"/>
  <c r="AI183" i="2"/>
  <c r="AI188" i="2" s="1"/>
  <c r="AI193" i="2"/>
  <c r="AI144" i="3" s="1"/>
  <c r="AI178" i="2"/>
  <c r="AI98" i="3"/>
  <c r="AI159" i="2"/>
  <c r="AI123" i="2"/>
  <c r="AJ181" i="2"/>
  <c r="AJ186" i="2" s="1"/>
  <c r="AJ163" i="2"/>
  <c r="AJ71" i="2"/>
  <c r="AJ161" i="2"/>
  <c r="AJ125" i="2"/>
  <c r="BC81" i="3"/>
  <c r="BC82" i="3" s="1"/>
  <c r="BC11" i="4"/>
  <c r="BB163" i="3"/>
  <c r="BC29" i="4"/>
  <c r="BB29" i="4"/>
  <c r="BD12" i="2"/>
  <c r="BD14" i="2"/>
  <c r="BD77" i="3" s="1"/>
  <c r="BD78" i="3" s="1"/>
  <c r="BD90" i="3" s="1"/>
  <c r="BC127" i="2" l="1"/>
  <c r="BC128" i="2" s="1"/>
  <c r="BD142" i="2"/>
  <c r="BD127" i="2" s="1"/>
  <c r="BD128" i="2" s="1"/>
  <c r="BB127" i="2"/>
  <c r="BB128" i="2" s="1"/>
  <c r="BB83" i="3"/>
  <c r="BD15" i="4"/>
  <c r="AO162" i="3"/>
  <c r="AO27" i="4"/>
  <c r="AO114" i="3"/>
  <c r="AO22" i="3"/>
  <c r="AO13" i="4"/>
  <c r="BA81" i="3"/>
  <c r="BA82" i="3" s="1"/>
  <c r="BA11" i="4"/>
  <c r="BC136" i="3"/>
  <c r="BB11" i="4"/>
  <c r="BA136" i="3"/>
  <c r="BD29" i="4"/>
  <c r="AK137" i="3"/>
  <c r="AJ176" i="2"/>
  <c r="AJ143" i="3" s="1"/>
  <c r="AK151" i="3"/>
  <c r="AK10" i="4"/>
  <c r="AK12" i="4" s="1"/>
  <c r="AK150" i="3"/>
  <c r="AK113" i="3"/>
  <c r="AK116" i="3" s="1"/>
  <c r="AK142" i="3"/>
  <c r="AK112" i="2"/>
  <c r="AK113" i="2" s="1"/>
  <c r="AK68" i="2"/>
  <c r="AK70" i="2" s="1"/>
  <c r="AK118" i="2"/>
  <c r="AK74" i="2"/>
  <c r="AL170" i="2"/>
  <c r="AL102" i="2"/>
  <c r="AI182" i="2"/>
  <c r="AI187" i="2" s="1"/>
  <c r="AI164" i="2"/>
  <c r="AK106" i="2"/>
  <c r="AK75" i="2"/>
  <c r="AK71" i="2" s="1"/>
  <c r="AK116" i="2" s="1"/>
  <c r="AJ166" i="2"/>
  <c r="AJ184" i="2"/>
  <c r="AJ189" i="2" s="1"/>
  <c r="AJ116" i="2"/>
  <c r="AJ72" i="2"/>
  <c r="AJ69" i="2"/>
  <c r="AK158" i="2"/>
  <c r="AK122" i="2"/>
  <c r="AJ160" i="2"/>
  <c r="AJ124" i="2"/>
  <c r="BD81" i="3"/>
  <c r="BD82" i="3" s="1"/>
  <c r="BD136" i="3"/>
  <c r="BD11" i="4"/>
  <c r="BB81" i="3"/>
  <c r="BB82" i="3" s="1"/>
  <c r="BB136" i="3"/>
  <c r="BD83" i="3" l="1"/>
  <c r="AO20" i="3"/>
  <c r="AP69" i="3"/>
  <c r="AJ98" i="3"/>
  <c r="AJ178" i="2"/>
  <c r="AK141" i="3"/>
  <c r="AJ193" i="2"/>
  <c r="AJ144" i="3" s="1"/>
  <c r="AK120" i="2"/>
  <c r="AK155" i="2"/>
  <c r="AK176" i="2" s="1"/>
  <c r="AK72" i="2"/>
  <c r="AL109" i="2"/>
  <c r="AL73" i="2" s="1"/>
  <c r="AL104" i="2"/>
  <c r="AL81" i="2" s="1"/>
  <c r="AL115" i="2" s="1"/>
  <c r="AL67" i="2"/>
  <c r="AL79" i="3" s="1"/>
  <c r="AL137" i="3" s="1"/>
  <c r="AL107" i="2"/>
  <c r="AJ123" i="2"/>
  <c r="AJ159" i="2"/>
  <c r="AK117" i="2"/>
  <c r="AK76" i="2"/>
  <c r="AL198" i="2"/>
  <c r="AL174" i="2"/>
  <c r="AL173" i="2"/>
  <c r="AL171" i="2"/>
  <c r="AL172" i="2"/>
  <c r="AK181" i="2"/>
  <c r="AK186" i="2" s="1"/>
  <c r="AK163" i="2"/>
  <c r="AK69" i="2"/>
  <c r="AJ165" i="2"/>
  <c r="AJ183" i="2"/>
  <c r="AJ188" i="2" s="1"/>
  <c r="AK125" i="2"/>
  <c r="AK161" i="2"/>
  <c r="AK123" i="2"/>
  <c r="AK159" i="2"/>
  <c r="AP13" i="4" l="1"/>
  <c r="AP162" i="3"/>
  <c r="AP22" i="3"/>
  <c r="AP114" i="3"/>
  <c r="AP27" i="4"/>
  <c r="AL80" i="3"/>
  <c r="AL85" i="3" s="1"/>
  <c r="AL151" i="3" s="1"/>
  <c r="AK143" i="3"/>
  <c r="AK156" i="2"/>
  <c r="AL112" i="2"/>
  <c r="AL155" i="2" s="1"/>
  <c r="AL75" i="2"/>
  <c r="AL106" i="2"/>
  <c r="AL122" i="2"/>
  <c r="AL158" i="2"/>
  <c r="AL68" i="2"/>
  <c r="AL70" i="2" s="1"/>
  <c r="AL74" i="2"/>
  <c r="AL118" i="2"/>
  <c r="AK160" i="2"/>
  <c r="AK124" i="2"/>
  <c r="AK98" i="3"/>
  <c r="AK178" i="2"/>
  <c r="AK193" i="2"/>
  <c r="AK144" i="3" s="1"/>
  <c r="AK166" i="2"/>
  <c r="AK184" i="2"/>
  <c r="AK189" i="2" s="1"/>
  <c r="AM102" i="2"/>
  <c r="AM170" i="2"/>
  <c r="AJ182" i="2"/>
  <c r="AJ187" i="2" s="1"/>
  <c r="AJ164" i="2"/>
  <c r="AK182" i="2"/>
  <c r="AK187" i="2" s="1"/>
  <c r="AK164" i="2"/>
  <c r="AP20" i="3" l="1"/>
  <c r="AQ69" i="3"/>
  <c r="AL10" i="4"/>
  <c r="AL12" i="4" s="1"/>
  <c r="AL113" i="3"/>
  <c r="AL116" i="3" s="1"/>
  <c r="AL142" i="3"/>
  <c r="AL150" i="3"/>
  <c r="AL120" i="2"/>
  <c r="AL141" i="3"/>
  <c r="AL113" i="2"/>
  <c r="AK183" i="2"/>
  <c r="AK188" i="2" s="1"/>
  <c r="AK165" i="2"/>
  <c r="AL163" i="2"/>
  <c r="AL181" i="2"/>
  <c r="AL186" i="2" s="1"/>
  <c r="AM172" i="2"/>
  <c r="AM198" i="2"/>
  <c r="AM173" i="2"/>
  <c r="AM174" i="2"/>
  <c r="AM171" i="2"/>
  <c r="AM107" i="2"/>
  <c r="AM104" i="2"/>
  <c r="AM81" i="2" s="1"/>
  <c r="AM115" i="2" s="1"/>
  <c r="AM109" i="2"/>
  <c r="AM73" i="2" s="1"/>
  <c r="AM67" i="2"/>
  <c r="AL125" i="2"/>
  <c r="AL161" i="2"/>
  <c r="AL156" i="2"/>
  <c r="AL176" i="2"/>
  <c r="AL143" i="3" s="1"/>
  <c r="AL117" i="2"/>
  <c r="AL76" i="2"/>
  <c r="AL71" i="2"/>
  <c r="AQ162" i="3" l="1"/>
  <c r="AQ13" i="4"/>
  <c r="AQ114" i="3"/>
  <c r="AQ27" i="4"/>
  <c r="AQ22" i="3"/>
  <c r="AM79" i="3"/>
  <c r="AM68" i="2"/>
  <c r="AM70" i="2" s="1"/>
  <c r="AL69" i="2"/>
  <c r="AL72" i="2"/>
  <c r="AL116" i="2"/>
  <c r="AM112" i="2"/>
  <c r="AL166" i="2"/>
  <c r="AL184" i="2"/>
  <c r="AL189" i="2" s="1"/>
  <c r="AN170" i="2"/>
  <c r="AN102" i="2"/>
  <c r="AM122" i="2"/>
  <c r="AM158" i="2"/>
  <c r="AM118" i="2"/>
  <c r="AM74" i="2"/>
  <c r="AL178" i="2"/>
  <c r="AL193" i="2"/>
  <c r="AL144" i="3" s="1"/>
  <c r="AL98" i="3"/>
  <c r="AM106" i="2"/>
  <c r="AM75" i="2"/>
  <c r="AL160" i="2"/>
  <c r="AL124" i="2"/>
  <c r="AQ20" i="3" l="1"/>
  <c r="AR69" i="3"/>
  <c r="AR22" i="3" s="1"/>
  <c r="AS69" i="3" s="1"/>
  <c r="AM80" i="3"/>
  <c r="AM85" i="3" s="1"/>
  <c r="AM137" i="3"/>
  <c r="AM141" i="3"/>
  <c r="AN173" i="2"/>
  <c r="AN198" i="2"/>
  <c r="AN171" i="2"/>
  <c r="AN174" i="2"/>
  <c r="AN172" i="2"/>
  <c r="AM117" i="2"/>
  <c r="AM76" i="2"/>
  <c r="AM113" i="2"/>
  <c r="AM120" i="2"/>
  <c r="AM155" i="2"/>
  <c r="AM71" i="2"/>
  <c r="AL123" i="2"/>
  <c r="AL159" i="2"/>
  <c r="AM163" i="2"/>
  <c r="AM181" i="2"/>
  <c r="AM186" i="2" s="1"/>
  <c r="AL165" i="2"/>
  <c r="AL183" i="2"/>
  <c r="AL188" i="2" s="1"/>
  <c r="AM161" i="2"/>
  <c r="AM125" i="2"/>
  <c r="AN67" i="2"/>
  <c r="AN104" i="2"/>
  <c r="AN81" i="2" s="1"/>
  <c r="AN115" i="2" s="1"/>
  <c r="AN109" i="2"/>
  <c r="AN73" i="2" s="1"/>
  <c r="AN107" i="2"/>
  <c r="AR20" i="3" l="1"/>
  <c r="AR114" i="3"/>
  <c r="AR162" i="3"/>
  <c r="AR13" i="4"/>
  <c r="AR27" i="4"/>
  <c r="AN79" i="3"/>
  <c r="AM142" i="3"/>
  <c r="AM151" i="3"/>
  <c r="AM10" i="4"/>
  <c r="AM12" i="4" s="1"/>
  <c r="AM113" i="3"/>
  <c r="AM116" i="3" s="1"/>
  <c r="AM150" i="3"/>
  <c r="AO102" i="2"/>
  <c r="AO170" i="2"/>
  <c r="AS27" i="4"/>
  <c r="AS162" i="3"/>
  <c r="AS22" i="3"/>
  <c r="AS13" i="4"/>
  <c r="AS114" i="3"/>
  <c r="AM116" i="2"/>
  <c r="AM72" i="2"/>
  <c r="AM69" i="2"/>
  <c r="AN75" i="2"/>
  <c r="AN71" i="2" s="1"/>
  <c r="AN106" i="2"/>
  <c r="AM176" i="2"/>
  <c r="AM156" i="2"/>
  <c r="AM184" i="2"/>
  <c r="AM189" i="2" s="1"/>
  <c r="AM166" i="2"/>
  <c r="AN118" i="2"/>
  <c r="AN74" i="2"/>
  <c r="AN158" i="2"/>
  <c r="AN122" i="2"/>
  <c r="AL164" i="2"/>
  <c r="AL182" i="2"/>
  <c r="AL187" i="2" s="1"/>
  <c r="AM124" i="2"/>
  <c r="AM160" i="2"/>
  <c r="AN68" i="2"/>
  <c r="AN70" i="2" s="1"/>
  <c r="AN112" i="2"/>
  <c r="AN141" i="3" l="1"/>
  <c r="AN137" i="3"/>
  <c r="AN80" i="3"/>
  <c r="AN85" i="3" s="1"/>
  <c r="AM143" i="3"/>
  <c r="AM183" i="2"/>
  <c r="AM188" i="2" s="1"/>
  <c r="AM165" i="2"/>
  <c r="AN117" i="2"/>
  <c r="AN76" i="2"/>
  <c r="AM159" i="2"/>
  <c r="AM123" i="2"/>
  <c r="AS20" i="3"/>
  <c r="AT69" i="3"/>
  <c r="AN72" i="2"/>
  <c r="AN69" i="2"/>
  <c r="AN116" i="2"/>
  <c r="AN161" i="2"/>
  <c r="AN125" i="2"/>
  <c r="AM193" i="2"/>
  <c r="AM144" i="3" s="1"/>
  <c r="AM178" i="2"/>
  <c r="AM98" i="3"/>
  <c r="AO172" i="2"/>
  <c r="AO198" i="2"/>
  <c r="AO173" i="2"/>
  <c r="AO171" i="2"/>
  <c r="AO174" i="2"/>
  <c r="AN155" i="2"/>
  <c r="AN120" i="2"/>
  <c r="AN113" i="2"/>
  <c r="AN181" i="2"/>
  <c r="AN186" i="2" s="1"/>
  <c r="AN163" i="2"/>
  <c r="AO107" i="2"/>
  <c r="AO67" i="2"/>
  <c r="AO109" i="2"/>
  <c r="AO73" i="2" s="1"/>
  <c r="AO104" i="2"/>
  <c r="AO81" i="2" s="1"/>
  <c r="AO115" i="2" s="1"/>
  <c r="AN142" i="3" l="1"/>
  <c r="AN10" i="4"/>
  <c r="AN12" i="4" s="1"/>
  <c r="AN150" i="3"/>
  <c r="AN151" i="3"/>
  <c r="AN113" i="3"/>
  <c r="AN116" i="3" s="1"/>
  <c r="AO79" i="3"/>
  <c r="AO68" i="2"/>
  <c r="AO70" i="2" s="1"/>
  <c r="AO112" i="2"/>
  <c r="AT22" i="3"/>
  <c r="AP170" i="2"/>
  <c r="AP102" i="2"/>
  <c r="AT27" i="4"/>
  <c r="AT114" i="3"/>
  <c r="AT13" i="4"/>
  <c r="AT162" i="3"/>
  <c r="AO106" i="2"/>
  <c r="AO75" i="2"/>
  <c r="AO71" i="2" s="1"/>
  <c r="AN156" i="2"/>
  <c r="AN176" i="2"/>
  <c r="AM164" i="2"/>
  <c r="AM182" i="2"/>
  <c r="AM187" i="2" s="1"/>
  <c r="AN184" i="2"/>
  <c r="AN189" i="2" s="1"/>
  <c r="AN166" i="2"/>
  <c r="AN159" i="2"/>
  <c r="AN123" i="2"/>
  <c r="AN160" i="2"/>
  <c r="AN124" i="2"/>
  <c r="AO122" i="2"/>
  <c r="AO158" i="2"/>
  <c r="AO74" i="2"/>
  <c r="AO118" i="2"/>
  <c r="AO80" i="3" l="1"/>
  <c r="AO85" i="3" s="1"/>
  <c r="AO137" i="3"/>
  <c r="AN143" i="3"/>
  <c r="AO141" i="3"/>
  <c r="AO69" i="2"/>
  <c r="AO72" i="2"/>
  <c r="AO116" i="2"/>
  <c r="AN164" i="2"/>
  <c r="AN182" i="2"/>
  <c r="AN187" i="2" s="1"/>
  <c r="AO161" i="2"/>
  <c r="AO125" i="2"/>
  <c r="AO181" i="2"/>
  <c r="AO186" i="2" s="1"/>
  <c r="AO163" i="2"/>
  <c r="AN193" i="2"/>
  <c r="AN144" i="3" s="1"/>
  <c r="AN98" i="3"/>
  <c r="AN178" i="2"/>
  <c r="AP109" i="2"/>
  <c r="AP73" i="2" s="1"/>
  <c r="AP67" i="2"/>
  <c r="AP107" i="2"/>
  <c r="AP104" i="2"/>
  <c r="AP81" i="2" s="1"/>
  <c r="AP115" i="2" s="1"/>
  <c r="AP174" i="2"/>
  <c r="AP171" i="2"/>
  <c r="AP172" i="2"/>
  <c r="AP173" i="2"/>
  <c r="AP198" i="2"/>
  <c r="AO117" i="2"/>
  <c r="AO76" i="2"/>
  <c r="AU69" i="3"/>
  <c r="AU22" i="3" s="1"/>
  <c r="AT20" i="3"/>
  <c r="AN165" i="2"/>
  <c r="AN183" i="2"/>
  <c r="AN188" i="2" s="1"/>
  <c r="AO155" i="2"/>
  <c r="AO113" i="2"/>
  <c r="AO120" i="2"/>
  <c r="AP79" i="3" l="1"/>
  <c r="AO113" i="3"/>
  <c r="AO116" i="3" s="1"/>
  <c r="AO142" i="3"/>
  <c r="AO10" i="4"/>
  <c r="AO12" i="4" s="1"/>
  <c r="AO151" i="3"/>
  <c r="AO150" i="3"/>
  <c r="AP112" i="2"/>
  <c r="AP118" i="2"/>
  <c r="AP74" i="2"/>
  <c r="AO166" i="2"/>
  <c r="AO184" i="2"/>
  <c r="AO189" i="2" s="1"/>
  <c r="AV69" i="3"/>
  <c r="AU20" i="3"/>
  <c r="AV22" i="3"/>
  <c r="AP106" i="2"/>
  <c r="AP75" i="2"/>
  <c r="AP71" i="2" s="1"/>
  <c r="AO159" i="2"/>
  <c r="AO123" i="2"/>
  <c r="AR102" i="2"/>
  <c r="AQ102" i="2"/>
  <c r="AQ170" i="2"/>
  <c r="AU13" i="4"/>
  <c r="AU27" i="4"/>
  <c r="AU162" i="3"/>
  <c r="AU114" i="3"/>
  <c r="AP68" i="2"/>
  <c r="AP70" i="2" s="1"/>
  <c r="AO124" i="2"/>
  <c r="AO160" i="2"/>
  <c r="AO176" i="2"/>
  <c r="AO156" i="2"/>
  <c r="AP122" i="2"/>
  <c r="AP158" i="2"/>
  <c r="AP80" i="3" l="1"/>
  <c r="AP85" i="3" s="1"/>
  <c r="AP137" i="3"/>
  <c r="AP141" i="3"/>
  <c r="AO143" i="3"/>
  <c r="AW69" i="3"/>
  <c r="AV20" i="3"/>
  <c r="AO98" i="3"/>
  <c r="AO178" i="2"/>
  <c r="AO193" i="2"/>
  <c r="AO144" i="3" s="1"/>
  <c r="AQ172" i="2"/>
  <c r="AQ171" i="2"/>
  <c r="AQ174" i="2"/>
  <c r="AQ198" i="2"/>
  <c r="AO183" i="2"/>
  <c r="AO188" i="2" s="1"/>
  <c r="AO165" i="2"/>
  <c r="AQ107" i="2"/>
  <c r="AQ104" i="2"/>
  <c r="AQ81" i="2" s="1"/>
  <c r="AQ115" i="2" s="1"/>
  <c r="AQ67" i="2"/>
  <c r="AQ109" i="2"/>
  <c r="AQ73" i="2" s="1"/>
  <c r="AR170" i="2"/>
  <c r="AV114" i="3"/>
  <c r="AV13" i="4"/>
  <c r="AV27" i="4"/>
  <c r="AV162" i="3"/>
  <c r="AP69" i="2"/>
  <c r="AP116" i="2"/>
  <c r="AP72" i="2"/>
  <c r="AP113" i="2"/>
  <c r="AP120" i="2"/>
  <c r="AP155" i="2"/>
  <c r="AR107" i="2"/>
  <c r="AR109" i="2"/>
  <c r="AR73" i="2" s="1"/>
  <c r="AR67" i="2"/>
  <c r="AR104" i="2"/>
  <c r="AR81" i="2" s="1"/>
  <c r="AR115" i="2" s="1"/>
  <c r="AP125" i="2"/>
  <c r="AP161" i="2"/>
  <c r="AO164" i="2"/>
  <c r="AO182" i="2"/>
  <c r="AO187" i="2" s="1"/>
  <c r="AQ173" i="2"/>
  <c r="AP163" i="2"/>
  <c r="AP181" i="2"/>
  <c r="AP186" i="2" s="1"/>
  <c r="AP117" i="2"/>
  <c r="AP76" i="2"/>
  <c r="AR79" i="3" l="1"/>
  <c r="AR80" i="3" s="1"/>
  <c r="AR85" i="3" s="1"/>
  <c r="AR151" i="3" s="1"/>
  <c r="AQ79" i="3"/>
  <c r="AP150" i="3"/>
  <c r="AP151" i="3"/>
  <c r="AP142" i="3"/>
  <c r="AP113" i="3"/>
  <c r="AP116" i="3" s="1"/>
  <c r="AP10" i="4"/>
  <c r="AP12" i="4" s="1"/>
  <c r="AR173" i="2"/>
  <c r="AR68" i="2"/>
  <c r="AR70" i="2" s="1"/>
  <c r="AR112" i="2"/>
  <c r="AP123" i="2"/>
  <c r="AP159" i="2"/>
  <c r="AQ74" i="2"/>
  <c r="AQ118" i="2"/>
  <c r="AR74" i="2"/>
  <c r="AR118" i="2"/>
  <c r="AQ112" i="2"/>
  <c r="AR106" i="2"/>
  <c r="AR75" i="2"/>
  <c r="AR71" i="2" s="1"/>
  <c r="AQ158" i="2"/>
  <c r="AQ122" i="2"/>
  <c r="AQ106" i="2"/>
  <c r="AQ75" i="2"/>
  <c r="AP156" i="2"/>
  <c r="AP176" i="2"/>
  <c r="AP184" i="2"/>
  <c r="AP189" i="2" s="1"/>
  <c r="AP166" i="2"/>
  <c r="AR172" i="2"/>
  <c r="AR174" i="2"/>
  <c r="AR198" i="2"/>
  <c r="AR171" i="2"/>
  <c r="AP160" i="2"/>
  <c r="AP124" i="2"/>
  <c r="AR158" i="2"/>
  <c r="AR122" i="2"/>
  <c r="AQ68" i="2"/>
  <c r="AQ70" i="2" s="1"/>
  <c r="AS170" i="2"/>
  <c r="AS102" i="2"/>
  <c r="AW13" i="4"/>
  <c r="AW162" i="3"/>
  <c r="AW22" i="3"/>
  <c r="AW27" i="4"/>
  <c r="AW114" i="3"/>
  <c r="AR142" i="3" l="1"/>
  <c r="AR141" i="3"/>
  <c r="AQ141" i="3"/>
  <c r="AR10" i="4"/>
  <c r="AR12" i="4" s="1"/>
  <c r="AR150" i="3"/>
  <c r="AP143" i="3"/>
  <c r="AR113" i="3"/>
  <c r="AR116" i="3" s="1"/>
  <c r="AQ137" i="3"/>
  <c r="AQ80" i="3"/>
  <c r="AQ85" i="3" s="1"/>
  <c r="AR137" i="3"/>
  <c r="AP183" i="2"/>
  <c r="AP188" i="2" s="1"/>
  <c r="AP165" i="2"/>
  <c r="AQ163" i="2"/>
  <c r="AQ181" i="2"/>
  <c r="AQ186" i="2" s="1"/>
  <c r="AQ161" i="2"/>
  <c r="AQ125" i="2"/>
  <c r="AS67" i="2"/>
  <c r="AS109" i="2"/>
  <c r="AS73" i="2" s="1"/>
  <c r="AS107" i="2"/>
  <c r="AS104" i="2"/>
  <c r="AS81" i="2" s="1"/>
  <c r="AS115" i="2" s="1"/>
  <c r="AR117" i="2"/>
  <c r="AR76" i="2"/>
  <c r="AS171" i="2"/>
  <c r="AS173" i="2"/>
  <c r="AS174" i="2"/>
  <c r="AS198" i="2"/>
  <c r="AS172" i="2"/>
  <c r="AP164" i="2"/>
  <c r="AP182" i="2"/>
  <c r="AP187" i="2" s="1"/>
  <c r="AP98" i="3"/>
  <c r="AP193" i="2"/>
  <c r="AP144" i="3" s="1"/>
  <c r="AP178" i="2"/>
  <c r="AQ113" i="2"/>
  <c r="AQ155" i="2"/>
  <c r="AQ120" i="2"/>
  <c r="AR181" i="2"/>
  <c r="AR186" i="2" s="1"/>
  <c r="AR163" i="2"/>
  <c r="AQ71" i="2"/>
  <c r="AR72" i="2" s="1"/>
  <c r="AQ76" i="2"/>
  <c r="AQ117" i="2"/>
  <c r="AR116" i="2"/>
  <c r="AR69" i="2"/>
  <c r="AR113" i="2"/>
  <c r="AR155" i="2"/>
  <c r="AR120" i="2"/>
  <c r="AW20" i="3"/>
  <c r="AX69" i="3"/>
  <c r="AR125" i="2"/>
  <c r="AR161" i="2"/>
  <c r="AS79" i="3" l="1"/>
  <c r="AQ142" i="3"/>
  <c r="AQ150" i="3"/>
  <c r="AQ113" i="3"/>
  <c r="AQ116" i="3" s="1"/>
  <c r="AQ10" i="4"/>
  <c r="AQ12" i="4" s="1"/>
  <c r="AQ151" i="3"/>
  <c r="AS68" i="2"/>
  <c r="AS70" i="2" s="1"/>
  <c r="AS74" i="2"/>
  <c r="AS118" i="2"/>
  <c r="AS112" i="2"/>
  <c r="AR159" i="2"/>
  <c r="AR123" i="2"/>
  <c r="AR184" i="2"/>
  <c r="AR189" i="2" s="1"/>
  <c r="AR166" i="2"/>
  <c r="AT102" i="2"/>
  <c r="AT170" i="2"/>
  <c r="AX27" i="4"/>
  <c r="AX22" i="3"/>
  <c r="AX13" i="4"/>
  <c r="AX162" i="3"/>
  <c r="AX114" i="3"/>
  <c r="AQ160" i="2"/>
  <c r="AQ124" i="2"/>
  <c r="AQ166" i="2"/>
  <c r="AQ184" i="2"/>
  <c r="AQ189" i="2" s="1"/>
  <c r="AQ156" i="2"/>
  <c r="AQ176" i="2"/>
  <c r="AR160" i="2"/>
  <c r="AR124" i="2"/>
  <c r="AQ69" i="2"/>
  <c r="AQ72" i="2"/>
  <c r="AQ116" i="2"/>
  <c r="AR176" i="2"/>
  <c r="AR156" i="2"/>
  <c r="AS158" i="2"/>
  <c r="AS122" i="2"/>
  <c r="AS75" i="2"/>
  <c r="AS71" i="2" s="1"/>
  <c r="AS106" i="2"/>
  <c r="AS141" i="3" l="1"/>
  <c r="AS137" i="3"/>
  <c r="AS80" i="3"/>
  <c r="AS85" i="3" s="1"/>
  <c r="AR143" i="3"/>
  <c r="AQ143" i="3"/>
  <c r="AT67" i="2"/>
  <c r="AT104" i="2"/>
  <c r="AT81" i="2" s="1"/>
  <c r="AT115" i="2" s="1"/>
  <c r="AT107" i="2"/>
  <c r="AT109" i="2"/>
  <c r="AT73" i="2" s="1"/>
  <c r="AS181" i="2"/>
  <c r="AS186" i="2" s="1"/>
  <c r="AS163" i="2"/>
  <c r="AQ123" i="2"/>
  <c r="AQ159" i="2"/>
  <c r="AT173" i="2"/>
  <c r="AT172" i="2"/>
  <c r="AT171" i="2"/>
  <c r="AT198" i="2"/>
  <c r="AT174" i="2"/>
  <c r="AS69" i="2"/>
  <c r="AS116" i="2"/>
  <c r="AS72" i="2"/>
  <c r="AS161" i="2"/>
  <c r="AS125" i="2"/>
  <c r="AQ183" i="2"/>
  <c r="AQ188" i="2" s="1"/>
  <c r="AQ165" i="2"/>
  <c r="AR183" i="2"/>
  <c r="AR188" i="2" s="1"/>
  <c r="AR165" i="2"/>
  <c r="AR164" i="2"/>
  <c r="AR182" i="2"/>
  <c r="AR187" i="2" s="1"/>
  <c r="AQ98" i="3"/>
  <c r="AQ193" i="2"/>
  <c r="AQ144" i="3" s="1"/>
  <c r="AQ178" i="2"/>
  <c r="AS117" i="2"/>
  <c r="AS76" i="2"/>
  <c r="AX20" i="3"/>
  <c r="AY69" i="3"/>
  <c r="AR193" i="2"/>
  <c r="AR178" i="2"/>
  <c r="AR98" i="3"/>
  <c r="AS113" i="2"/>
  <c r="AS120" i="2"/>
  <c r="AS155" i="2"/>
  <c r="AS10" i="4" l="1"/>
  <c r="AS12" i="4" s="1"/>
  <c r="AS151" i="3"/>
  <c r="AS142" i="3"/>
  <c r="AS150" i="3"/>
  <c r="AS113" i="3"/>
  <c r="AS116" i="3" s="1"/>
  <c r="AT79" i="3"/>
  <c r="AR144" i="3"/>
  <c r="AT68" i="2"/>
  <c r="AT70" i="2" s="1"/>
  <c r="AS123" i="2"/>
  <c r="AS159" i="2"/>
  <c r="AS124" i="2"/>
  <c r="AS160" i="2"/>
  <c r="AT74" i="2"/>
  <c r="AT118" i="2"/>
  <c r="AT106" i="2"/>
  <c r="AT75" i="2"/>
  <c r="AT71" i="2" s="1"/>
  <c r="AS176" i="2"/>
  <c r="AS156" i="2"/>
  <c r="AS166" i="2"/>
  <c r="AS184" i="2"/>
  <c r="AS189" i="2" s="1"/>
  <c r="AT122" i="2"/>
  <c r="AT158" i="2"/>
  <c r="AU170" i="2"/>
  <c r="AU102" i="2"/>
  <c r="AY162" i="3"/>
  <c r="AY27" i="4"/>
  <c r="AY22" i="3"/>
  <c r="AY13" i="4"/>
  <c r="AY114" i="3"/>
  <c r="AQ164" i="2"/>
  <c r="AQ182" i="2"/>
  <c r="AQ187" i="2" s="1"/>
  <c r="AT112" i="2"/>
  <c r="AT80" i="3" l="1"/>
  <c r="AT85" i="3" s="1"/>
  <c r="AT137" i="3"/>
  <c r="AS143" i="3"/>
  <c r="AT141" i="3"/>
  <c r="AT116" i="2"/>
  <c r="AT72" i="2"/>
  <c r="AT69" i="2"/>
  <c r="AU173" i="2"/>
  <c r="AU198" i="2"/>
  <c r="AU171" i="2"/>
  <c r="AU172" i="2"/>
  <c r="AU174" i="2"/>
  <c r="AU107" i="2"/>
  <c r="AU104" i="2"/>
  <c r="AU81" i="2" s="1"/>
  <c r="AU115" i="2" s="1"/>
  <c r="AU67" i="2"/>
  <c r="AU109" i="2"/>
  <c r="AU73" i="2" s="1"/>
  <c r="AT161" i="2"/>
  <c r="AT125" i="2"/>
  <c r="AT163" i="2"/>
  <c r="AT181" i="2"/>
  <c r="AT186" i="2" s="1"/>
  <c r="AS165" i="2"/>
  <c r="AS183" i="2"/>
  <c r="AS188" i="2" s="1"/>
  <c r="AT155" i="2"/>
  <c r="AT120" i="2"/>
  <c r="AT113" i="2"/>
  <c r="AS178" i="2"/>
  <c r="AS98" i="3"/>
  <c r="AS193" i="2"/>
  <c r="AS144" i="3" s="1"/>
  <c r="AS182" i="2"/>
  <c r="AS187" i="2" s="1"/>
  <c r="AS164" i="2"/>
  <c r="AY20" i="3"/>
  <c r="AZ69" i="3"/>
  <c r="AT76" i="2"/>
  <c r="AT117" i="2"/>
  <c r="AU79" i="3" l="1"/>
  <c r="AT10" i="4"/>
  <c r="AT12" i="4" s="1"/>
  <c r="AT113" i="3"/>
  <c r="AT116" i="3" s="1"/>
  <c r="AT151" i="3"/>
  <c r="AT142" i="3"/>
  <c r="AT150" i="3"/>
  <c r="AU68" i="2"/>
  <c r="AU70" i="2" s="1"/>
  <c r="AT166" i="2"/>
  <c r="AT184" i="2"/>
  <c r="AT189" i="2" s="1"/>
  <c r="AT160" i="2"/>
  <c r="AT124" i="2"/>
  <c r="AU75" i="2"/>
  <c r="AU71" i="2" s="1"/>
  <c r="AU106" i="2"/>
  <c r="AV102" i="2"/>
  <c r="AV170" i="2"/>
  <c r="AZ13" i="4"/>
  <c r="AZ22" i="3"/>
  <c r="AZ162" i="3"/>
  <c r="AZ27" i="4"/>
  <c r="AZ114" i="3"/>
  <c r="AT123" i="2"/>
  <c r="AT159" i="2"/>
  <c r="AT176" i="2"/>
  <c r="AT156" i="2"/>
  <c r="AU74" i="2"/>
  <c r="AU118" i="2"/>
  <c r="AU112" i="2"/>
  <c r="AU122" i="2"/>
  <c r="AU158" i="2"/>
  <c r="AT143" i="3" l="1"/>
  <c r="AU137" i="3"/>
  <c r="AU80" i="3"/>
  <c r="AU85" i="3" s="1"/>
  <c r="AU141" i="3"/>
  <c r="AU163" i="2"/>
  <c r="AU181" i="2"/>
  <c r="AU186" i="2" s="1"/>
  <c r="AT193" i="2"/>
  <c r="AT144" i="3" s="1"/>
  <c r="AT178" i="2"/>
  <c r="AT98" i="3"/>
  <c r="AV198" i="2"/>
  <c r="AV172" i="2"/>
  <c r="AV173" i="2"/>
  <c r="AV174" i="2"/>
  <c r="AV171" i="2"/>
  <c r="AT182" i="2"/>
  <c r="AT187" i="2" s="1"/>
  <c r="AT164" i="2"/>
  <c r="AV67" i="2"/>
  <c r="AV68" i="2" s="1"/>
  <c r="AV70" i="2" s="1"/>
  <c r="AV107" i="2"/>
  <c r="AV104" i="2"/>
  <c r="AV81" i="2" s="1"/>
  <c r="AV115" i="2" s="1"/>
  <c r="AV109" i="2"/>
  <c r="AV73" i="2" s="1"/>
  <c r="AU120" i="2"/>
  <c r="AU113" i="2"/>
  <c r="AU155" i="2"/>
  <c r="AU76" i="2"/>
  <c r="AU117" i="2"/>
  <c r="AU72" i="2"/>
  <c r="AU69" i="2"/>
  <c r="AU116" i="2"/>
  <c r="AU125" i="2"/>
  <c r="AU161" i="2"/>
  <c r="AT165" i="2"/>
  <c r="AT183" i="2"/>
  <c r="AT188" i="2" s="1"/>
  <c r="BA69" i="3"/>
  <c r="BA22" i="3" s="1"/>
  <c r="AZ20" i="3"/>
  <c r="AV79" i="3" l="1"/>
  <c r="AU142" i="3"/>
  <c r="AU10" i="4"/>
  <c r="AU12" i="4" s="1"/>
  <c r="AU151" i="3"/>
  <c r="AU150" i="3"/>
  <c r="AU113" i="3"/>
  <c r="AU116" i="3" s="1"/>
  <c r="AV106" i="2"/>
  <c r="AV75" i="2"/>
  <c r="AV71" i="2" s="1"/>
  <c r="AU184" i="2"/>
  <c r="AU189" i="2" s="1"/>
  <c r="AU166" i="2"/>
  <c r="AU176" i="2"/>
  <c r="AU156" i="2"/>
  <c r="AV112" i="2"/>
  <c r="AU159" i="2"/>
  <c r="AU123" i="2"/>
  <c r="BA20" i="3"/>
  <c r="BB69" i="3"/>
  <c r="BB22" i="3" s="1"/>
  <c r="AW170" i="2"/>
  <c r="AW102" i="2"/>
  <c r="BA162" i="3"/>
  <c r="BA13" i="4"/>
  <c r="BA114" i="3"/>
  <c r="BA27" i="4"/>
  <c r="AU124" i="2"/>
  <c r="AU160" i="2"/>
  <c r="AV118" i="2"/>
  <c r="AV74" i="2"/>
  <c r="AV158" i="2"/>
  <c r="AV122" i="2"/>
  <c r="AV141" i="3" l="1"/>
  <c r="AU143" i="3"/>
  <c r="AV137" i="3"/>
  <c r="AV80" i="3"/>
  <c r="AV85" i="3" s="1"/>
  <c r="AV69" i="2"/>
  <c r="AV116" i="2"/>
  <c r="AV72" i="2"/>
  <c r="AW67" i="2"/>
  <c r="AW109" i="2"/>
  <c r="AW73" i="2" s="1"/>
  <c r="AW107" i="2"/>
  <c r="AW104" i="2"/>
  <c r="AW81" i="2" s="1"/>
  <c r="AW115" i="2" s="1"/>
  <c r="BB20" i="3"/>
  <c r="BC69" i="3"/>
  <c r="AU98" i="3"/>
  <c r="AU178" i="2"/>
  <c r="AU193" i="2"/>
  <c r="AU144" i="3" s="1"/>
  <c r="AV181" i="2"/>
  <c r="AV186" i="2" s="1"/>
  <c r="AV163" i="2"/>
  <c r="AV125" i="2"/>
  <c r="AV161" i="2"/>
  <c r="AW173" i="2"/>
  <c r="AW174" i="2"/>
  <c r="AW198" i="2"/>
  <c r="AW171" i="2"/>
  <c r="AW172" i="2"/>
  <c r="AX102" i="2"/>
  <c r="AX170" i="2"/>
  <c r="BB162" i="3"/>
  <c r="BB13" i="4"/>
  <c r="BB114" i="3"/>
  <c r="BB27" i="4"/>
  <c r="AU183" i="2"/>
  <c r="AU188" i="2" s="1"/>
  <c r="AU165" i="2"/>
  <c r="AV155" i="2"/>
  <c r="AV120" i="2"/>
  <c r="AV113" i="2"/>
  <c r="AV76" i="2"/>
  <c r="AV117" i="2"/>
  <c r="AU182" i="2"/>
  <c r="AU187" i="2" s="1"/>
  <c r="AU164" i="2"/>
  <c r="AW79" i="3" l="1"/>
  <c r="AV142" i="3"/>
  <c r="AV10" i="4"/>
  <c r="AV12" i="4" s="1"/>
  <c r="AV150" i="3"/>
  <c r="AV113" i="3"/>
  <c r="AV116" i="3" s="1"/>
  <c r="AV151" i="3"/>
  <c r="AW75" i="2"/>
  <c r="AW71" i="2" s="1"/>
  <c r="AW106" i="2"/>
  <c r="AV124" i="2"/>
  <c r="AV160" i="2"/>
  <c r="AW118" i="2"/>
  <c r="AW74" i="2"/>
  <c r="AW112" i="2"/>
  <c r="AV184" i="2"/>
  <c r="AV189" i="2" s="1"/>
  <c r="AV166" i="2"/>
  <c r="AY102" i="2"/>
  <c r="AY170" i="2"/>
  <c r="BC27" i="4"/>
  <c r="BC13" i="4"/>
  <c r="BC114" i="3"/>
  <c r="BC162" i="3"/>
  <c r="BC22" i="3"/>
  <c r="AV123" i="2"/>
  <c r="AV159" i="2"/>
  <c r="AX171" i="2"/>
  <c r="AX174" i="2"/>
  <c r="AX198" i="2"/>
  <c r="AX173" i="2"/>
  <c r="AX172" i="2"/>
  <c r="AV156" i="2"/>
  <c r="AV176" i="2"/>
  <c r="AX104" i="2"/>
  <c r="AX81" i="2" s="1"/>
  <c r="AX115" i="2" s="1"/>
  <c r="AX109" i="2"/>
  <c r="AX73" i="2" s="1"/>
  <c r="AX67" i="2"/>
  <c r="AX79" i="3" s="1"/>
  <c r="AX107" i="2"/>
  <c r="AW68" i="2"/>
  <c r="AW70" i="2" s="1"/>
  <c r="AW158" i="2"/>
  <c r="AW122" i="2"/>
  <c r="AX137" i="3" l="1"/>
  <c r="AX80" i="3"/>
  <c r="AX85" i="3" s="1"/>
  <c r="AV143" i="3"/>
  <c r="AW141" i="3"/>
  <c r="AW137" i="3"/>
  <c r="AW80" i="3"/>
  <c r="AW85" i="3" s="1"/>
  <c r="AW69" i="2"/>
  <c r="AW116" i="2"/>
  <c r="AW72" i="2"/>
  <c r="AW163" i="2"/>
  <c r="AW181" i="2"/>
  <c r="AW186" i="2" s="1"/>
  <c r="AX106" i="2"/>
  <c r="AX75" i="2"/>
  <c r="AX71" i="2" s="1"/>
  <c r="AW113" i="2"/>
  <c r="AW120" i="2"/>
  <c r="AW155" i="2"/>
  <c r="AX118" i="2"/>
  <c r="AX74" i="2"/>
  <c r="AY173" i="2"/>
  <c r="AY198" i="2"/>
  <c r="AY174" i="2"/>
  <c r="AY171" i="2"/>
  <c r="AY172" i="2"/>
  <c r="AX122" i="2"/>
  <c r="AX158" i="2"/>
  <c r="AV182" i="2"/>
  <c r="AV187" i="2" s="1"/>
  <c r="AV164" i="2"/>
  <c r="AY104" i="2"/>
  <c r="AY81" i="2" s="1"/>
  <c r="AY115" i="2" s="1"/>
  <c r="AY109" i="2"/>
  <c r="AY73" i="2" s="1"/>
  <c r="AY67" i="2"/>
  <c r="AY107" i="2"/>
  <c r="AW125" i="2"/>
  <c r="AW161" i="2"/>
  <c r="AV193" i="2"/>
  <c r="AV144" i="3" s="1"/>
  <c r="AV98" i="3"/>
  <c r="AV178" i="2"/>
  <c r="AV183" i="2"/>
  <c r="AV188" i="2" s="1"/>
  <c r="AV165" i="2"/>
  <c r="AX112" i="2"/>
  <c r="AX141" i="3" s="1"/>
  <c r="BC20" i="3"/>
  <c r="BD69" i="3"/>
  <c r="AX68" i="2"/>
  <c r="AX70" i="2" s="1"/>
  <c r="AW76" i="2"/>
  <c r="AW117" i="2"/>
  <c r="AY79" i="3" l="1"/>
  <c r="AX151" i="3"/>
  <c r="AX142" i="3"/>
  <c r="AX113" i="3"/>
  <c r="AX116" i="3" s="1"/>
  <c r="AX10" i="4"/>
  <c r="AX12" i="4" s="1"/>
  <c r="AX150" i="3"/>
  <c r="BD102" i="2"/>
  <c r="BD170" i="2"/>
  <c r="BD198" i="2" s="1"/>
  <c r="AW142" i="3"/>
  <c r="AW113" i="3"/>
  <c r="AW116" i="3" s="1"/>
  <c r="AW150" i="3"/>
  <c r="AW151" i="3"/>
  <c r="AW10" i="4"/>
  <c r="AW12" i="4" s="1"/>
  <c r="BC170" i="2"/>
  <c r="BC198" i="2" s="1"/>
  <c r="BC102" i="2"/>
  <c r="BB102" i="2"/>
  <c r="BB170" i="2"/>
  <c r="BB198" i="2" s="1"/>
  <c r="BA170" i="2"/>
  <c r="BA198" i="2" s="1"/>
  <c r="BA102" i="2"/>
  <c r="AX72" i="2"/>
  <c r="AX69" i="2"/>
  <c r="AX116" i="2"/>
  <c r="AZ170" i="2"/>
  <c r="AZ174" i="2" s="1"/>
  <c r="BD13" i="4"/>
  <c r="AZ102" i="2"/>
  <c r="BD114" i="3"/>
  <c r="BD162" i="3"/>
  <c r="BD22" i="3"/>
  <c r="BD20" i="3" s="1"/>
  <c r="BD27" i="4"/>
  <c r="AY158" i="2"/>
  <c r="AY122" i="2"/>
  <c r="AX117" i="2"/>
  <c r="AX76" i="2"/>
  <c r="AW184" i="2"/>
  <c r="AW189" i="2" s="1"/>
  <c r="AW166" i="2"/>
  <c r="AW124" i="2"/>
  <c r="AW160" i="2"/>
  <c r="AX120" i="2"/>
  <c r="AX113" i="2"/>
  <c r="AX155" i="2"/>
  <c r="AX163" i="2"/>
  <c r="AX181" i="2"/>
  <c r="AX186" i="2" s="1"/>
  <c r="AY75" i="2"/>
  <c r="AY71" i="2" s="1"/>
  <c r="AY106" i="2"/>
  <c r="AX125" i="2"/>
  <c r="AX161" i="2"/>
  <c r="AY112" i="2"/>
  <c r="AY141" i="3" s="1"/>
  <c r="AY68" i="2"/>
  <c r="AY70" i="2" s="1"/>
  <c r="AW156" i="2"/>
  <c r="AW176" i="2"/>
  <c r="AW159" i="2"/>
  <c r="AW123" i="2"/>
  <c r="AY74" i="2"/>
  <c r="AY118" i="2"/>
  <c r="AZ172" i="2" l="1"/>
  <c r="BA172" i="2" s="1"/>
  <c r="BB172" i="2" s="1"/>
  <c r="BC172" i="2" s="1"/>
  <c r="BD172" i="2" s="1"/>
  <c r="AY80" i="3"/>
  <c r="AY85" i="3" s="1"/>
  <c r="AY137" i="3"/>
  <c r="BD109" i="2"/>
  <c r="BD73" i="2" s="1"/>
  <c r="BD107" i="2"/>
  <c r="BD104" i="2"/>
  <c r="BD81" i="2" s="1"/>
  <c r="BD115" i="2" s="1"/>
  <c r="BD67" i="2"/>
  <c r="AW143" i="3"/>
  <c r="BA174" i="2"/>
  <c r="BB174" i="2" s="1"/>
  <c r="BC174" i="2" s="1"/>
  <c r="BD174" i="2" s="1"/>
  <c r="BC107" i="2"/>
  <c r="BC109" i="2"/>
  <c r="BC73" i="2" s="1"/>
  <c r="BC104" i="2"/>
  <c r="BC81" i="2" s="1"/>
  <c r="BC115" i="2" s="1"/>
  <c r="BC67" i="2"/>
  <c r="BB109" i="2"/>
  <c r="BB73" i="2" s="1"/>
  <c r="BB104" i="2"/>
  <c r="BB81" i="2" s="1"/>
  <c r="BB115" i="2" s="1"/>
  <c r="BB67" i="2"/>
  <c r="BB107" i="2"/>
  <c r="BA67" i="2"/>
  <c r="BA107" i="2"/>
  <c r="BA109" i="2"/>
  <c r="BA73" i="2" s="1"/>
  <c r="BA104" i="2"/>
  <c r="BA81" i="2" s="1"/>
  <c r="BA115" i="2" s="1"/>
  <c r="AY125" i="2"/>
  <c r="AY161" i="2"/>
  <c r="AZ67" i="2"/>
  <c r="AZ109" i="2"/>
  <c r="AZ73" i="2" s="1"/>
  <c r="AZ107" i="2"/>
  <c r="AZ104" i="2"/>
  <c r="AZ81" i="2" s="1"/>
  <c r="AZ115" i="2" s="1"/>
  <c r="AY120" i="2"/>
  <c r="AY155" i="2"/>
  <c r="AY113" i="2"/>
  <c r="AX176" i="2"/>
  <c r="AX143" i="3" s="1"/>
  <c r="AX156" i="2"/>
  <c r="AX124" i="2"/>
  <c r="AX160" i="2"/>
  <c r="AY69" i="2"/>
  <c r="AY72" i="2"/>
  <c r="AY116" i="2"/>
  <c r="AY117" i="2"/>
  <c r="AY76" i="2"/>
  <c r="AZ171" i="2"/>
  <c r="BA171" i="2" s="1"/>
  <c r="BB171" i="2" s="1"/>
  <c r="BC171" i="2" s="1"/>
  <c r="BD171" i="2" s="1"/>
  <c r="AZ198" i="2"/>
  <c r="AX166" i="2"/>
  <c r="AX184" i="2"/>
  <c r="AX189" i="2" s="1"/>
  <c r="AW164" i="2"/>
  <c r="AW182" i="2"/>
  <c r="AW187" i="2" s="1"/>
  <c r="AX123" i="2"/>
  <c r="AX159" i="2"/>
  <c r="AW178" i="2"/>
  <c r="AW193" i="2"/>
  <c r="AW144" i="3" s="1"/>
  <c r="AW98" i="3"/>
  <c r="AW183" i="2"/>
  <c r="AW188" i="2" s="1"/>
  <c r="AW165" i="2"/>
  <c r="AY181" i="2"/>
  <c r="AY186" i="2" s="1"/>
  <c r="AY163" i="2"/>
  <c r="AZ173" i="2"/>
  <c r="BA173" i="2" s="1"/>
  <c r="BB173" i="2" s="1"/>
  <c r="BC173" i="2" s="1"/>
  <c r="BD173" i="2" s="1"/>
  <c r="BD158" i="2" l="1"/>
  <c r="BD163" i="2" s="1"/>
  <c r="BD122" i="2"/>
  <c r="BA79" i="3"/>
  <c r="BA80" i="3" s="1"/>
  <c r="BA85" i="3" s="1"/>
  <c r="AZ79" i="3"/>
  <c r="BD106" i="2"/>
  <c r="BD75" i="2"/>
  <c r="BD74" i="2"/>
  <c r="BD118" i="2"/>
  <c r="AY150" i="3"/>
  <c r="AY142" i="3"/>
  <c r="AY151" i="3"/>
  <c r="AY10" i="4"/>
  <c r="AY12" i="4" s="1"/>
  <c r="AY113" i="3"/>
  <c r="AY116" i="3" s="1"/>
  <c r="BD68" i="2"/>
  <c r="BD70" i="2" s="1"/>
  <c r="BD112" i="2"/>
  <c r="BC68" i="2"/>
  <c r="BC70" i="2" s="1"/>
  <c r="BC112" i="2"/>
  <c r="BC158" i="2"/>
  <c r="BC163" i="2" s="1"/>
  <c r="BC122" i="2"/>
  <c r="BC118" i="2"/>
  <c r="BC74" i="2"/>
  <c r="BC106" i="2"/>
  <c r="BC75" i="2"/>
  <c r="BC79" i="3"/>
  <c r="BB79" i="3"/>
  <c r="BB106" i="2"/>
  <c r="BB75" i="2"/>
  <c r="BB112" i="2"/>
  <c r="BB68" i="2"/>
  <c r="BB70" i="2" s="1"/>
  <c r="BB158" i="2"/>
  <c r="BB163" i="2" s="1"/>
  <c r="BB122" i="2"/>
  <c r="BB118" i="2"/>
  <c r="BB74" i="2"/>
  <c r="BA158" i="2"/>
  <c r="BA163" i="2" s="1"/>
  <c r="BA122" i="2"/>
  <c r="BA74" i="2"/>
  <c r="BA118" i="2"/>
  <c r="BA106" i="2"/>
  <c r="BA75" i="2"/>
  <c r="BA68" i="2"/>
  <c r="BA70" i="2" s="1"/>
  <c r="BA112" i="2"/>
  <c r="AZ158" i="2"/>
  <c r="AZ122" i="2"/>
  <c r="AZ75" i="2"/>
  <c r="AZ106" i="2"/>
  <c r="AY124" i="2"/>
  <c r="AY160" i="2"/>
  <c r="AZ112" i="2"/>
  <c r="BD79" i="3"/>
  <c r="AX193" i="2"/>
  <c r="AX144" i="3" s="1"/>
  <c r="AX98" i="3"/>
  <c r="AX178" i="2"/>
  <c r="AZ118" i="2"/>
  <c r="AZ74" i="2"/>
  <c r="AY123" i="2"/>
  <c r="AY159" i="2"/>
  <c r="AX182" i="2"/>
  <c r="AX187" i="2" s="1"/>
  <c r="AX164" i="2"/>
  <c r="AY156" i="2"/>
  <c r="AY176" i="2"/>
  <c r="AY143" i="3" s="1"/>
  <c r="AY184" i="2"/>
  <c r="AY189" i="2" s="1"/>
  <c r="AY166" i="2"/>
  <c r="AX183" i="2"/>
  <c r="AX188" i="2" s="1"/>
  <c r="AX165" i="2"/>
  <c r="AZ68" i="2"/>
  <c r="AZ70" i="2" s="1"/>
  <c r="BD181" i="2" l="1"/>
  <c r="BD186" i="2" s="1"/>
  <c r="S15" i="6" s="1"/>
  <c r="BD71" i="2"/>
  <c r="BD76" i="2"/>
  <c r="BD117" i="2"/>
  <c r="AZ80" i="3"/>
  <c r="AZ85" i="3" s="1"/>
  <c r="AZ137" i="3"/>
  <c r="BA137" i="3"/>
  <c r="BD125" i="2"/>
  <c r="BD161" i="2"/>
  <c r="BA141" i="3"/>
  <c r="AZ141" i="3"/>
  <c r="BC181" i="2"/>
  <c r="BC186" i="2" s="1"/>
  <c r="BD155" i="2"/>
  <c r="BD120" i="2"/>
  <c r="BD113" i="2"/>
  <c r="BA151" i="3"/>
  <c r="BA10" i="4"/>
  <c r="BA12" i="4" s="1"/>
  <c r="BA150" i="3"/>
  <c r="BA113" i="3"/>
  <c r="BA116" i="3" s="1"/>
  <c r="BA142" i="3"/>
  <c r="BC125" i="2"/>
  <c r="BC161" i="2"/>
  <c r="BA181" i="2"/>
  <c r="BA186" i="2" s="1"/>
  <c r="BC71" i="2"/>
  <c r="BC117" i="2"/>
  <c r="BC76" i="2"/>
  <c r="BC155" i="2"/>
  <c r="BC113" i="2"/>
  <c r="BC120" i="2"/>
  <c r="BB155" i="2"/>
  <c r="BB120" i="2"/>
  <c r="BB113" i="2"/>
  <c r="BB117" i="2"/>
  <c r="BB76" i="2"/>
  <c r="BB181" i="2"/>
  <c r="BB186" i="2" s="1"/>
  <c r="BC141" i="3"/>
  <c r="BB141" i="3"/>
  <c r="BB71" i="2"/>
  <c r="BB80" i="3"/>
  <c r="BB85" i="3" s="1"/>
  <c r="BB137" i="3"/>
  <c r="BB125" i="2"/>
  <c r="BB161" i="2"/>
  <c r="BC80" i="3"/>
  <c r="BC85" i="3" s="1"/>
  <c r="BC137" i="3"/>
  <c r="BA113" i="2"/>
  <c r="BA120" i="2"/>
  <c r="BA155" i="2"/>
  <c r="BA117" i="2"/>
  <c r="BA76" i="2"/>
  <c r="BA71" i="2"/>
  <c r="BA125" i="2"/>
  <c r="BA161" i="2"/>
  <c r="AZ161" i="2"/>
  <c r="AZ125" i="2"/>
  <c r="AZ113" i="2"/>
  <c r="AZ155" i="2"/>
  <c r="AZ120" i="2"/>
  <c r="BD141" i="3"/>
  <c r="AY164" i="2"/>
  <c r="AY182" i="2"/>
  <c r="AY187" i="2" s="1"/>
  <c r="AY165" i="2"/>
  <c r="AY183" i="2"/>
  <c r="AY188" i="2" s="1"/>
  <c r="AZ117" i="2"/>
  <c r="AZ76" i="2"/>
  <c r="AY98" i="3"/>
  <c r="AY178" i="2"/>
  <c r="AY193" i="2"/>
  <c r="AY144" i="3" s="1"/>
  <c r="AZ71" i="2"/>
  <c r="BD137" i="3"/>
  <c r="BD80" i="3"/>
  <c r="BD85" i="3" s="1"/>
  <c r="AZ163" i="2"/>
  <c r="AZ181" i="2"/>
  <c r="AZ186" i="2" s="1"/>
  <c r="BD156" i="2" l="1"/>
  <c r="BD176" i="2"/>
  <c r="AZ151" i="3"/>
  <c r="AZ113" i="3"/>
  <c r="AZ116" i="3" s="1"/>
  <c r="AZ142" i="3"/>
  <c r="AZ150" i="3"/>
  <c r="AZ10" i="4"/>
  <c r="AZ12" i="4" s="1"/>
  <c r="BD124" i="2"/>
  <c r="BD160" i="2"/>
  <c r="BD166" i="2"/>
  <c r="BD184" i="2"/>
  <c r="BD189" i="2" s="1"/>
  <c r="S18" i="6" s="1"/>
  <c r="BD69" i="2"/>
  <c r="BD116" i="2"/>
  <c r="BC166" i="2"/>
  <c r="BC184" i="2"/>
  <c r="BC189" i="2" s="1"/>
  <c r="BC156" i="2"/>
  <c r="BC176" i="2"/>
  <c r="BC160" i="2"/>
  <c r="BC124" i="2"/>
  <c r="BC116" i="2"/>
  <c r="BC69" i="2"/>
  <c r="BD72" i="2"/>
  <c r="BC150" i="3"/>
  <c r="BC113" i="3"/>
  <c r="BC116" i="3" s="1"/>
  <c r="BC142" i="3"/>
  <c r="BC151" i="3"/>
  <c r="BC10" i="4"/>
  <c r="BC12" i="4" s="1"/>
  <c r="BB166" i="2"/>
  <c r="BB184" i="2"/>
  <c r="BB189" i="2" s="1"/>
  <c r="BB124" i="2"/>
  <c r="BB160" i="2"/>
  <c r="BB150" i="3"/>
  <c r="BB10" i="4"/>
  <c r="BB12" i="4" s="1"/>
  <c r="BB142" i="3"/>
  <c r="BB151" i="3"/>
  <c r="BB113" i="3"/>
  <c r="BB116" i="3" s="1"/>
  <c r="BB69" i="2"/>
  <c r="BB116" i="2"/>
  <c r="BC72" i="2"/>
  <c r="BB176" i="2"/>
  <c r="BB156" i="2"/>
  <c r="BA166" i="2"/>
  <c r="BA184" i="2"/>
  <c r="BA189" i="2" s="1"/>
  <c r="BA69" i="2"/>
  <c r="BB72" i="2"/>
  <c r="BA116" i="2"/>
  <c r="BA124" i="2"/>
  <c r="BA160" i="2"/>
  <c r="BA156" i="2"/>
  <c r="BA176" i="2"/>
  <c r="AZ69" i="2"/>
  <c r="AZ72" i="2"/>
  <c r="AZ116" i="2"/>
  <c r="BA72" i="2"/>
  <c r="AZ156" i="2"/>
  <c r="AZ176" i="2"/>
  <c r="BD142" i="3"/>
  <c r="BD113" i="3"/>
  <c r="BD116" i="3" s="1"/>
  <c r="BD10" i="4"/>
  <c r="BD12" i="4" s="1"/>
  <c r="BD150" i="3"/>
  <c r="BD151" i="3"/>
  <c r="AZ124" i="2"/>
  <c r="AZ160" i="2"/>
  <c r="AZ184" i="2"/>
  <c r="AZ189" i="2" s="1"/>
  <c r="AZ166" i="2"/>
  <c r="BA143" i="3" l="1"/>
  <c r="AZ143" i="3"/>
  <c r="BD165" i="2"/>
  <c r="BD183" i="2"/>
  <c r="BD188" i="2" s="1"/>
  <c r="S17" i="6" s="1"/>
  <c r="BD123" i="2"/>
  <c r="BD159" i="2"/>
  <c r="BD193" i="2"/>
  <c r="BD178" i="2"/>
  <c r="BD98" i="3"/>
  <c r="BC159" i="2"/>
  <c r="BC123" i="2"/>
  <c r="BC165" i="2"/>
  <c r="BC183" i="2"/>
  <c r="BC188" i="2" s="1"/>
  <c r="BC98" i="3"/>
  <c r="BC193" i="2"/>
  <c r="BC178" i="2"/>
  <c r="BB123" i="2"/>
  <c r="BB159" i="2"/>
  <c r="BC143" i="3"/>
  <c r="BB143" i="3"/>
  <c r="BB98" i="3"/>
  <c r="BB178" i="2"/>
  <c r="BB193" i="2"/>
  <c r="BB144" i="3" s="1"/>
  <c r="BB165" i="2"/>
  <c r="BB183" i="2"/>
  <c r="BB188" i="2" s="1"/>
  <c r="BA123" i="2"/>
  <c r="BA159" i="2"/>
  <c r="BA165" i="2"/>
  <c r="BA183" i="2"/>
  <c r="BA188" i="2" s="1"/>
  <c r="BA193" i="2"/>
  <c r="BA144" i="3" s="1"/>
  <c r="BA98" i="3"/>
  <c r="BA178" i="2"/>
  <c r="AZ178" i="2"/>
  <c r="AZ98" i="3"/>
  <c r="AZ193" i="2"/>
  <c r="BD143" i="3"/>
  <c r="AZ165" i="2"/>
  <c r="AZ183" i="2"/>
  <c r="AZ188" i="2" s="1"/>
  <c r="AZ159" i="2"/>
  <c r="AZ123" i="2"/>
  <c r="BD164" i="2" l="1"/>
  <c r="BD182" i="2"/>
  <c r="BD187" i="2" s="1"/>
  <c r="S16" i="6" s="1"/>
  <c r="BC164" i="2"/>
  <c r="BC182" i="2"/>
  <c r="BC187" i="2" s="1"/>
  <c r="BC144" i="3"/>
  <c r="BB164" i="2"/>
  <c r="BB182" i="2"/>
  <c r="BB187" i="2" s="1"/>
  <c r="BA164" i="2"/>
  <c r="BA182" i="2"/>
  <c r="BA187" i="2" s="1"/>
  <c r="AZ164" i="2"/>
  <c r="AZ182" i="2"/>
  <c r="AZ187" i="2" s="1"/>
  <c r="AZ144" i="3"/>
  <c r="BD144" i="3"/>
  <c r="N5" i="4" l="1"/>
  <c r="N6" i="4" s="1"/>
  <c r="N152" i="3"/>
  <c r="D44" i="6" s="1"/>
  <c r="N170" i="3"/>
  <c r="D33" i="6" s="1"/>
  <c r="N155" i="3"/>
  <c r="N169" i="3"/>
  <c r="D32" i="6" s="1"/>
  <c r="N156" i="3"/>
  <c r="N167" i="3"/>
  <c r="D30" i="6" s="1"/>
  <c r="N3" i="3" l="1"/>
  <c r="N161" i="3"/>
  <c r="N158" i="3"/>
  <c r="N2" i="4"/>
  <c r="N41" i="3"/>
  <c r="O41" i="3" s="1"/>
  <c r="P41" i="3" s="1"/>
  <c r="Q41" i="3" s="1"/>
  <c r="R41" i="3" s="1"/>
  <c r="S41" i="3" s="1"/>
  <c r="T41" i="3" s="1"/>
  <c r="U41" i="3" s="1"/>
  <c r="V41" i="3" s="1"/>
  <c r="W41" i="3" s="1"/>
  <c r="X41" i="3" s="1"/>
  <c r="Y41" i="3" s="1"/>
  <c r="Z41" i="3" s="1"/>
  <c r="AA41" i="3" s="1"/>
  <c r="AB41" i="3" s="1"/>
  <c r="AC41" i="3" s="1"/>
  <c r="AD41" i="3" s="1"/>
  <c r="AE41" i="3" s="1"/>
  <c r="AF41" i="3" s="1"/>
  <c r="AG41" i="3" s="1"/>
  <c r="AH41" i="3" s="1"/>
  <c r="AI41" i="3" s="1"/>
  <c r="AJ41" i="3" s="1"/>
  <c r="AK41" i="3" s="1"/>
  <c r="AL41" i="3" s="1"/>
  <c r="AM41" i="3" s="1"/>
  <c r="AN41" i="3" s="1"/>
  <c r="AO41" i="3" s="1"/>
  <c r="AP41" i="3" s="1"/>
  <c r="AQ41" i="3" s="1"/>
  <c r="AR41" i="3" s="1"/>
  <c r="AS41" i="3" s="1"/>
  <c r="AT41" i="3" s="1"/>
  <c r="AU41" i="3" s="1"/>
  <c r="AV41" i="3" s="1"/>
  <c r="AW41" i="3" s="1"/>
  <c r="AX41" i="3" s="1"/>
  <c r="AY41" i="3" s="1"/>
  <c r="AZ41" i="3" s="1"/>
  <c r="BA41" i="3" s="1"/>
  <c r="BB41" i="3" s="1"/>
  <c r="BC41" i="3" s="1"/>
  <c r="BD41" i="3" s="1"/>
  <c r="N40" i="3"/>
  <c r="O40" i="3" s="1"/>
  <c r="O31" i="3"/>
  <c r="N31" i="3"/>
  <c r="N30" i="3"/>
  <c r="P31" i="3" l="1"/>
  <c r="N157" i="3"/>
  <c r="O39" i="3"/>
  <c r="O38" i="3" s="1"/>
  <c r="P40" i="3"/>
  <c r="O30" i="3"/>
  <c r="O29" i="3" l="1"/>
  <c r="P30" i="3"/>
  <c r="P39" i="3"/>
  <c r="P38" i="3" s="1"/>
  <c r="Q40" i="3"/>
  <c r="N126" i="3"/>
  <c r="Q31" i="3"/>
  <c r="N124" i="3" l="1"/>
  <c r="N125" i="3" s="1"/>
  <c r="Q39" i="3"/>
  <c r="Q38" i="3" s="1"/>
  <c r="R40" i="3"/>
  <c r="O157" i="3"/>
  <c r="P88" i="3"/>
  <c r="P29" i="3"/>
  <c r="Q30" i="3"/>
  <c r="R31" i="3"/>
  <c r="O65" i="3"/>
  <c r="S31" i="3" l="1"/>
  <c r="P65" i="3"/>
  <c r="O126" i="3"/>
  <c r="N173" i="3"/>
  <c r="D36" i="6" s="1"/>
  <c r="N127" i="3"/>
  <c r="O128" i="3"/>
  <c r="O64" i="3"/>
  <c r="O2" i="4" s="1"/>
  <c r="R39" i="3"/>
  <c r="R38" i="3" s="1"/>
  <c r="S40" i="3"/>
  <c r="Q88" i="3"/>
  <c r="Q29" i="3"/>
  <c r="R30" i="3"/>
  <c r="Q65" i="3" l="1"/>
  <c r="N131" i="3"/>
  <c r="N172" i="3"/>
  <c r="D35" i="6" s="1"/>
  <c r="P128" i="3"/>
  <c r="P64" i="3"/>
  <c r="P106" i="3" s="1"/>
  <c r="D21" i="6"/>
  <c r="N166" i="3"/>
  <c r="D29" i="6" s="1"/>
  <c r="N138" i="3"/>
  <c r="N149" i="3"/>
  <c r="D41" i="6" s="1"/>
  <c r="N148" i="3"/>
  <c r="D40" i="6" s="1"/>
  <c r="N145" i="3"/>
  <c r="N26" i="4"/>
  <c r="N30" i="4" s="1"/>
  <c r="T31" i="3"/>
  <c r="S39" i="3"/>
  <c r="S38" i="3" s="1"/>
  <c r="T40" i="3"/>
  <c r="O124" i="3"/>
  <c r="O125" i="3" s="1"/>
  <c r="R88" i="3"/>
  <c r="R29" i="3"/>
  <c r="S30" i="3"/>
  <c r="R65" i="3" l="1"/>
  <c r="O127" i="3"/>
  <c r="T39" i="3"/>
  <c r="T38" i="3" s="1"/>
  <c r="U40" i="3"/>
  <c r="D26" i="6"/>
  <c r="U31" i="3"/>
  <c r="O130" i="3"/>
  <c r="N171" i="3"/>
  <c r="D34" i="6" s="1"/>
  <c r="Q128" i="3"/>
  <c r="Q64" i="3"/>
  <c r="Q106" i="3" s="1"/>
  <c r="S88" i="3"/>
  <c r="S29" i="3"/>
  <c r="T30" i="3"/>
  <c r="U39" i="3" l="1"/>
  <c r="U38" i="3" s="1"/>
  <c r="V40" i="3"/>
  <c r="O172" i="3"/>
  <c r="E35" i="6" s="1"/>
  <c r="O131" i="3"/>
  <c r="O8" i="3" s="1"/>
  <c r="V31" i="3"/>
  <c r="R128" i="3"/>
  <c r="R64" i="3"/>
  <c r="R106" i="3" s="1"/>
  <c r="O166" i="3"/>
  <c r="E29" i="6" s="1"/>
  <c r="O26" i="4"/>
  <c r="O30" i="4" s="1"/>
  <c r="E21" i="6"/>
  <c r="O138" i="3"/>
  <c r="O145" i="3"/>
  <c r="O53" i="3"/>
  <c r="T88" i="3"/>
  <c r="T29" i="3"/>
  <c r="U30" i="3"/>
  <c r="S65" i="3"/>
  <c r="E26" i="6" l="1"/>
  <c r="S128" i="3"/>
  <c r="S64" i="3"/>
  <c r="S106" i="3" s="1"/>
  <c r="W31" i="3"/>
  <c r="U29" i="3"/>
  <c r="U88" i="3"/>
  <c r="V30" i="3"/>
  <c r="T65" i="3"/>
  <c r="V39" i="3"/>
  <c r="V38" i="3" s="1"/>
  <c r="W40" i="3"/>
  <c r="O66" i="3"/>
  <c r="O67" i="3" s="1"/>
  <c r="O18" i="4" s="1"/>
  <c r="O7" i="3"/>
  <c r="P87" i="3"/>
  <c r="O47" i="3"/>
  <c r="P130" i="3"/>
  <c r="O171" i="3"/>
  <c r="E34" i="6" s="1"/>
  <c r="O35" i="3"/>
  <c r="T128" i="3" l="1"/>
  <c r="T64" i="3"/>
  <c r="T106" i="3" s="1"/>
  <c r="O167" i="3"/>
  <c r="E30" i="6" s="1"/>
  <c r="O156" i="3"/>
  <c r="O148" i="3"/>
  <c r="E40" i="6" s="1"/>
  <c r="V29" i="3"/>
  <c r="V88" i="3"/>
  <c r="W30" i="3"/>
  <c r="W39" i="3"/>
  <c r="W38" i="3" s="1"/>
  <c r="X40" i="3"/>
  <c r="P157" i="3"/>
  <c r="P86" i="3"/>
  <c r="O5" i="3"/>
  <c r="U65" i="3"/>
  <c r="O27" i="3"/>
  <c r="O25" i="3" s="1"/>
  <c r="O152" i="3"/>
  <c r="E44" i="6" s="1"/>
  <c r="O155" i="3"/>
  <c r="O5" i="4"/>
  <c r="O6" i="4" s="1"/>
  <c r="O169" i="3"/>
  <c r="E32" i="6" s="1"/>
  <c r="O170" i="3"/>
  <c r="E33" i="6" s="1"/>
  <c r="O173" i="3"/>
  <c r="E36" i="6" s="1"/>
  <c r="X31" i="3"/>
  <c r="O3" i="4" l="1"/>
  <c r="AI17" i="4" s="1"/>
  <c r="AI18" i="4" s="1"/>
  <c r="O158" i="3"/>
  <c r="O55" i="3"/>
  <c r="O3" i="3"/>
  <c r="O161" i="3"/>
  <c r="O149" i="3"/>
  <c r="E41" i="6" s="1"/>
  <c r="Y31" i="3"/>
  <c r="U128" i="3"/>
  <c r="U64" i="3"/>
  <c r="U106" i="3" s="1"/>
  <c r="X39" i="3"/>
  <c r="X38" i="3" s="1"/>
  <c r="Y40" i="3"/>
  <c r="V65" i="3"/>
  <c r="P126" i="3"/>
  <c r="P91" i="3"/>
  <c r="W88" i="3"/>
  <c r="W29" i="3"/>
  <c r="X30" i="3"/>
  <c r="D20" i="4" l="1"/>
  <c r="D21" i="4" s="1"/>
  <c r="D22" i="4" s="1"/>
  <c r="A1" i="2" s="1"/>
  <c r="D23" i="4"/>
  <c r="V128" i="3"/>
  <c r="V64" i="3"/>
  <c r="V106" i="3" s="1"/>
  <c r="Y39" i="3"/>
  <c r="Y38" i="3" s="1"/>
  <c r="Z40" i="3"/>
  <c r="P92" i="3"/>
  <c r="P124" i="3" s="1"/>
  <c r="P125" i="3" s="1"/>
  <c r="Z31" i="3"/>
  <c r="X88" i="3"/>
  <c r="X29" i="3"/>
  <c r="Y30" i="3"/>
  <c r="W65" i="3"/>
  <c r="A1" i="4" l="1"/>
  <c r="H4" i="6"/>
  <c r="H6" i="6" s="1"/>
  <c r="Y88" i="3"/>
  <c r="Y29" i="3"/>
  <c r="Z30" i="3"/>
  <c r="P127" i="3"/>
  <c r="P93" i="3"/>
  <c r="X65" i="3"/>
  <c r="W128" i="3"/>
  <c r="W64" i="3"/>
  <c r="W106" i="3" s="1"/>
  <c r="Z39" i="3"/>
  <c r="Z38" i="3" s="1"/>
  <c r="AA40" i="3"/>
  <c r="AA31" i="3"/>
  <c r="A1" i="3" l="1"/>
  <c r="AA39" i="3"/>
  <c r="AA38" i="3" s="1"/>
  <c r="AB40" i="3"/>
  <c r="P172" i="3"/>
  <c r="F35" i="6" s="1"/>
  <c r="P131" i="3"/>
  <c r="P8" i="3" s="1"/>
  <c r="Z88" i="3"/>
  <c r="Z29" i="3"/>
  <c r="AA30" i="3"/>
  <c r="AB31" i="3"/>
  <c r="Y65" i="3"/>
  <c r="X128" i="3"/>
  <c r="X64" i="3"/>
  <c r="X106" i="3" s="1"/>
  <c r="P96" i="3"/>
  <c r="P53" i="3" s="1"/>
  <c r="P166" i="3"/>
  <c r="F29" i="6" s="1"/>
  <c r="F21" i="6"/>
  <c r="P145" i="3"/>
  <c r="P138" i="3"/>
  <c r="P26" i="4"/>
  <c r="P30" i="4" s="1"/>
  <c r="P32" i="4" s="1"/>
  <c r="AB39" i="3" l="1"/>
  <c r="AB38" i="3" s="1"/>
  <c r="AC40" i="3"/>
  <c r="F26" i="6"/>
  <c r="N174" i="3"/>
  <c r="D37" i="6" s="1"/>
  <c r="Y128" i="3"/>
  <c r="Y64" i="3"/>
  <c r="Y106" i="3" s="1"/>
  <c r="P47" i="3"/>
  <c r="P7" i="3"/>
  <c r="P66" i="3"/>
  <c r="P67" i="3" s="1"/>
  <c r="Q87" i="3"/>
  <c r="AC31" i="3"/>
  <c r="P171" i="3"/>
  <c r="F34" i="6" s="1"/>
  <c r="Q130" i="3"/>
  <c r="P35" i="3"/>
  <c r="AA88" i="3"/>
  <c r="AA29" i="3"/>
  <c r="AB30" i="3"/>
  <c r="Z65" i="3"/>
  <c r="AB88" i="3" l="1"/>
  <c r="AB29" i="3"/>
  <c r="AC30" i="3"/>
  <c r="AA65" i="3"/>
  <c r="P5" i="3"/>
  <c r="P167" i="3"/>
  <c r="F30" i="6" s="1"/>
  <c r="P156" i="3"/>
  <c r="P148" i="3"/>
  <c r="F40" i="6" s="1"/>
  <c r="Q157" i="3"/>
  <c r="Q86" i="3"/>
  <c r="P155" i="3"/>
  <c r="P169" i="3"/>
  <c r="F32" i="6" s="1"/>
  <c r="P152" i="3"/>
  <c r="F44" i="6" s="1"/>
  <c r="P170" i="3"/>
  <c r="F33" i="6" s="1"/>
  <c r="P173" i="3"/>
  <c r="F36" i="6" s="1"/>
  <c r="P27" i="3"/>
  <c r="P25" i="3" s="1"/>
  <c r="AD31" i="3"/>
  <c r="Z128" i="3"/>
  <c r="Z64" i="3"/>
  <c r="Z106" i="3" s="1"/>
  <c r="AC39" i="3"/>
  <c r="AC38" i="3" s="1"/>
  <c r="AD40" i="3"/>
  <c r="P158" i="3" l="1"/>
  <c r="P55" i="3"/>
  <c r="P3" i="3"/>
  <c r="P161" i="3"/>
  <c r="P149" i="3"/>
  <c r="F41" i="6" s="1"/>
  <c r="AE31" i="3"/>
  <c r="AC88" i="3"/>
  <c r="AC29" i="3"/>
  <c r="AD30" i="3"/>
  <c r="Q126" i="3"/>
  <c r="Q91" i="3"/>
  <c r="AB65" i="3"/>
  <c r="AA128" i="3"/>
  <c r="AA64" i="3"/>
  <c r="AA106" i="3" s="1"/>
  <c r="AD39" i="3"/>
  <c r="AD38" i="3" s="1"/>
  <c r="AE40" i="3"/>
  <c r="AB128" i="3" l="1"/>
  <c r="AB64" i="3"/>
  <c r="AB106" i="3" s="1"/>
  <c r="AF31" i="3"/>
  <c r="AE39" i="3"/>
  <c r="AE38" i="3" s="1"/>
  <c r="AF40" i="3"/>
  <c r="Q92" i="3"/>
  <c r="Q124" i="3" s="1"/>
  <c r="Q125" i="3" s="1"/>
  <c r="AC65" i="3"/>
  <c r="AD29" i="3"/>
  <c r="AD88" i="3"/>
  <c r="AE30" i="3"/>
  <c r="Q93" i="3" l="1"/>
  <c r="Q96" i="3" s="1"/>
  <c r="Q53" i="3" s="1"/>
  <c r="AF39" i="3"/>
  <c r="AF38" i="3" s="1"/>
  <c r="AG40" i="3"/>
  <c r="AE88" i="3"/>
  <c r="AE29" i="3"/>
  <c r="AF30" i="3"/>
  <c r="AG31" i="3"/>
  <c r="AC128" i="3"/>
  <c r="AC64" i="3"/>
  <c r="AC106" i="3" s="1"/>
  <c r="AD65" i="3"/>
  <c r="Q127" i="3"/>
  <c r="Q145" i="3" l="1"/>
  <c r="Q166" i="3"/>
  <c r="G29" i="6" s="1"/>
  <c r="G21" i="6"/>
  <c r="Q138" i="3"/>
  <c r="G26" i="6" s="1"/>
  <c r="Q26" i="4"/>
  <c r="Q30" i="4" s="1"/>
  <c r="Q32" i="4" s="1"/>
  <c r="Q172" i="3"/>
  <c r="G35" i="6" s="1"/>
  <c r="Q131" i="3"/>
  <c r="Q8" i="3" s="1"/>
  <c r="AH31" i="3"/>
  <c r="Q47" i="3"/>
  <c r="R130" i="3"/>
  <c r="Q171" i="3"/>
  <c r="G34" i="6" s="1"/>
  <c r="Q35" i="3"/>
  <c r="O174" i="3"/>
  <c r="E37" i="6" s="1"/>
  <c r="AF88" i="3"/>
  <c r="AF29" i="3"/>
  <c r="AG30" i="3"/>
  <c r="AD128" i="3"/>
  <c r="AD64" i="3"/>
  <c r="AD106" i="3" s="1"/>
  <c r="AE65" i="3"/>
  <c r="AG39" i="3"/>
  <c r="AG38" i="3" s="1"/>
  <c r="AH40" i="3"/>
  <c r="AE128" i="3" l="1"/>
  <c r="AE64" i="3"/>
  <c r="AE106" i="3" s="1"/>
  <c r="AF65" i="3"/>
  <c r="Q167" i="3"/>
  <c r="G30" i="6" s="1"/>
  <c r="Q156" i="3"/>
  <c r="Q148" i="3"/>
  <c r="G40" i="6" s="1"/>
  <c r="R87" i="3"/>
  <c r="Q7" i="3"/>
  <c r="Q66" i="3"/>
  <c r="Q67" i="3" s="1"/>
  <c r="AG88" i="3"/>
  <c r="AG29" i="3"/>
  <c r="AH30" i="3"/>
  <c r="AI31" i="3"/>
  <c r="AH39" i="3"/>
  <c r="AH38" i="3" s="1"/>
  <c r="AI40" i="3"/>
  <c r="Q27" i="3"/>
  <c r="Q25" i="3" s="1"/>
  <c r="R86" i="3" l="1"/>
  <c r="R157" i="3"/>
  <c r="AJ31" i="3"/>
  <c r="AH88" i="3"/>
  <c r="AH29" i="3"/>
  <c r="AI30" i="3"/>
  <c r="AG65" i="3"/>
  <c r="AF128" i="3"/>
  <c r="AF64" i="3"/>
  <c r="AF106" i="3" s="1"/>
  <c r="AJ40" i="3"/>
  <c r="AI39" i="3"/>
  <c r="AI38" i="3" s="1"/>
  <c r="Q169" i="3"/>
  <c r="G32" i="6" s="1"/>
  <c r="Q155" i="3"/>
  <c r="Q152" i="3"/>
  <c r="G44" i="6" s="1"/>
  <c r="Q170" i="3"/>
  <c r="G33" i="6" s="1"/>
  <c r="Q173" i="3"/>
  <c r="G36" i="6" s="1"/>
  <c r="Q158" i="3"/>
  <c r="Q5" i="3"/>
  <c r="AH65" i="3" l="1"/>
  <c r="AI88" i="3"/>
  <c r="AI29" i="3"/>
  <c r="AJ30" i="3"/>
  <c r="AK31" i="3"/>
  <c r="Q3" i="3"/>
  <c r="Q161" i="3"/>
  <c r="Q55" i="3"/>
  <c r="Q149" i="3"/>
  <c r="G41" i="6" s="1"/>
  <c r="AJ39" i="3"/>
  <c r="AJ38" i="3" s="1"/>
  <c r="AK40" i="3"/>
  <c r="AG128" i="3"/>
  <c r="AG64" i="3"/>
  <c r="AG106" i="3" s="1"/>
  <c r="R126" i="3"/>
  <c r="R91" i="3"/>
  <c r="AI65" i="3" l="1"/>
  <c r="R92" i="3"/>
  <c r="R124" i="3" s="1"/>
  <c r="R125" i="3" s="1"/>
  <c r="AL31" i="3"/>
  <c r="AL40" i="3"/>
  <c r="AK39" i="3"/>
  <c r="AK38" i="3" s="1"/>
  <c r="AJ88" i="3"/>
  <c r="AJ29" i="3"/>
  <c r="AK30" i="3"/>
  <c r="AH128" i="3"/>
  <c r="AH64" i="3"/>
  <c r="AH106" i="3" s="1"/>
  <c r="AL39" i="3" l="1"/>
  <c r="AL38" i="3" s="1"/>
  <c r="AM40" i="3"/>
  <c r="AM31" i="3"/>
  <c r="R93" i="3"/>
  <c r="AJ65" i="3"/>
  <c r="AI128" i="3"/>
  <c r="AI64" i="3"/>
  <c r="AI106" i="3" s="1"/>
  <c r="R127" i="3"/>
  <c r="AK88" i="3"/>
  <c r="AK29" i="3"/>
  <c r="AL30" i="3"/>
  <c r="AJ128" i="3" l="1"/>
  <c r="AJ64" i="3"/>
  <c r="AJ106" i="3" s="1"/>
  <c r="AK65" i="3"/>
  <c r="R172" i="3"/>
  <c r="H35" i="6" s="1"/>
  <c r="R131" i="3"/>
  <c r="R8" i="3" s="1"/>
  <c r="AM39" i="3"/>
  <c r="AM38" i="3" s="1"/>
  <c r="AN40" i="3"/>
  <c r="AL88" i="3"/>
  <c r="AL29" i="3"/>
  <c r="AM30" i="3"/>
  <c r="R166" i="3"/>
  <c r="H29" i="6" s="1"/>
  <c r="R145" i="3"/>
  <c r="H21" i="6"/>
  <c r="R96" i="3"/>
  <c r="R53" i="3" s="1"/>
  <c r="R138" i="3"/>
  <c r="R26" i="4"/>
  <c r="R30" i="4" s="1"/>
  <c r="R32" i="4" s="1"/>
  <c r="AN31" i="3"/>
  <c r="AO31" i="3" l="1"/>
  <c r="AK128" i="3"/>
  <c r="AK64" i="3"/>
  <c r="AK106" i="3" s="1"/>
  <c r="H26" i="6"/>
  <c r="P174" i="3"/>
  <c r="F37" i="6" s="1"/>
  <c r="R47" i="3"/>
  <c r="AM88" i="3"/>
  <c r="AM29" i="3"/>
  <c r="AN30" i="3"/>
  <c r="AL65" i="3"/>
  <c r="AN39" i="3"/>
  <c r="AN38" i="3" s="1"/>
  <c r="AO40" i="3"/>
  <c r="R7" i="3"/>
  <c r="R66" i="3"/>
  <c r="R67" i="3" s="1"/>
  <c r="S87" i="3"/>
  <c r="S130" i="3"/>
  <c r="R171" i="3"/>
  <c r="H34" i="6" s="1"/>
  <c r="R35" i="3"/>
  <c r="AN88" i="3" l="1"/>
  <c r="AN29" i="3"/>
  <c r="AO30" i="3"/>
  <c r="R170" i="3"/>
  <c r="H33" i="6" s="1"/>
  <c r="R169" i="3"/>
  <c r="H32" i="6" s="1"/>
  <c r="R152" i="3"/>
  <c r="H44" i="6" s="1"/>
  <c r="R155" i="3"/>
  <c r="R173" i="3"/>
  <c r="H36" i="6" s="1"/>
  <c r="S157" i="3"/>
  <c r="S86" i="3"/>
  <c r="AM65" i="3"/>
  <c r="R5" i="3"/>
  <c r="R27" i="3"/>
  <c r="R25" i="3" s="1"/>
  <c r="R167" i="3"/>
  <c r="H30" i="6" s="1"/>
  <c r="R156" i="3"/>
  <c r="R148" i="3"/>
  <c r="H40" i="6" s="1"/>
  <c r="AL128" i="3"/>
  <c r="AL64" i="3"/>
  <c r="AL106" i="3" s="1"/>
  <c r="AP31" i="3"/>
  <c r="AO39" i="3"/>
  <c r="AO38" i="3" s="1"/>
  <c r="AP40" i="3"/>
  <c r="S126" i="3" l="1"/>
  <c r="S91" i="3"/>
  <c r="AN65" i="3"/>
  <c r="AQ31" i="3"/>
  <c r="AM128" i="3"/>
  <c r="AM64" i="3"/>
  <c r="AM106" i="3" s="1"/>
  <c r="R158" i="3"/>
  <c r="R55" i="3"/>
  <c r="R3" i="3"/>
  <c r="R161" i="3"/>
  <c r="R149" i="3"/>
  <c r="H41" i="6" s="1"/>
  <c r="AP39" i="3"/>
  <c r="AP38" i="3" s="1"/>
  <c r="AQ40" i="3"/>
  <c r="AO88" i="3"/>
  <c r="AO29" i="3"/>
  <c r="AP30" i="3"/>
  <c r="AP88" i="3" l="1"/>
  <c r="AP29" i="3"/>
  <c r="AQ30" i="3"/>
  <c r="AN128" i="3"/>
  <c r="AN64" i="3"/>
  <c r="AN106" i="3" s="1"/>
  <c r="AR31" i="3"/>
  <c r="AO65" i="3"/>
  <c r="S92" i="3"/>
  <c r="S124" i="3" s="1"/>
  <c r="S125" i="3" s="1"/>
  <c r="AQ39" i="3"/>
  <c r="AQ38" i="3" s="1"/>
  <c r="AR40" i="3"/>
  <c r="S93" i="3" l="1"/>
  <c r="S96" i="3" s="1"/>
  <c r="S53" i="3" s="1"/>
  <c r="AS40" i="3"/>
  <c r="AR39" i="3"/>
  <c r="AR38" i="3" s="1"/>
  <c r="AQ88" i="3"/>
  <c r="AQ29" i="3"/>
  <c r="AR30" i="3"/>
  <c r="S127" i="3"/>
  <c r="AP65" i="3"/>
  <c r="AO128" i="3"/>
  <c r="AO64" i="3"/>
  <c r="AO106" i="3" s="1"/>
  <c r="AS31" i="3"/>
  <c r="S145" i="3" l="1"/>
  <c r="S26" i="4"/>
  <c r="S30" i="4" s="1"/>
  <c r="S32" i="4" s="1"/>
  <c r="S138" i="3"/>
  <c r="Q174" i="3" s="1"/>
  <c r="G37" i="6" s="1"/>
  <c r="S166" i="3"/>
  <c r="S47" i="3"/>
  <c r="S131" i="3"/>
  <c r="S8" i="3" s="1"/>
  <c r="S172" i="3"/>
  <c r="AT31" i="3"/>
  <c r="AR88" i="3"/>
  <c r="AR29" i="3"/>
  <c r="AS30" i="3"/>
  <c r="AQ65" i="3"/>
  <c r="S171" i="3"/>
  <c r="T130" i="3"/>
  <c r="S35" i="3"/>
  <c r="AP128" i="3"/>
  <c r="AP64" i="3"/>
  <c r="AP106" i="3" s="1"/>
  <c r="AS39" i="3"/>
  <c r="AS38" i="3" s="1"/>
  <c r="AT40" i="3"/>
  <c r="AQ128" i="3" l="1"/>
  <c r="AQ64" i="3"/>
  <c r="AQ106" i="3" s="1"/>
  <c r="S66" i="3"/>
  <c r="S67" i="3" s="1"/>
  <c r="S7" i="3"/>
  <c r="T87" i="3"/>
  <c r="AS88" i="3"/>
  <c r="AS29" i="3"/>
  <c r="AT30" i="3"/>
  <c r="AT39" i="3"/>
  <c r="AT38" i="3" s="1"/>
  <c r="AU40" i="3"/>
  <c r="AR65" i="3"/>
  <c r="S27" i="3"/>
  <c r="S25" i="3" s="1"/>
  <c r="AU31" i="3"/>
  <c r="S167" i="3"/>
  <c r="S156" i="3"/>
  <c r="S148" i="3"/>
  <c r="AR128" i="3" l="1"/>
  <c r="AR64" i="3"/>
  <c r="AR106" i="3" s="1"/>
  <c r="S169" i="3"/>
  <c r="S155" i="3"/>
  <c r="S152" i="3"/>
  <c r="S170" i="3"/>
  <c r="S173" i="3"/>
  <c r="S5" i="3"/>
  <c r="S158" i="3"/>
  <c r="AV31" i="3"/>
  <c r="AT88" i="3"/>
  <c r="AT29" i="3"/>
  <c r="AU30" i="3"/>
  <c r="AS65" i="3"/>
  <c r="T157" i="3"/>
  <c r="T86" i="3"/>
  <c r="AU39" i="3"/>
  <c r="AU38" i="3" s="1"/>
  <c r="AV40" i="3"/>
  <c r="AU88" i="3" l="1"/>
  <c r="AU29" i="3"/>
  <c r="AV30" i="3"/>
  <c r="AT65" i="3"/>
  <c r="AV39" i="3"/>
  <c r="AV38" i="3" s="1"/>
  <c r="AW40" i="3"/>
  <c r="AW31" i="3"/>
  <c r="T126" i="3"/>
  <c r="T91" i="3"/>
  <c r="S3" i="3"/>
  <c r="S161" i="3"/>
  <c r="S55" i="3"/>
  <c r="S149" i="3"/>
  <c r="AS128" i="3"/>
  <c r="AS64" i="3"/>
  <c r="AS106" i="3" s="1"/>
  <c r="AU65" i="3" l="1"/>
  <c r="AX31" i="3"/>
  <c r="AW39" i="3"/>
  <c r="AW38" i="3" s="1"/>
  <c r="AX40" i="3"/>
  <c r="AT128" i="3"/>
  <c r="AT64" i="3"/>
  <c r="AT106" i="3" s="1"/>
  <c r="T92" i="3"/>
  <c r="T124" i="3" s="1"/>
  <c r="T125" i="3" s="1"/>
  <c r="AV88" i="3"/>
  <c r="AV29" i="3"/>
  <c r="AW30" i="3"/>
  <c r="T93" i="3" l="1"/>
  <c r="T138" i="3" s="1"/>
  <c r="AY31" i="3"/>
  <c r="AX39" i="3"/>
  <c r="AX38" i="3" s="1"/>
  <c r="AY40" i="3"/>
  <c r="AU128" i="3"/>
  <c r="AU64" i="3"/>
  <c r="AU106" i="3" s="1"/>
  <c r="AW88" i="3"/>
  <c r="AW29" i="3"/>
  <c r="AX30" i="3"/>
  <c r="AV65" i="3"/>
  <c r="T127" i="3"/>
  <c r="T166" i="3" l="1"/>
  <c r="T145" i="3"/>
  <c r="T26" i="4"/>
  <c r="T30" i="4" s="1"/>
  <c r="T32" i="4" s="1"/>
  <c r="T96" i="3"/>
  <c r="T53" i="3" s="1"/>
  <c r="T47" i="3" s="1"/>
  <c r="T172" i="3"/>
  <c r="T131" i="3"/>
  <c r="T8" i="3" s="1"/>
  <c r="AY39" i="3"/>
  <c r="AY38" i="3" s="1"/>
  <c r="AZ40" i="3"/>
  <c r="AZ31" i="3"/>
  <c r="AV128" i="3"/>
  <c r="AV64" i="3"/>
  <c r="AV106" i="3" s="1"/>
  <c r="AX88" i="3"/>
  <c r="AX29" i="3"/>
  <c r="AY30" i="3"/>
  <c r="AW65" i="3"/>
  <c r="R174" i="3"/>
  <c r="H37" i="6" s="1"/>
  <c r="T171" i="3" l="1"/>
  <c r="U130" i="3"/>
  <c r="T35" i="3"/>
  <c r="T27" i="3" s="1"/>
  <c r="T25" i="3" s="1"/>
  <c r="AZ39" i="3"/>
  <c r="AZ38" i="3" s="1"/>
  <c r="BA40" i="3"/>
  <c r="T7" i="3"/>
  <c r="T66" i="3"/>
  <c r="T67" i="3" s="1"/>
  <c r="U87" i="3"/>
  <c r="BA31" i="3"/>
  <c r="AW128" i="3"/>
  <c r="AW64" i="3"/>
  <c r="AW106" i="3" s="1"/>
  <c r="AY88" i="3"/>
  <c r="AY29" i="3"/>
  <c r="AZ30" i="3"/>
  <c r="AX65" i="3"/>
  <c r="T167" i="3"/>
  <c r="T156" i="3"/>
  <c r="T148" i="3"/>
  <c r="AY65" i="3" l="1"/>
  <c r="U157" i="3"/>
  <c r="U86" i="3"/>
  <c r="T152" i="3"/>
  <c r="T169" i="3"/>
  <c r="T170" i="3"/>
  <c r="T155" i="3"/>
  <c r="T173" i="3"/>
  <c r="T5" i="3"/>
  <c r="T158" i="3"/>
  <c r="AX128" i="3"/>
  <c r="AX64" i="3"/>
  <c r="AX106" i="3" s="1"/>
  <c r="BB31" i="3"/>
  <c r="BA39" i="3"/>
  <c r="BA38" i="3" s="1"/>
  <c r="BB40" i="3"/>
  <c r="AZ88" i="3"/>
  <c r="BA30" i="3"/>
  <c r="AZ29" i="3"/>
  <c r="AZ65" i="3" l="1"/>
  <c r="BA88" i="3"/>
  <c r="BA29" i="3"/>
  <c r="BB30" i="3"/>
  <c r="U126" i="3"/>
  <c r="U91" i="3"/>
  <c r="BB39" i="3"/>
  <c r="BB38" i="3" s="1"/>
  <c r="BC40" i="3"/>
  <c r="T55" i="3"/>
  <c r="T161" i="3"/>
  <c r="T3" i="3"/>
  <c r="T149" i="3"/>
  <c r="AY128" i="3"/>
  <c r="AY64" i="3"/>
  <c r="AY106" i="3" s="1"/>
  <c r="BC31" i="3"/>
  <c r="U92" i="3" l="1"/>
  <c r="U124" i="3" s="1"/>
  <c r="U125" i="3" s="1"/>
  <c r="BB88" i="3"/>
  <c r="BC30" i="3"/>
  <c r="BB29" i="3"/>
  <c r="AZ128" i="3"/>
  <c r="AZ64" i="3"/>
  <c r="AZ106" i="3" s="1"/>
  <c r="BA65" i="3"/>
  <c r="BD31" i="3"/>
  <c r="BC39" i="3"/>
  <c r="BC38" i="3" s="1"/>
  <c r="BD40" i="3"/>
  <c r="BD39" i="3" s="1"/>
  <c r="BD38" i="3" s="1"/>
  <c r="BB65" i="3" l="1"/>
  <c r="BA128" i="3"/>
  <c r="BA64" i="3"/>
  <c r="BA106" i="3" s="1"/>
  <c r="U127" i="3"/>
  <c r="BC29" i="3"/>
  <c r="BC88" i="3"/>
  <c r="BD30" i="3"/>
  <c r="U93" i="3"/>
  <c r="U96" i="3" l="1"/>
  <c r="U53" i="3" s="1"/>
  <c r="U166" i="3"/>
  <c r="U145" i="3"/>
  <c r="U138" i="3"/>
  <c r="U26" i="4"/>
  <c r="U30" i="4" s="1"/>
  <c r="U32" i="4" s="1"/>
  <c r="BD88" i="3"/>
  <c r="BD29" i="3"/>
  <c r="BC65" i="3"/>
  <c r="BB128" i="3"/>
  <c r="BB64" i="3"/>
  <c r="BB106" i="3" s="1"/>
  <c r="U172" i="3"/>
  <c r="U131" i="3"/>
  <c r="U8" i="3" s="1"/>
  <c r="U47" i="3" l="1"/>
  <c r="S174" i="3"/>
  <c r="BC128" i="3"/>
  <c r="BC64" i="3"/>
  <c r="BC106" i="3" s="1"/>
  <c r="U66" i="3"/>
  <c r="U67" i="3" s="1"/>
  <c r="U7" i="3"/>
  <c r="V87" i="3"/>
  <c r="BD65" i="3"/>
  <c r="U171" i="3"/>
  <c r="V130" i="3"/>
  <c r="U35" i="3"/>
  <c r="BD128" i="3" l="1"/>
  <c r="BD64" i="3"/>
  <c r="BD106" i="3" s="1"/>
  <c r="V157" i="3"/>
  <c r="V86" i="3"/>
  <c r="U5" i="3"/>
  <c r="U27" i="3"/>
  <c r="U25" i="3" s="1"/>
  <c r="U155" i="3"/>
  <c r="U170" i="3"/>
  <c r="U169" i="3"/>
  <c r="U152" i="3"/>
  <c r="U173" i="3"/>
  <c r="U167" i="3"/>
  <c r="U156" i="3"/>
  <c r="U148" i="3"/>
  <c r="U158" i="3" l="1"/>
  <c r="V126" i="3"/>
  <c r="V91" i="3"/>
  <c r="U3" i="3"/>
  <c r="U55" i="3"/>
  <c r="U161" i="3"/>
  <c r="U149" i="3"/>
  <c r="V92" i="3" l="1"/>
  <c r="V124" i="3" s="1"/>
  <c r="V125" i="3" s="1"/>
  <c r="V127" i="3" l="1"/>
  <c r="V93" i="3"/>
  <c r="V166" i="3" l="1"/>
  <c r="V145" i="3"/>
  <c r="V138" i="3"/>
  <c r="V96" i="3"/>
  <c r="V53" i="3" s="1"/>
  <c r="V26" i="4"/>
  <c r="V30" i="4" s="1"/>
  <c r="V32" i="4" s="1"/>
  <c r="V172" i="3"/>
  <c r="V131" i="3"/>
  <c r="V8" i="3" s="1"/>
  <c r="V47" i="3" l="1"/>
  <c r="T174" i="3"/>
  <c r="W130" i="3"/>
  <c r="V171" i="3"/>
  <c r="V35" i="3"/>
  <c r="V66" i="3"/>
  <c r="V67" i="3" s="1"/>
  <c r="W87" i="3"/>
  <c r="V7" i="3"/>
  <c r="V27" i="3" l="1"/>
  <c r="V25" i="3" s="1"/>
  <c r="V5" i="3"/>
  <c r="W157" i="3"/>
  <c r="W86" i="3"/>
  <c r="V152" i="3"/>
  <c r="V170" i="3"/>
  <c r="V169" i="3"/>
  <c r="V155" i="3"/>
  <c r="V173" i="3"/>
  <c r="V167" i="3"/>
  <c r="V156" i="3"/>
  <c r="V148" i="3"/>
  <c r="V158" i="3" l="1"/>
  <c r="V3" i="3"/>
  <c r="V55" i="3"/>
  <c r="V161" i="3"/>
  <c r="V149" i="3"/>
  <c r="W91" i="3"/>
  <c r="W126" i="3"/>
  <c r="W92" i="3" l="1"/>
  <c r="W124" i="3" s="1"/>
  <c r="W125" i="3" s="1"/>
  <c r="W93" i="3" l="1"/>
  <c r="W145" i="3" s="1"/>
  <c r="W127" i="3"/>
  <c r="W26" i="4" l="1"/>
  <c r="W30" i="4" s="1"/>
  <c r="W32" i="4" s="1"/>
  <c r="W166" i="3"/>
  <c r="W96" i="3"/>
  <c r="W35" i="3" s="1"/>
  <c r="W138" i="3"/>
  <c r="U174" i="3" s="1"/>
  <c r="W172" i="3"/>
  <c r="W131" i="3"/>
  <c r="W8" i="3" s="1"/>
  <c r="W171" i="3" l="1"/>
  <c r="X130" i="3"/>
  <c r="W53" i="3"/>
  <c r="W47" i="3" s="1"/>
  <c r="W156" i="3" s="1"/>
  <c r="W7" i="3"/>
  <c r="W66" i="3"/>
  <c r="W67" i="3" s="1"/>
  <c r="X87" i="3"/>
  <c r="W27" i="3"/>
  <c r="W25" i="3" s="1"/>
  <c r="W148" i="3" l="1"/>
  <c r="W167" i="3"/>
  <c r="X157" i="3"/>
  <c r="X86" i="3"/>
  <c r="W5" i="3"/>
  <c r="W158" i="3"/>
  <c r="W155" i="3"/>
  <c r="W170" i="3"/>
  <c r="W152" i="3"/>
  <c r="W169" i="3"/>
  <c r="W173" i="3"/>
  <c r="W55" i="3" l="1"/>
  <c r="W3" i="3"/>
  <c r="W161" i="3"/>
  <c r="W149" i="3"/>
  <c r="X126" i="3"/>
  <c r="X91" i="3"/>
  <c r="X92" i="3" l="1"/>
  <c r="X124" i="3" s="1"/>
  <c r="X125" i="3" s="1"/>
  <c r="X127" i="3" l="1"/>
  <c r="X93" i="3"/>
  <c r="X96" i="3" l="1"/>
  <c r="X53" i="3" s="1"/>
  <c r="X145" i="3"/>
  <c r="X138" i="3"/>
  <c r="X26" i="4"/>
  <c r="X30" i="4" s="1"/>
  <c r="X32" i="4" s="1"/>
  <c r="X166" i="3"/>
  <c r="X172" i="3"/>
  <c r="X131" i="3"/>
  <c r="X8" i="3" s="1"/>
  <c r="X66" i="3" l="1"/>
  <c r="X67" i="3" s="1"/>
  <c r="X7" i="3"/>
  <c r="Y87" i="3"/>
  <c r="X47" i="3"/>
  <c r="V174" i="3"/>
  <c r="X171" i="3"/>
  <c r="Y130" i="3"/>
  <c r="X35" i="3"/>
  <c r="X27" i="3" l="1"/>
  <c r="X25" i="3" s="1"/>
  <c r="Y157" i="3"/>
  <c r="Y86" i="3"/>
  <c r="X5" i="3"/>
  <c r="X167" i="3"/>
  <c r="X156" i="3"/>
  <c r="X148" i="3"/>
  <c r="X170" i="3"/>
  <c r="X155" i="3"/>
  <c r="X169" i="3"/>
  <c r="X152" i="3"/>
  <c r="X173" i="3"/>
  <c r="X158" i="3" l="1"/>
  <c r="X3" i="3"/>
  <c r="X55" i="3"/>
  <c r="X161" i="3"/>
  <c r="X149" i="3"/>
  <c r="Y126" i="3"/>
  <c r="Y91" i="3"/>
  <c r="Y92" i="3" l="1"/>
  <c r="Y124" i="3" s="1"/>
  <c r="Y125" i="3" s="1"/>
  <c r="Y93" i="3" l="1"/>
  <c r="Y96" i="3" s="1"/>
  <c r="Y53" i="3" s="1"/>
  <c r="Y127" i="3"/>
  <c r="Y26" i="4" l="1"/>
  <c r="Y30" i="4" s="1"/>
  <c r="Y32" i="4" s="1"/>
  <c r="Y145" i="3"/>
  <c r="Y138" i="3"/>
  <c r="W174" i="3" s="1"/>
  <c r="Y166" i="3"/>
  <c r="Y47" i="3"/>
  <c r="Y171" i="3"/>
  <c r="Z130" i="3"/>
  <c r="Y35" i="3"/>
  <c r="Y131" i="3"/>
  <c r="Y8" i="3" s="1"/>
  <c r="Y172" i="3"/>
  <c r="Y27" i="3" l="1"/>
  <c r="Y25" i="3" s="1"/>
  <c r="Y66" i="3"/>
  <c r="Y67" i="3" s="1"/>
  <c r="Y7" i="3"/>
  <c r="Z87" i="3"/>
  <c r="Y167" i="3"/>
  <c r="Y156" i="3"/>
  <c r="Y148" i="3"/>
  <c r="Y155" i="3" l="1"/>
  <c r="Y169" i="3"/>
  <c r="Y170" i="3"/>
  <c r="Y152" i="3"/>
  <c r="Y173" i="3"/>
  <c r="Z157" i="3"/>
  <c r="Z86" i="3"/>
  <c r="Y5" i="3"/>
  <c r="Y158" i="3"/>
  <c r="Z91" i="3" l="1"/>
  <c r="Z126" i="3"/>
  <c r="Y3" i="3"/>
  <c r="Y161" i="3"/>
  <c r="Y55" i="3"/>
  <c r="Y149" i="3"/>
  <c r="Z92" i="3" l="1"/>
  <c r="Z124" i="3" s="1"/>
  <c r="Z125" i="3" s="1"/>
  <c r="Z93" i="3" l="1"/>
  <c r="Z145" i="3" s="1"/>
  <c r="Z127" i="3"/>
  <c r="Z166" i="3" l="1"/>
  <c r="Z26" i="4"/>
  <c r="Z30" i="4" s="1"/>
  <c r="Z32" i="4" s="1"/>
  <c r="Z138" i="3"/>
  <c r="X174" i="3" s="1"/>
  <c r="Z96" i="3"/>
  <c r="Z53" i="3" s="1"/>
  <c r="Z47" i="3" s="1"/>
  <c r="Z131" i="3"/>
  <c r="Z8" i="3" s="1"/>
  <c r="Z172" i="3"/>
  <c r="Z35" i="3" l="1"/>
  <c r="Z27" i="3" s="1"/>
  <c r="Z25" i="3" s="1"/>
  <c r="AA130" i="3"/>
  <c r="Z171" i="3"/>
  <c r="Z66" i="3"/>
  <c r="Z67" i="3" s="1"/>
  <c r="Z7" i="3"/>
  <c r="AA87" i="3"/>
  <c r="Z167" i="3"/>
  <c r="Z156" i="3"/>
  <c r="Z148" i="3"/>
  <c r="Z170" i="3" l="1"/>
  <c r="Z169" i="3"/>
  <c r="Z155" i="3"/>
  <c r="Z152" i="3"/>
  <c r="Z173" i="3"/>
  <c r="Z158" i="3"/>
  <c r="Z5" i="3"/>
  <c r="AA157" i="3"/>
  <c r="AA86" i="3"/>
  <c r="Z3" i="3" l="1"/>
  <c r="Z161" i="3"/>
  <c r="Z55" i="3"/>
  <c r="Z149" i="3"/>
  <c r="AA91" i="3"/>
  <c r="AA126" i="3"/>
  <c r="AA92" i="3" l="1"/>
  <c r="AA124" i="3" s="1"/>
  <c r="AA125" i="3" s="1"/>
  <c r="AA127" i="3" l="1"/>
  <c r="AA93" i="3"/>
  <c r="AA131" i="3" l="1"/>
  <c r="AA8" i="3" s="1"/>
  <c r="AA172" i="3"/>
  <c r="AA166" i="3"/>
  <c r="AA138" i="3"/>
  <c r="AA145" i="3"/>
  <c r="AA96" i="3"/>
  <c r="AA26" i="4"/>
  <c r="AA30" i="4" s="1"/>
  <c r="AA32" i="4" s="1"/>
  <c r="AA171" i="3" l="1"/>
  <c r="AB130" i="3"/>
  <c r="AA35" i="3"/>
  <c r="Y174" i="3"/>
  <c r="AA53" i="3"/>
  <c r="AA66" i="3"/>
  <c r="AA67" i="3" s="1"/>
  <c r="AA7" i="3"/>
  <c r="AB87" i="3"/>
  <c r="AA47" i="3" l="1"/>
  <c r="AA152" i="3" s="1"/>
  <c r="AA170" i="3"/>
  <c r="AA169" i="3"/>
  <c r="AA155" i="3"/>
  <c r="AA173" i="3"/>
  <c r="AB157" i="3"/>
  <c r="AB86" i="3"/>
  <c r="AA27" i="3"/>
  <c r="AA25" i="3" s="1"/>
  <c r="AA5" i="3"/>
  <c r="AA158" i="3" l="1"/>
  <c r="AA161" i="3"/>
  <c r="AA55" i="3"/>
  <c r="AA3" i="3"/>
  <c r="AA149" i="3"/>
  <c r="AB126" i="3"/>
  <c r="AB91" i="3"/>
  <c r="AA167" i="3"/>
  <c r="AA156" i="3"/>
  <c r="AA148" i="3"/>
  <c r="AB92" i="3" l="1"/>
  <c r="AB124" i="3" s="1"/>
  <c r="AB125" i="3" s="1"/>
  <c r="AB93" i="3" l="1"/>
  <c r="AB166" i="3" s="1"/>
  <c r="AB127" i="3"/>
  <c r="AB26" i="4" l="1"/>
  <c r="AB30" i="4" s="1"/>
  <c r="AB32" i="4" s="1"/>
  <c r="AB145" i="3"/>
  <c r="AB138" i="3"/>
  <c r="Z174" i="3" s="1"/>
  <c r="AB96" i="3"/>
  <c r="AB53" i="3" s="1"/>
  <c r="AB47" i="3" s="1"/>
  <c r="AB172" i="3"/>
  <c r="AB131" i="3"/>
  <c r="AB8" i="3" s="1"/>
  <c r="AB35" i="3" l="1"/>
  <c r="AB27" i="3" s="1"/>
  <c r="AB25" i="3" s="1"/>
  <c r="AB171" i="3"/>
  <c r="AC130" i="3"/>
  <c r="AB66" i="3"/>
  <c r="AB67" i="3" s="1"/>
  <c r="AC87" i="3"/>
  <c r="AB7" i="3"/>
  <c r="AB167" i="3"/>
  <c r="AB156" i="3"/>
  <c r="AB148" i="3"/>
  <c r="AB152" i="3" l="1"/>
  <c r="AB169" i="3"/>
  <c r="AB155" i="3"/>
  <c r="AB170" i="3"/>
  <c r="AB173" i="3"/>
  <c r="AB158" i="3"/>
  <c r="AB5" i="3"/>
  <c r="AC86" i="3"/>
  <c r="AC157" i="3"/>
  <c r="AC91" i="3" l="1"/>
  <c r="AC126" i="3"/>
  <c r="AB55" i="3"/>
  <c r="AB3" i="3"/>
  <c r="AB161" i="3"/>
  <c r="AB149" i="3"/>
  <c r="AC92" i="3" l="1"/>
  <c r="AC124" i="3" s="1"/>
  <c r="AC125" i="3" s="1"/>
  <c r="AC93" i="3" l="1"/>
  <c r="AC138" i="3" s="1"/>
  <c r="AC127" i="3"/>
  <c r="AC26" i="4" l="1"/>
  <c r="AC30" i="4" s="1"/>
  <c r="AC32" i="4" s="1"/>
  <c r="AC145" i="3"/>
  <c r="AC166" i="3"/>
  <c r="AC96" i="3"/>
  <c r="AC53" i="3" s="1"/>
  <c r="AC47" i="3" s="1"/>
  <c r="AC131" i="3"/>
  <c r="AC8" i="3" s="1"/>
  <c r="AC172" i="3"/>
  <c r="AA174" i="3"/>
  <c r="AC35" i="3" l="1"/>
  <c r="AC27" i="3" s="1"/>
  <c r="AC25" i="3" s="1"/>
  <c r="AC171" i="3"/>
  <c r="AD130" i="3"/>
  <c r="AC66" i="3"/>
  <c r="AC67" i="3" s="1"/>
  <c r="AC7" i="3"/>
  <c r="AD87" i="3"/>
  <c r="AC167" i="3"/>
  <c r="AC156" i="3"/>
  <c r="AC148" i="3"/>
  <c r="AD157" i="3" l="1"/>
  <c r="AD86" i="3"/>
  <c r="AC169" i="3"/>
  <c r="AC170" i="3"/>
  <c r="AC152" i="3"/>
  <c r="AC155" i="3"/>
  <c r="AC173" i="3"/>
  <c r="AC5" i="3"/>
  <c r="AC158" i="3"/>
  <c r="AC3" i="3" l="1"/>
  <c r="AC55" i="3"/>
  <c r="AC161" i="3"/>
  <c r="AC149" i="3"/>
  <c r="AD126" i="3"/>
  <c r="AD91" i="3"/>
  <c r="AD92" i="3" l="1"/>
  <c r="AD124" i="3" s="1"/>
  <c r="AD125" i="3" s="1"/>
  <c r="AD127" i="3" l="1"/>
  <c r="AD93" i="3"/>
  <c r="AD145" i="3" l="1"/>
  <c r="AD96" i="3"/>
  <c r="AD53" i="3" s="1"/>
  <c r="AD166" i="3"/>
  <c r="AD26" i="4"/>
  <c r="AD30" i="4" s="1"/>
  <c r="AD32" i="4" s="1"/>
  <c r="AD138" i="3"/>
  <c r="AD172" i="3"/>
  <c r="AD131" i="3"/>
  <c r="AD8" i="3" s="1"/>
  <c r="AB174" i="3" l="1"/>
  <c r="AD171" i="3"/>
  <c r="AE130" i="3"/>
  <c r="AD35" i="3"/>
  <c r="AD47" i="3"/>
  <c r="AD66" i="3"/>
  <c r="AD67" i="3" s="1"/>
  <c r="AD7" i="3"/>
  <c r="AE87" i="3"/>
  <c r="AD167" i="3" l="1"/>
  <c r="AD156" i="3"/>
  <c r="AD148" i="3"/>
  <c r="AD27" i="3"/>
  <c r="AD25" i="3" s="1"/>
  <c r="AD5" i="3"/>
  <c r="AE157" i="3"/>
  <c r="AE86" i="3"/>
  <c r="AD169" i="3"/>
  <c r="AD152" i="3"/>
  <c r="AD170" i="3"/>
  <c r="AD155" i="3"/>
  <c r="AD173" i="3"/>
  <c r="AD158" i="3" l="1"/>
  <c r="AD55" i="3"/>
  <c r="AD3" i="3"/>
  <c r="AD161" i="3"/>
  <c r="AD149" i="3"/>
  <c r="AE126" i="3"/>
  <c r="AE91" i="3"/>
  <c r="AE92" i="3" l="1"/>
  <c r="AE124" i="3" s="1"/>
  <c r="AE125" i="3" s="1"/>
  <c r="AE93" i="3" l="1"/>
  <c r="AE96" i="3" s="1"/>
  <c r="AE53" i="3" s="1"/>
  <c r="AE127" i="3"/>
  <c r="AE26" i="4" l="1"/>
  <c r="AE30" i="4" s="1"/>
  <c r="AE32" i="4" s="1"/>
  <c r="AE145" i="3"/>
  <c r="AE166" i="3"/>
  <c r="AE138" i="3"/>
  <c r="AE131" i="3"/>
  <c r="AE8" i="3" s="1"/>
  <c r="AE172" i="3"/>
  <c r="AE47" i="3"/>
  <c r="AC174" i="3"/>
  <c r="AF130" i="3"/>
  <c r="AE171" i="3"/>
  <c r="AE35" i="3"/>
  <c r="AE167" i="3" l="1"/>
  <c r="AE156" i="3"/>
  <c r="AE148" i="3"/>
  <c r="AE27" i="3"/>
  <c r="AE25" i="3" s="1"/>
  <c r="AE66" i="3"/>
  <c r="AE67" i="3" s="1"/>
  <c r="AE7" i="3"/>
  <c r="AF87" i="3"/>
  <c r="AF86" i="3" l="1"/>
  <c r="AF157" i="3"/>
  <c r="AE158" i="3"/>
  <c r="AE5" i="3"/>
  <c r="AE170" i="3"/>
  <c r="AE155" i="3"/>
  <c r="AE169" i="3"/>
  <c r="AE152" i="3"/>
  <c r="AE173" i="3"/>
  <c r="AE161" i="3" l="1"/>
  <c r="AE55" i="3"/>
  <c r="AE3" i="3"/>
  <c r="AE149" i="3"/>
  <c r="AF91" i="3"/>
  <c r="AF126" i="3"/>
  <c r="AF92" i="3" l="1"/>
  <c r="AF124" i="3" s="1"/>
  <c r="AF125" i="3" s="1"/>
  <c r="AF93" i="3" l="1"/>
  <c r="AF166" i="3" s="1"/>
  <c r="AF127" i="3"/>
  <c r="AF26" i="4" l="1"/>
  <c r="AF30" i="4" s="1"/>
  <c r="AF32" i="4" s="1"/>
  <c r="AF138" i="3"/>
  <c r="AF96" i="3"/>
  <c r="AF53" i="3" s="1"/>
  <c r="AF47" i="3" s="1"/>
  <c r="AF145" i="3"/>
  <c r="AF172" i="3"/>
  <c r="AF131" i="3"/>
  <c r="AF8" i="3" s="1"/>
  <c r="AD174" i="3"/>
  <c r="AF171" i="3" l="1"/>
  <c r="AG130" i="3"/>
  <c r="AF35" i="3"/>
  <c r="AF27" i="3" s="1"/>
  <c r="AF25" i="3" s="1"/>
  <c r="AF167" i="3"/>
  <c r="AF156" i="3"/>
  <c r="AF148" i="3"/>
  <c r="AF66" i="3"/>
  <c r="AF67" i="3" s="1"/>
  <c r="AG87" i="3"/>
  <c r="AF7" i="3"/>
  <c r="AF5" i="3" l="1"/>
  <c r="AF158" i="3"/>
  <c r="AF155" i="3"/>
  <c r="AF152" i="3"/>
  <c r="AF170" i="3"/>
  <c r="AF169" i="3"/>
  <c r="AF173" i="3"/>
  <c r="AG157" i="3"/>
  <c r="AG86" i="3"/>
  <c r="AG126" i="3" l="1"/>
  <c r="AG91" i="3"/>
  <c r="AF55" i="3"/>
  <c r="AF161" i="3"/>
  <c r="AF3" i="3"/>
  <c r="AF149" i="3"/>
  <c r="AG92" i="3" l="1"/>
  <c r="AG124" i="3" s="1"/>
  <c r="AG125" i="3" s="1"/>
  <c r="AG93" i="3" l="1"/>
  <c r="AG145" i="3" s="1"/>
  <c r="AG127" i="3"/>
  <c r="AG166" i="3" l="1"/>
  <c r="AG96" i="3"/>
  <c r="AH130" i="3" s="1"/>
  <c r="AG138" i="3"/>
  <c r="AE174" i="3" s="1"/>
  <c r="AG26" i="4"/>
  <c r="AG30" i="4" s="1"/>
  <c r="AG32" i="4" s="1"/>
  <c r="AG172" i="3"/>
  <c r="AG131" i="3"/>
  <c r="AG8" i="3" s="1"/>
  <c r="AG35" i="3" l="1"/>
  <c r="AG27" i="3" s="1"/>
  <c r="AG25" i="3" s="1"/>
  <c r="AG53" i="3"/>
  <c r="AG47" i="3" s="1"/>
  <c r="AG167" i="3" s="1"/>
  <c r="AG171" i="3"/>
  <c r="AG66" i="3"/>
  <c r="AG67" i="3" s="1"/>
  <c r="AG7" i="3"/>
  <c r="AH87" i="3"/>
  <c r="AG156" i="3" l="1"/>
  <c r="AG148" i="3"/>
  <c r="AG155" i="3"/>
  <c r="AG170" i="3"/>
  <c r="AG152" i="3"/>
  <c r="AG169" i="3"/>
  <c r="AG173" i="3"/>
  <c r="AH157" i="3"/>
  <c r="AH86" i="3"/>
  <c r="AG158" i="3"/>
  <c r="AG5" i="3"/>
  <c r="AG161" i="3" l="1"/>
  <c r="AG3" i="3"/>
  <c r="AG55" i="3"/>
  <c r="AG149" i="3"/>
  <c r="AH126" i="3"/>
  <c r="AH91" i="3"/>
  <c r="AH92" i="3" l="1"/>
  <c r="AH124" i="3" s="1"/>
  <c r="AH125" i="3" s="1"/>
  <c r="AH127" i="3" l="1"/>
  <c r="AH93" i="3"/>
  <c r="AH145" i="3" l="1"/>
  <c r="AH96" i="3"/>
  <c r="AH53" i="3" s="1"/>
  <c r="AH166" i="3"/>
  <c r="AH26" i="4"/>
  <c r="AH30" i="4" s="1"/>
  <c r="AH32" i="4" s="1"/>
  <c r="AH138" i="3"/>
  <c r="AH172" i="3"/>
  <c r="AH131" i="3"/>
  <c r="AH8" i="3" s="1"/>
  <c r="AH47" i="3" l="1"/>
  <c r="AF174" i="3"/>
  <c r="AI130" i="3"/>
  <c r="AH171" i="3"/>
  <c r="AH35" i="3"/>
  <c r="AH66" i="3"/>
  <c r="AH67" i="3" s="1"/>
  <c r="AH7" i="3"/>
  <c r="AI87" i="3"/>
  <c r="AI157" i="3" l="1"/>
  <c r="AI86" i="3"/>
  <c r="AH27" i="3"/>
  <c r="AH25" i="3" s="1"/>
  <c r="AH5" i="3"/>
  <c r="AH169" i="3"/>
  <c r="AH170" i="3"/>
  <c r="AH155" i="3"/>
  <c r="AH152" i="3"/>
  <c r="AH173" i="3"/>
  <c r="AH167" i="3"/>
  <c r="AH156" i="3"/>
  <c r="AH148" i="3"/>
  <c r="AH158" i="3" l="1"/>
  <c r="AH3" i="3"/>
  <c r="AH55" i="3"/>
  <c r="AH161" i="3"/>
  <c r="AH149" i="3"/>
  <c r="AI126" i="3"/>
  <c r="AI91" i="3"/>
  <c r="AI92" i="3" l="1"/>
  <c r="AI124" i="3" s="1"/>
  <c r="AI125" i="3" s="1"/>
  <c r="AI127" i="3" l="1"/>
  <c r="AI93" i="3"/>
  <c r="AI172" i="3" l="1"/>
  <c r="AI131" i="3"/>
  <c r="AI8" i="3" s="1"/>
  <c r="AI138" i="3"/>
  <c r="AI145" i="3"/>
  <c r="AI166" i="3"/>
  <c r="AI96" i="3"/>
  <c r="AI53" i="3" s="1"/>
  <c r="AI26" i="4"/>
  <c r="AI30" i="4" s="1"/>
  <c r="AI47" i="3" l="1"/>
  <c r="AI7" i="3"/>
  <c r="AI66" i="3"/>
  <c r="AI67" i="3" s="1"/>
  <c r="AJ87" i="3"/>
  <c r="AI171" i="3"/>
  <c r="AJ130" i="3"/>
  <c r="AI35" i="3"/>
  <c r="AG174" i="3"/>
  <c r="AI31" i="4"/>
  <c r="AI32" i="4" s="1"/>
  <c r="D34" i="4" s="1"/>
  <c r="AI27" i="3" l="1"/>
  <c r="AI25" i="3" s="1"/>
  <c r="AJ86" i="3"/>
  <c r="AJ157" i="3"/>
  <c r="AI169" i="3"/>
  <c r="AI152" i="3"/>
  <c r="AI170" i="3"/>
  <c r="AI155" i="3"/>
  <c r="AI173" i="3"/>
  <c r="AI5" i="3"/>
  <c r="AI167" i="3"/>
  <c r="AI156" i="3"/>
  <c r="AI148" i="3"/>
  <c r="AI158" i="3" l="1"/>
  <c r="AI55" i="3"/>
  <c r="AI161" i="3"/>
  <c r="AI3" i="3"/>
  <c r="AI149" i="3"/>
  <c r="AJ126" i="3"/>
  <c r="AJ91" i="3"/>
  <c r="AJ92" i="3" l="1"/>
  <c r="AJ124" i="3" s="1"/>
  <c r="AJ125" i="3" s="1"/>
  <c r="AJ127" i="3" l="1"/>
  <c r="AJ93" i="3"/>
  <c r="AJ172" i="3" l="1"/>
  <c r="AJ131" i="3"/>
  <c r="AJ8" i="3" s="1"/>
  <c r="AJ145" i="3"/>
  <c r="AJ26" i="4"/>
  <c r="AJ30" i="4" s="1"/>
  <c r="AJ166" i="3"/>
  <c r="AJ96" i="3"/>
  <c r="AJ138" i="3"/>
  <c r="AJ7" i="3" l="1"/>
  <c r="AJ66" i="3"/>
  <c r="AJ67" i="3" s="1"/>
  <c r="AK87" i="3"/>
  <c r="AJ171" i="3"/>
  <c r="AK130" i="3"/>
  <c r="AJ35" i="3"/>
  <c r="AJ53" i="3"/>
  <c r="AH174" i="3"/>
  <c r="AJ47" i="3" l="1"/>
  <c r="AJ152" i="3" s="1"/>
  <c r="AJ27" i="3"/>
  <c r="AJ25" i="3" s="1"/>
  <c r="AK157" i="3"/>
  <c r="AK86" i="3"/>
  <c r="AJ170" i="3"/>
  <c r="AJ155" i="3"/>
  <c r="AJ169" i="3"/>
  <c r="AJ173" i="3"/>
  <c r="AJ5" i="3"/>
  <c r="AJ158" i="3" l="1"/>
  <c r="AK91" i="3"/>
  <c r="AK126" i="3"/>
  <c r="AJ161" i="3"/>
  <c r="AJ3" i="3"/>
  <c r="AJ55" i="3"/>
  <c r="AJ149" i="3"/>
  <c r="AJ167" i="3"/>
  <c r="AJ156" i="3"/>
  <c r="AJ148" i="3"/>
  <c r="AK92" i="3" l="1"/>
  <c r="AK124" i="3" s="1"/>
  <c r="AK125" i="3" s="1"/>
  <c r="AK93" i="3" l="1"/>
  <c r="AK127" i="3"/>
  <c r="AK145" i="3" l="1"/>
  <c r="AK26" i="4"/>
  <c r="AK30" i="4" s="1"/>
  <c r="AK166" i="3"/>
  <c r="AK96" i="3"/>
  <c r="AK53" i="3" s="1"/>
  <c r="AK138" i="3"/>
  <c r="AK172" i="3"/>
  <c r="AK131" i="3"/>
  <c r="AK8" i="3" s="1"/>
  <c r="AK47" i="3" l="1"/>
  <c r="AK171" i="3"/>
  <c r="AL130" i="3"/>
  <c r="AK35" i="3"/>
  <c r="AK66" i="3"/>
  <c r="AK67" i="3" s="1"/>
  <c r="AK7" i="3"/>
  <c r="AL87" i="3"/>
  <c r="AI174" i="3"/>
  <c r="AK27" i="3" l="1"/>
  <c r="AK25" i="3" s="1"/>
  <c r="AK167" i="3"/>
  <c r="AK156" i="3"/>
  <c r="AK148" i="3"/>
  <c r="AL157" i="3"/>
  <c r="AL86" i="3"/>
  <c r="AK5" i="3"/>
  <c r="AK152" i="3"/>
  <c r="AK169" i="3"/>
  <c r="AK155" i="3"/>
  <c r="AK170" i="3"/>
  <c r="AK173" i="3"/>
  <c r="AK158" i="3" l="1"/>
  <c r="AK3" i="3"/>
  <c r="AK55" i="3"/>
  <c r="AK161" i="3"/>
  <c r="AK149" i="3"/>
  <c r="AL126" i="3"/>
  <c r="AL91" i="3"/>
  <c r="AL92" i="3" l="1"/>
  <c r="AL124" i="3" s="1"/>
  <c r="AL125" i="3" s="1"/>
  <c r="AL127" i="3" l="1"/>
  <c r="AL93" i="3"/>
  <c r="AL145" i="3" l="1"/>
  <c r="AL166" i="3"/>
  <c r="AL96" i="3"/>
  <c r="AL53" i="3" s="1"/>
  <c r="AL138" i="3"/>
  <c r="AL26" i="4"/>
  <c r="AL30" i="4" s="1"/>
  <c r="AL131" i="3"/>
  <c r="AL8" i="3" s="1"/>
  <c r="AL172" i="3"/>
  <c r="AL66" i="3" l="1"/>
  <c r="AL67" i="3" s="1"/>
  <c r="AL7" i="3"/>
  <c r="AM87" i="3"/>
  <c r="AL47" i="3"/>
  <c r="AJ174" i="3"/>
  <c r="AL171" i="3"/>
  <c r="AM130" i="3"/>
  <c r="AL35" i="3"/>
  <c r="AL167" i="3" l="1"/>
  <c r="AL156" i="3"/>
  <c r="AL148" i="3"/>
  <c r="AM157" i="3"/>
  <c r="AM86" i="3"/>
  <c r="AL5" i="3"/>
  <c r="AL27" i="3"/>
  <c r="AL25" i="3" s="1"/>
  <c r="AL170" i="3"/>
  <c r="AL169" i="3"/>
  <c r="AL152" i="3"/>
  <c r="AL155" i="3"/>
  <c r="AL173" i="3"/>
  <c r="AL158" i="3" l="1"/>
  <c r="AL55" i="3"/>
  <c r="AL161" i="3"/>
  <c r="AL3" i="3"/>
  <c r="AL149" i="3"/>
  <c r="AM126" i="3"/>
  <c r="AM91" i="3"/>
  <c r="AM92" i="3" l="1"/>
  <c r="AM124" i="3" s="1"/>
  <c r="AM125" i="3" s="1"/>
  <c r="AM93" i="3" l="1"/>
  <c r="AM166" i="3" s="1"/>
  <c r="AM127" i="3"/>
  <c r="AM26" i="4" l="1"/>
  <c r="AM30" i="4" s="1"/>
  <c r="AM145" i="3"/>
  <c r="AM96" i="3"/>
  <c r="AM53" i="3" s="1"/>
  <c r="AM47" i="3" s="1"/>
  <c r="AM138" i="3"/>
  <c r="AK174" i="3"/>
  <c r="AM131" i="3"/>
  <c r="AM8" i="3" s="1"/>
  <c r="AM172" i="3"/>
  <c r="AM35" i="3" l="1"/>
  <c r="AM27" i="3" s="1"/>
  <c r="AM25" i="3" s="1"/>
  <c r="AM171" i="3"/>
  <c r="AN130" i="3"/>
  <c r="AM66" i="3"/>
  <c r="AM67" i="3" s="1"/>
  <c r="AM7" i="3"/>
  <c r="AN87" i="3"/>
  <c r="AM167" i="3"/>
  <c r="AM156" i="3"/>
  <c r="AM148" i="3"/>
  <c r="AN157" i="3" l="1"/>
  <c r="AN86" i="3"/>
  <c r="AM169" i="3"/>
  <c r="AM155" i="3"/>
  <c r="AM152" i="3"/>
  <c r="AM170" i="3"/>
  <c r="AM173" i="3"/>
  <c r="AM5" i="3"/>
  <c r="AM158" i="3"/>
  <c r="AM55" i="3" l="1"/>
  <c r="AM161" i="3"/>
  <c r="AM3" i="3"/>
  <c r="AM149" i="3"/>
  <c r="AN126" i="3"/>
  <c r="AN91" i="3"/>
  <c r="AN92" i="3" l="1"/>
  <c r="AN124" i="3" s="1"/>
  <c r="AN125" i="3" s="1"/>
  <c r="AN127" i="3" l="1"/>
  <c r="AN93" i="3"/>
  <c r="AN26" i="4" l="1"/>
  <c r="AN30" i="4" s="1"/>
  <c r="AN166" i="3"/>
  <c r="AN96" i="3"/>
  <c r="AN53" i="3" s="1"/>
  <c r="AN145" i="3"/>
  <c r="AN138" i="3"/>
  <c r="AN131" i="3"/>
  <c r="AN8" i="3" s="1"/>
  <c r="AN172" i="3"/>
  <c r="AN171" i="3" l="1"/>
  <c r="AO130" i="3"/>
  <c r="AN35" i="3"/>
  <c r="AN47" i="3"/>
  <c r="AL174" i="3"/>
  <c r="AN7" i="3"/>
  <c r="AN66" i="3"/>
  <c r="AN67" i="3" s="1"/>
  <c r="AO87" i="3"/>
  <c r="AN167" i="3" l="1"/>
  <c r="AN156" i="3"/>
  <c r="AN148" i="3"/>
  <c r="AO86" i="3"/>
  <c r="AO157" i="3"/>
  <c r="AN27" i="3"/>
  <c r="AN25" i="3" s="1"/>
  <c r="AN169" i="3"/>
  <c r="AN152" i="3"/>
  <c r="AN155" i="3"/>
  <c r="AN170" i="3"/>
  <c r="AN173" i="3"/>
  <c r="AN5" i="3"/>
  <c r="AN158" i="3" l="1"/>
  <c r="AN3" i="3"/>
  <c r="AN161" i="3"/>
  <c r="AN55" i="3"/>
  <c r="AN149" i="3"/>
  <c r="AO91" i="3"/>
  <c r="AO126" i="3"/>
  <c r="AO92" i="3" l="1"/>
  <c r="AO124" i="3" s="1"/>
  <c r="AO125" i="3" s="1"/>
  <c r="AO93" i="3" l="1"/>
  <c r="AO138" i="3" s="1"/>
  <c r="AO127" i="3"/>
  <c r="AO96" i="3" l="1"/>
  <c r="AO53" i="3" s="1"/>
  <c r="AO47" i="3" s="1"/>
  <c r="AO26" i="4"/>
  <c r="AO30" i="4" s="1"/>
  <c r="AO145" i="3"/>
  <c r="AO166" i="3"/>
  <c r="AM174" i="3"/>
  <c r="AO131" i="3"/>
  <c r="AO8" i="3" s="1"/>
  <c r="AO172" i="3"/>
  <c r="AO171" i="3" l="1"/>
  <c r="AO35" i="3"/>
  <c r="AO27" i="3" s="1"/>
  <c r="AO25" i="3" s="1"/>
  <c r="AP130" i="3"/>
  <c r="AO167" i="3"/>
  <c r="AO156" i="3"/>
  <c r="AO148" i="3"/>
  <c r="AO7" i="3"/>
  <c r="AO66" i="3"/>
  <c r="AO67" i="3" s="1"/>
  <c r="AP87" i="3"/>
  <c r="AP157" i="3" l="1"/>
  <c r="AP86" i="3"/>
  <c r="AO158" i="3"/>
  <c r="AO5" i="3"/>
  <c r="AO155" i="3"/>
  <c r="AO169" i="3"/>
  <c r="AO170" i="3"/>
  <c r="AO152" i="3"/>
  <c r="AO173" i="3"/>
  <c r="AO55" i="3" l="1"/>
  <c r="AO3" i="3"/>
  <c r="AO161" i="3"/>
  <c r="AO149" i="3"/>
  <c r="AP126" i="3"/>
  <c r="AP91" i="3"/>
  <c r="AP92" i="3" l="1"/>
  <c r="AP124" i="3" s="1"/>
  <c r="AP125" i="3" s="1"/>
  <c r="AP127" i="3" l="1"/>
  <c r="AP93" i="3"/>
  <c r="AP166" i="3" l="1"/>
  <c r="AP145" i="3"/>
  <c r="AP138" i="3"/>
  <c r="AN174" i="3" s="1"/>
  <c r="AP26" i="4"/>
  <c r="AP30" i="4" s="1"/>
  <c r="AP96" i="3"/>
  <c r="AP53" i="3" s="1"/>
  <c r="AP172" i="3"/>
  <c r="AP131" i="3"/>
  <c r="AP8" i="3" s="1"/>
  <c r="AP47" i="3" l="1"/>
  <c r="AP171" i="3"/>
  <c r="AQ130" i="3"/>
  <c r="AP35" i="3"/>
  <c r="AP66" i="3"/>
  <c r="AP67" i="3" s="1"/>
  <c r="AP7" i="3"/>
  <c r="AQ87" i="3"/>
  <c r="AP169" i="3" l="1"/>
  <c r="AP152" i="3"/>
  <c r="AP155" i="3"/>
  <c r="AP170" i="3"/>
  <c r="AP173" i="3"/>
  <c r="AP5" i="3"/>
  <c r="AP27" i="3"/>
  <c r="AP25" i="3" s="1"/>
  <c r="AQ157" i="3"/>
  <c r="AQ86" i="3"/>
  <c r="AP167" i="3"/>
  <c r="AP156" i="3"/>
  <c r="AP148" i="3"/>
  <c r="AP3" i="3" l="1"/>
  <c r="AP55" i="3"/>
  <c r="AP161" i="3"/>
  <c r="AP149" i="3"/>
  <c r="AP158" i="3"/>
  <c r="AQ126" i="3"/>
  <c r="AQ91" i="3"/>
  <c r="AQ92" i="3" l="1"/>
  <c r="AQ124" i="3" s="1"/>
  <c r="AQ125" i="3" s="1"/>
  <c r="AQ93" i="3" l="1"/>
  <c r="AQ96" i="3" s="1"/>
  <c r="AQ127" i="3"/>
  <c r="AQ26" i="4" l="1"/>
  <c r="AQ30" i="4" s="1"/>
  <c r="AQ138" i="3"/>
  <c r="AQ145" i="3"/>
  <c r="AQ166" i="3"/>
  <c r="AR130" i="3"/>
  <c r="AQ171" i="3"/>
  <c r="AQ35" i="3"/>
  <c r="AQ53" i="3"/>
  <c r="AQ172" i="3"/>
  <c r="AQ131" i="3"/>
  <c r="AQ8" i="3" s="1"/>
  <c r="AQ27" i="3" l="1"/>
  <c r="AQ25" i="3" s="1"/>
  <c r="AQ47" i="3"/>
  <c r="AQ7" i="3"/>
  <c r="AQ66" i="3"/>
  <c r="AQ67" i="3" s="1"/>
  <c r="AR87" i="3"/>
  <c r="AR157" i="3" l="1"/>
  <c r="AR86" i="3"/>
  <c r="AQ167" i="3"/>
  <c r="AQ156" i="3"/>
  <c r="AQ148" i="3"/>
  <c r="AQ158" i="3"/>
  <c r="AQ5" i="3"/>
  <c r="AQ169" i="3"/>
  <c r="AQ155" i="3"/>
  <c r="AQ152" i="3"/>
  <c r="AQ170" i="3"/>
  <c r="AQ173" i="3"/>
  <c r="AR126" i="3" l="1"/>
  <c r="AR91" i="3"/>
  <c r="AQ55" i="3"/>
  <c r="AQ161" i="3"/>
  <c r="AQ3" i="3"/>
  <c r="AQ149" i="3"/>
  <c r="AR92" i="3" l="1"/>
  <c r="AR124" i="3" s="1"/>
  <c r="AR125" i="3" s="1"/>
  <c r="AR93" i="3" l="1"/>
  <c r="AR96" i="3" s="1"/>
  <c r="AR127" i="3"/>
  <c r="AR26" i="4" l="1"/>
  <c r="AR30" i="4" s="1"/>
  <c r="AR145" i="3"/>
  <c r="AR53" i="3"/>
  <c r="AR47" i="3" s="1"/>
  <c r="AR166" i="3"/>
  <c r="AR138" i="3"/>
  <c r="AR172" i="3"/>
  <c r="AR131" i="3"/>
  <c r="AR8" i="3" s="1"/>
  <c r="AS130" i="3"/>
  <c r="AR171" i="3"/>
  <c r="AR35" i="3"/>
  <c r="AR27" i="3" l="1"/>
  <c r="AR25" i="3" s="1"/>
  <c r="AR66" i="3"/>
  <c r="AR67" i="3" s="1"/>
  <c r="AR7" i="3"/>
  <c r="AS87" i="3"/>
  <c r="AR167" i="3"/>
  <c r="AR156" i="3"/>
  <c r="AR148" i="3"/>
  <c r="AR152" i="3" l="1"/>
  <c r="AR170" i="3"/>
  <c r="AR155" i="3"/>
  <c r="AR169" i="3"/>
  <c r="AR173" i="3"/>
  <c r="AS157" i="3"/>
  <c r="AS86" i="3"/>
  <c r="AR5" i="3"/>
  <c r="AR158" i="3"/>
  <c r="AR3" i="3" l="1"/>
  <c r="AR55" i="3"/>
  <c r="AR161" i="3"/>
  <c r="AR149" i="3"/>
  <c r="AS126" i="3"/>
  <c r="AS91" i="3"/>
  <c r="AS92" i="3" l="1"/>
  <c r="AS124" i="3" s="1"/>
  <c r="AS125" i="3" s="1"/>
  <c r="AS127" i="3" l="1"/>
  <c r="AS93" i="3"/>
  <c r="AS138" i="3" l="1"/>
  <c r="AS166" i="3"/>
  <c r="AS145" i="3"/>
  <c r="AS26" i="4"/>
  <c r="AS96" i="3"/>
  <c r="AS53" i="3" s="1"/>
  <c r="AS172" i="3"/>
  <c r="AS131" i="3"/>
  <c r="AS8" i="3" s="1"/>
  <c r="AS171" i="3" l="1"/>
  <c r="AT130" i="3"/>
  <c r="AS35" i="3"/>
  <c r="AS47" i="3"/>
  <c r="AS66" i="3"/>
  <c r="AS67" i="3" s="1"/>
  <c r="AS7" i="3"/>
  <c r="AT87" i="3"/>
  <c r="AS5" i="3" l="1"/>
  <c r="AS167" i="3"/>
  <c r="AS156" i="3"/>
  <c r="AS148" i="3"/>
  <c r="AS27" i="3"/>
  <c r="AS25" i="3" s="1"/>
  <c r="AS155" i="3"/>
  <c r="AS152" i="3"/>
  <c r="AS169" i="3"/>
  <c r="AS170" i="3"/>
  <c r="AS173" i="3"/>
  <c r="AT157" i="3"/>
  <c r="AT86" i="3"/>
  <c r="AT126" i="3" l="1"/>
  <c r="AT91" i="3"/>
  <c r="AS161" i="3"/>
  <c r="AS3" i="3"/>
  <c r="AS55" i="3"/>
  <c r="AS149" i="3"/>
  <c r="AS158" i="3"/>
  <c r="AT92" i="3" l="1"/>
  <c r="AT124" i="3" s="1"/>
  <c r="AT125" i="3" s="1"/>
  <c r="AT93" i="3" l="1"/>
  <c r="AT138" i="3" s="1"/>
  <c r="AT127" i="3"/>
  <c r="AT166" i="3" l="1"/>
  <c r="AT26" i="4"/>
  <c r="AT96" i="3"/>
  <c r="AT53" i="3" s="1"/>
  <c r="AT47" i="3" s="1"/>
  <c r="AT145" i="3"/>
  <c r="AT172" i="3"/>
  <c r="AT131" i="3"/>
  <c r="AT8" i="3" s="1"/>
  <c r="AT171" i="3" l="1"/>
  <c r="AT35" i="3"/>
  <c r="AT27" i="3" s="1"/>
  <c r="AT25" i="3" s="1"/>
  <c r="AU130" i="3"/>
  <c r="AT66" i="3"/>
  <c r="AT67" i="3" s="1"/>
  <c r="AU87" i="3"/>
  <c r="AT7" i="3"/>
  <c r="AT167" i="3"/>
  <c r="AT156" i="3"/>
  <c r="AT148" i="3"/>
  <c r="AT169" i="3" l="1"/>
  <c r="AT152" i="3"/>
  <c r="AT170" i="3"/>
  <c r="AT155" i="3"/>
  <c r="AT173" i="3"/>
  <c r="AU157" i="3"/>
  <c r="AU86" i="3"/>
  <c r="AT5" i="3"/>
  <c r="AT158" i="3"/>
  <c r="AT3" i="3" l="1"/>
  <c r="AT161" i="3"/>
  <c r="AT55" i="3"/>
  <c r="AT149" i="3"/>
  <c r="AU126" i="3"/>
  <c r="AU91" i="3"/>
  <c r="AU92" i="3" l="1"/>
  <c r="AU124" i="3" s="1"/>
  <c r="AU125" i="3" s="1"/>
  <c r="AU127" i="3" l="1"/>
  <c r="AU93" i="3"/>
  <c r="AU145" i="3" l="1"/>
  <c r="AU138" i="3"/>
  <c r="AU96" i="3"/>
  <c r="AU26" i="4"/>
  <c r="AU166" i="3"/>
  <c r="AU53" i="3"/>
  <c r="AU131" i="3"/>
  <c r="AU8" i="3" s="1"/>
  <c r="AU172" i="3"/>
  <c r="AU47" i="3" l="1"/>
  <c r="AU171" i="3"/>
  <c r="AV130" i="3"/>
  <c r="AU35" i="3"/>
  <c r="AU66" i="3"/>
  <c r="AU67" i="3" s="1"/>
  <c r="AV87" i="3"/>
  <c r="AU7" i="3"/>
  <c r="AU152" i="3" l="1"/>
  <c r="AU155" i="3"/>
  <c r="AU169" i="3"/>
  <c r="AU170" i="3"/>
  <c r="AU173" i="3"/>
  <c r="AU27" i="3"/>
  <c r="AU25" i="3" s="1"/>
  <c r="AU167" i="3"/>
  <c r="AU156" i="3"/>
  <c r="AU148" i="3"/>
  <c r="AU5" i="3"/>
  <c r="AV157" i="3"/>
  <c r="AV86" i="3"/>
  <c r="AV126" i="3" l="1"/>
  <c r="AV91" i="3"/>
  <c r="AU158" i="3"/>
  <c r="AU161" i="3"/>
  <c r="AU3" i="3"/>
  <c r="AU55" i="3"/>
  <c r="AU149" i="3"/>
  <c r="AV92" i="3" l="1"/>
  <c r="AV124" i="3" s="1"/>
  <c r="AV125" i="3" s="1"/>
  <c r="AV127" i="3" l="1"/>
  <c r="AV93" i="3"/>
  <c r="AV145" i="3" l="1"/>
  <c r="AV166" i="3"/>
  <c r="AV26" i="4"/>
  <c r="AV96" i="3"/>
  <c r="AV53" i="3" s="1"/>
  <c r="AV138" i="3"/>
  <c r="AV172" i="3"/>
  <c r="AV131" i="3"/>
  <c r="AV8" i="3" s="1"/>
  <c r="AV171" i="3" l="1"/>
  <c r="AW130" i="3"/>
  <c r="AV35" i="3"/>
  <c r="AV47" i="3"/>
  <c r="AV66" i="3"/>
  <c r="AV67" i="3" s="1"/>
  <c r="AV7" i="3"/>
  <c r="AW87" i="3"/>
  <c r="AW157" i="3" l="1"/>
  <c r="AW86" i="3"/>
  <c r="AV152" i="3"/>
  <c r="AV170" i="3"/>
  <c r="AV169" i="3"/>
  <c r="AV155" i="3"/>
  <c r="AV173" i="3"/>
  <c r="AV27" i="3"/>
  <c r="AV25" i="3" s="1"/>
  <c r="AV5" i="3"/>
  <c r="AV167" i="3"/>
  <c r="AV156" i="3"/>
  <c r="AV148" i="3"/>
  <c r="AV158" i="3" l="1"/>
  <c r="AW126" i="3"/>
  <c r="AW91" i="3"/>
  <c r="AV55" i="3"/>
  <c r="AV3" i="3"/>
  <c r="AV161" i="3"/>
  <c r="AV149" i="3"/>
  <c r="AW92" i="3" l="1"/>
  <c r="AW124" i="3" s="1"/>
  <c r="AW125" i="3" s="1"/>
  <c r="AW127" i="3" l="1"/>
  <c r="AW93" i="3"/>
  <c r="AW96" i="3" l="1"/>
  <c r="AW53" i="3" s="1"/>
  <c r="AW166" i="3"/>
  <c r="AW138" i="3"/>
  <c r="AW26" i="4"/>
  <c r="AW145" i="3"/>
  <c r="AW131" i="3"/>
  <c r="AW8" i="3" s="1"/>
  <c r="AW172" i="3"/>
  <c r="AW66" i="3" l="1"/>
  <c r="AW67" i="3" s="1"/>
  <c r="AW7" i="3"/>
  <c r="AX87" i="3"/>
  <c r="AX130" i="3"/>
  <c r="AW171" i="3"/>
  <c r="AW35" i="3"/>
  <c r="AW47" i="3"/>
  <c r="AW170" i="3" l="1"/>
  <c r="AW155" i="3"/>
  <c r="AW169" i="3"/>
  <c r="AW152" i="3"/>
  <c r="AW173" i="3"/>
  <c r="AW27" i="3"/>
  <c r="AW25" i="3" s="1"/>
  <c r="AW167" i="3"/>
  <c r="AW156" i="3"/>
  <c r="AW148" i="3"/>
  <c r="AX157" i="3"/>
  <c r="AX86" i="3"/>
  <c r="AW5" i="3"/>
  <c r="AW55" i="3" l="1"/>
  <c r="AW3" i="3"/>
  <c r="AW161" i="3"/>
  <c r="AW149" i="3"/>
  <c r="AW158" i="3"/>
  <c r="AX126" i="3"/>
  <c r="AX91" i="3"/>
  <c r="AX92" i="3" l="1"/>
  <c r="AX124" i="3" s="1"/>
  <c r="AX125" i="3" s="1"/>
  <c r="AX127" i="3" l="1"/>
  <c r="AX93" i="3"/>
  <c r="AX138" i="3" l="1"/>
  <c r="AX26" i="4"/>
  <c r="AX145" i="3"/>
  <c r="AX166" i="3"/>
  <c r="AX96" i="3"/>
  <c r="AX53" i="3" s="1"/>
  <c r="AX131" i="3"/>
  <c r="AX8" i="3" s="1"/>
  <c r="AX172" i="3"/>
  <c r="AX47" i="3" l="1"/>
  <c r="AX171" i="3"/>
  <c r="AY130" i="3"/>
  <c r="AX35" i="3"/>
  <c r="AX7" i="3"/>
  <c r="AX66" i="3"/>
  <c r="AX67" i="3" s="1"/>
  <c r="AY87" i="3"/>
  <c r="AX155" i="3" l="1"/>
  <c r="AX169" i="3"/>
  <c r="AX152" i="3"/>
  <c r="AX170" i="3"/>
  <c r="AX173" i="3"/>
  <c r="AX5" i="3"/>
  <c r="AX27" i="3"/>
  <c r="AX25" i="3" s="1"/>
  <c r="AY157" i="3"/>
  <c r="AY86" i="3"/>
  <c r="AX167" i="3"/>
  <c r="AX156" i="3"/>
  <c r="AX148" i="3"/>
  <c r="AX158" i="3" l="1"/>
  <c r="AX161" i="3"/>
  <c r="AX55" i="3"/>
  <c r="AX3" i="3"/>
  <c r="AX149" i="3"/>
  <c r="AY126" i="3"/>
  <c r="AY91" i="3"/>
  <c r="AY92" i="3" l="1"/>
  <c r="AY124" i="3" s="1"/>
  <c r="AY125" i="3" s="1"/>
  <c r="AY93" i="3" l="1"/>
  <c r="AY138" i="3" s="1"/>
  <c r="AY127" i="3"/>
  <c r="AY26" i="4" l="1"/>
  <c r="AY166" i="3"/>
  <c r="AY145" i="3"/>
  <c r="AY96" i="3"/>
  <c r="AY53" i="3" s="1"/>
  <c r="AY47" i="3" s="1"/>
  <c r="AY172" i="3"/>
  <c r="AY131" i="3"/>
  <c r="AY8" i="3" s="1"/>
  <c r="AY35" i="3" l="1"/>
  <c r="AY27" i="3" s="1"/>
  <c r="AY25" i="3" s="1"/>
  <c r="AZ130" i="3"/>
  <c r="AY171" i="3"/>
  <c r="AY66" i="3"/>
  <c r="AY67" i="3" s="1"/>
  <c r="AY7" i="3"/>
  <c r="AZ87" i="3"/>
  <c r="AY167" i="3"/>
  <c r="AY156" i="3"/>
  <c r="AY148" i="3"/>
  <c r="AZ86" i="3" l="1"/>
  <c r="AZ157" i="3"/>
  <c r="AY5" i="3"/>
  <c r="AY158" i="3"/>
  <c r="AY170" i="3"/>
  <c r="AY155" i="3"/>
  <c r="AY169" i="3"/>
  <c r="AY152" i="3"/>
  <c r="AY173" i="3"/>
  <c r="AY3" i="3" l="1"/>
  <c r="AY161" i="3"/>
  <c r="AY55" i="3"/>
  <c r="AY149" i="3"/>
  <c r="AZ126" i="3"/>
  <c r="AZ91" i="3"/>
  <c r="AZ92" i="3" l="1"/>
  <c r="AZ124" i="3" s="1"/>
  <c r="AZ125" i="3" s="1"/>
  <c r="AZ127" i="3" l="1"/>
  <c r="AZ93" i="3"/>
  <c r="AZ138" i="3" l="1"/>
  <c r="AZ26" i="4"/>
  <c r="AZ166" i="3"/>
  <c r="AZ96" i="3"/>
  <c r="AZ145" i="3"/>
  <c r="AZ53" i="3"/>
  <c r="AZ131" i="3"/>
  <c r="AZ8" i="3" s="1"/>
  <c r="AZ172" i="3"/>
  <c r="AZ47" i="3" l="1"/>
  <c r="AZ171" i="3"/>
  <c r="BA130" i="3"/>
  <c r="AZ35" i="3"/>
  <c r="AZ7" i="3"/>
  <c r="BA87" i="3"/>
  <c r="AZ66" i="3"/>
  <c r="AZ67" i="3" s="1"/>
  <c r="AZ5" i="3" l="1"/>
  <c r="BA157" i="3"/>
  <c r="BA86" i="3"/>
  <c r="AZ27" i="3"/>
  <c r="AZ25" i="3" s="1"/>
  <c r="AZ169" i="3"/>
  <c r="AZ152" i="3"/>
  <c r="AZ155" i="3"/>
  <c r="AZ170" i="3"/>
  <c r="AZ173" i="3"/>
  <c r="AZ167" i="3"/>
  <c r="AZ156" i="3"/>
  <c r="AZ148" i="3"/>
  <c r="BA126" i="3" l="1"/>
  <c r="BA91" i="3"/>
  <c r="AZ161" i="3"/>
  <c r="AZ55" i="3"/>
  <c r="AZ3" i="3"/>
  <c r="AZ149" i="3"/>
  <c r="AZ158" i="3"/>
  <c r="BA92" i="3" l="1"/>
  <c r="BA124" i="3" s="1"/>
  <c r="BA125" i="3" s="1"/>
  <c r="BA127" i="3" l="1"/>
  <c r="BA93" i="3"/>
  <c r="BA96" i="3" l="1"/>
  <c r="BA53" i="3" s="1"/>
  <c r="BA166" i="3"/>
  <c r="BA138" i="3"/>
  <c r="BA145" i="3"/>
  <c r="BA26" i="4"/>
  <c r="BA172" i="3"/>
  <c r="BA131" i="3"/>
  <c r="BA8" i="3" s="1"/>
  <c r="BA47" i="3" l="1"/>
  <c r="BA66" i="3"/>
  <c r="BA67" i="3" s="1"/>
  <c r="BB87" i="3"/>
  <c r="BA7" i="3"/>
  <c r="BB130" i="3"/>
  <c r="BA171" i="3"/>
  <c r="BA35" i="3"/>
  <c r="BB157" i="3" l="1"/>
  <c r="BB86" i="3"/>
  <c r="BA155" i="3"/>
  <c r="BA170" i="3"/>
  <c r="BA152" i="3"/>
  <c r="BA169" i="3"/>
  <c r="BA173" i="3"/>
  <c r="BA5" i="3"/>
  <c r="BA27" i="3"/>
  <c r="BA25" i="3" s="1"/>
  <c r="BA167" i="3"/>
  <c r="BA156" i="3"/>
  <c r="BA148" i="3"/>
  <c r="BA158" i="3" l="1"/>
  <c r="BB126" i="3"/>
  <c r="BB91" i="3"/>
  <c r="BA55" i="3"/>
  <c r="BA161" i="3"/>
  <c r="BA3" i="3"/>
  <c r="BA149" i="3"/>
  <c r="BB92" i="3" l="1"/>
  <c r="BB124" i="3" s="1"/>
  <c r="BB125" i="3" s="1"/>
  <c r="BB127" i="3" l="1"/>
  <c r="BB93" i="3"/>
  <c r="BB26" i="4" l="1"/>
  <c r="BB145" i="3"/>
  <c r="BB138" i="3"/>
  <c r="BB166" i="3"/>
  <c r="BB96" i="3"/>
  <c r="BB53" i="3" s="1"/>
  <c r="BB131" i="3"/>
  <c r="BB8" i="3" s="1"/>
  <c r="BB172" i="3"/>
  <c r="BB47" i="3" l="1"/>
  <c r="BC130" i="3"/>
  <c r="BB171" i="3"/>
  <c r="BB35" i="3"/>
  <c r="BB7" i="3"/>
  <c r="BB66" i="3"/>
  <c r="BB67" i="3" s="1"/>
  <c r="BC87" i="3"/>
  <c r="BB5" i="3" l="1"/>
  <c r="BC157" i="3"/>
  <c r="BC86" i="3"/>
  <c r="BB167" i="3"/>
  <c r="BB156" i="3"/>
  <c r="BB148" i="3"/>
  <c r="BB169" i="3"/>
  <c r="BB152" i="3"/>
  <c r="BB170" i="3"/>
  <c r="BB155" i="3"/>
  <c r="BB173" i="3"/>
  <c r="BB27" i="3"/>
  <c r="BB25" i="3" s="1"/>
  <c r="BC91" i="3" l="1"/>
  <c r="BC126" i="3"/>
  <c r="BB161" i="3"/>
  <c r="BB55" i="3"/>
  <c r="BB3" i="3"/>
  <c r="BB149" i="3"/>
  <c r="BB158" i="3"/>
  <c r="BC92" i="3" l="1"/>
  <c r="BC124" i="3" s="1"/>
  <c r="BC125" i="3" s="1"/>
  <c r="BC93" i="3" l="1"/>
  <c r="BC166" i="3" s="1"/>
  <c r="BC127" i="3"/>
  <c r="BC145" i="3" l="1"/>
  <c r="BC96" i="3"/>
  <c r="BD130" i="3" s="1"/>
  <c r="BC138" i="3"/>
  <c r="BC26" i="4"/>
  <c r="BC131" i="3"/>
  <c r="BC8" i="3" s="1"/>
  <c r="BC172" i="3"/>
  <c r="BC53" i="3" l="1"/>
  <c r="BC47" i="3" s="1"/>
  <c r="BC35" i="3"/>
  <c r="BC27" i="3" s="1"/>
  <c r="BC25" i="3" s="1"/>
  <c r="BC171" i="3"/>
  <c r="BC66" i="3"/>
  <c r="BC67" i="3" s="1"/>
  <c r="BD87" i="3"/>
  <c r="BC7" i="3"/>
  <c r="BC167" i="3" l="1"/>
  <c r="BC156" i="3"/>
  <c r="BC148" i="3"/>
  <c r="BC5" i="3"/>
  <c r="BC158" i="3"/>
  <c r="BD157" i="3"/>
  <c r="BD86" i="3"/>
  <c r="BC152" i="3"/>
  <c r="BC169" i="3"/>
  <c r="BC155" i="3"/>
  <c r="BC170" i="3"/>
  <c r="BC173" i="3"/>
  <c r="BC55" i="3" l="1"/>
  <c r="BC161" i="3"/>
  <c r="BC3" i="3"/>
  <c r="BC149" i="3"/>
  <c r="BD91" i="3"/>
  <c r="BD126" i="3"/>
  <c r="BD92" i="3" l="1"/>
  <c r="BD124" i="3" s="1"/>
  <c r="BD125" i="3" s="1"/>
  <c r="BD93" i="3" l="1"/>
  <c r="BD26" i="4" s="1"/>
  <c r="BD127" i="3"/>
  <c r="BD145" i="3" l="1"/>
  <c r="BD96" i="3"/>
  <c r="BD53" i="3" s="1"/>
  <c r="BD47" i="3" s="1"/>
  <c r="BD156" i="3" s="1"/>
  <c r="BD166" i="3"/>
  <c r="BD138" i="3"/>
  <c r="BD131" i="3"/>
  <c r="BD8" i="3" s="1"/>
  <c r="BD172" i="3"/>
  <c r="BD148" i="3" l="1"/>
  <c r="BD167" i="3"/>
  <c r="BD171" i="3"/>
  <c r="BD35" i="3"/>
  <c r="BD27" i="3" s="1"/>
  <c r="BD25" i="3" s="1"/>
  <c r="BD7" i="3"/>
  <c r="BD66" i="3"/>
  <c r="BD67" i="3" s="1"/>
  <c r="BD152" i="3" l="1"/>
  <c r="BD169" i="3"/>
  <c r="BD155" i="3"/>
  <c r="BD170" i="3"/>
  <c r="BD173" i="3"/>
  <c r="BD158" i="3"/>
  <c r="BD5" i="3"/>
  <c r="BD161" i="3" l="1"/>
  <c r="BD3" i="3"/>
  <c r="BD55" i="3"/>
  <c r="BD149" i="3"/>
</calcChain>
</file>

<file path=xl/comments1.xml><?xml version="1.0" encoding="utf-8"?>
<comments xmlns="http://schemas.openxmlformats.org/spreadsheetml/2006/main">
  <authors>
    <author>Heloisa Cruz</author>
  </authors>
  <commentList>
    <comment ref="B196" authorId="0" shapeId="0">
      <text>
        <r>
          <rPr>
            <b/>
            <sz val="9"/>
            <color indexed="81"/>
            <rFont val="Segoe UI"/>
            <family val="2"/>
          </rPr>
          <t>Heloisa Cruz em TUPY:</t>
        </r>
        <r>
          <rPr>
            <sz val="9"/>
            <color indexed="81"/>
            <rFont val="Segoe UI"/>
            <family val="2"/>
          </rPr>
          <t xml:space="preserve">
De acordo com a empresa, o capex de 4% sobre a RL permitiria a empresa melhorar marginalmente a capacidade. Colocarei 5% para um aumento de capacidade de cerca de 2% ao ano
</t>
        </r>
      </text>
    </comment>
  </commentList>
</comments>
</file>

<file path=xl/comments2.xml><?xml version="1.0" encoding="utf-8"?>
<comments xmlns="http://schemas.openxmlformats.org/spreadsheetml/2006/main">
  <authors>
    <author>Heloisa Cruz</author>
  </authors>
  <commentList>
    <comment ref="B103" authorId="0" shapeId="0">
      <text>
        <r>
          <rPr>
            <b/>
            <sz val="9"/>
            <color indexed="81"/>
            <rFont val="Segoe UI"/>
            <family val="2"/>
          </rPr>
          <t>Heloisa Cruz:</t>
        </r>
        <r>
          <rPr>
            <sz val="9"/>
            <color indexed="81"/>
            <rFont val="Segoe UI"/>
            <family val="2"/>
          </rPr>
          <t xml:space="preserve">
TUPY: estou colocando como igual ao custo da moeda nacional apesar de ser menor </t>
        </r>
      </text>
    </comment>
  </commentList>
</comments>
</file>

<file path=xl/comments3.xml><?xml version="1.0" encoding="utf-8"?>
<comments xmlns="http://schemas.openxmlformats.org/spreadsheetml/2006/main">
  <authors>
    <author>Heloisa Cruz</author>
  </authors>
  <commentList>
    <comment ref="O3" authorId="0" shapeId="0">
      <text>
        <r>
          <rPr>
            <b/>
            <sz val="9"/>
            <color indexed="81"/>
            <rFont val="Segoe UI"/>
            <family val="2"/>
          </rPr>
          <t>Heloisa Cruz:</t>
        </r>
        <r>
          <rPr>
            <sz val="9"/>
            <color indexed="81"/>
            <rFont val="Segoe UI"/>
            <family val="2"/>
          </rPr>
          <t xml:space="preserve">
Ctrl+x
Ctrl+v
Verificar se a fórmula está puxando do local certo</t>
        </r>
      </text>
    </comment>
  </commentList>
</comments>
</file>

<file path=xl/sharedStrings.xml><?xml version="1.0" encoding="utf-8"?>
<sst xmlns="http://schemas.openxmlformats.org/spreadsheetml/2006/main" count="811" uniqueCount="522">
  <si>
    <t>Lucro (Prejuízo) Líquido</t>
  </si>
  <si>
    <t>Investimentos</t>
  </si>
  <si>
    <t>Fluxo de caixa livre</t>
  </si>
  <si>
    <t>Free cash flow</t>
  </si>
  <si>
    <t>Margens</t>
  </si>
  <si>
    <t>Market Cap</t>
  </si>
  <si>
    <t>Capital investido</t>
  </si>
  <si>
    <t>Invested capital</t>
  </si>
  <si>
    <t>DSO</t>
  </si>
  <si>
    <t>DIO</t>
  </si>
  <si>
    <t>DPO</t>
  </si>
  <si>
    <t>Liquidez corrente</t>
  </si>
  <si>
    <t>Liquidez seca</t>
  </si>
  <si>
    <t>Liquidez geral</t>
  </si>
  <si>
    <t>Domestic market</t>
  </si>
  <si>
    <t>Foreign market</t>
  </si>
  <si>
    <t>Automotive</t>
  </si>
  <si>
    <t>Passenger cars</t>
  </si>
  <si>
    <t>Commercial Vehicles</t>
  </si>
  <si>
    <t>Off-road</t>
  </si>
  <si>
    <t>Hydraulics</t>
  </si>
  <si>
    <t>COGS</t>
  </si>
  <si>
    <t>Cash COGS</t>
  </si>
  <si>
    <t>Outros</t>
  </si>
  <si>
    <t>Lucro Bruto Cash</t>
  </si>
  <si>
    <t>Cash Gross profit</t>
  </si>
  <si>
    <t>% sobre Receitas</t>
  </si>
  <si>
    <t>% over Revenues</t>
  </si>
  <si>
    <t>Depreciação do CPV</t>
  </si>
  <si>
    <t>COGS depreciation</t>
  </si>
  <si>
    <t>Sales expenses</t>
  </si>
  <si>
    <t>Administrative expenses</t>
  </si>
  <si>
    <t>Net income before financial results and income taxes</t>
  </si>
  <si>
    <t>Caixa e equivalentes de caixa</t>
  </si>
  <si>
    <t>Cash and cash equivalents</t>
  </si>
  <si>
    <t>Contas a receber</t>
  </si>
  <si>
    <t>Accounts receivables</t>
  </si>
  <si>
    <t xml:space="preserve">Estoques </t>
  </si>
  <si>
    <t>Inventories</t>
  </si>
  <si>
    <t>Other recoverable tax assets</t>
  </si>
  <si>
    <t>PP&amp;E</t>
  </si>
  <si>
    <t>Intangível</t>
  </si>
  <si>
    <t>Passivo</t>
  </si>
  <si>
    <t>Liabilities</t>
  </si>
  <si>
    <t>Fornecedores</t>
  </si>
  <si>
    <t>Accounts payables</t>
  </si>
  <si>
    <t xml:space="preserve">Financiamentos e empréstimos </t>
  </si>
  <si>
    <t>Loans</t>
  </si>
  <si>
    <t>Debêntures</t>
  </si>
  <si>
    <t>Debentures</t>
  </si>
  <si>
    <t>Partes relacionadas</t>
  </si>
  <si>
    <t>Related parties</t>
  </si>
  <si>
    <t>Dividendos e juros sobre capital próprio</t>
  </si>
  <si>
    <t>Dividends and interest on shareholders's equity</t>
  </si>
  <si>
    <t>Passivo circulante</t>
  </si>
  <si>
    <t>Current liabilites</t>
  </si>
  <si>
    <t>Obrigações de benefícios de aposentadoria</t>
  </si>
  <si>
    <t>Retirement benefit obligations</t>
  </si>
  <si>
    <t>Outros passivos de longo prazo</t>
  </si>
  <si>
    <t>Other long-term liabilities</t>
  </si>
  <si>
    <t>Passivo não-circulante</t>
  </si>
  <si>
    <t>Long-term liabilites</t>
  </si>
  <si>
    <t>Patrimônio Líquido</t>
  </si>
  <si>
    <t>Equity</t>
  </si>
  <si>
    <t xml:space="preserve">Capital social </t>
  </si>
  <si>
    <t>Paid in capital</t>
  </si>
  <si>
    <t>Expenses with issue of shares</t>
  </si>
  <si>
    <t>Remuneração baseada em ações</t>
  </si>
  <si>
    <t>Stock option plan</t>
  </si>
  <si>
    <t>Ajuste de avaliação patrimonial</t>
  </si>
  <si>
    <t>Equity valuation adjustments</t>
  </si>
  <si>
    <t>Reservas de lucros</t>
  </si>
  <si>
    <t>Profit reserves</t>
  </si>
  <si>
    <t>Lucros acumulados</t>
  </si>
  <si>
    <t>Retained Earnings</t>
  </si>
  <si>
    <t>Estoques</t>
  </si>
  <si>
    <t>Imposto de renda e contribuição social pagos</t>
  </si>
  <si>
    <t>Gross Profit</t>
  </si>
  <si>
    <t>América do Norte</t>
  </si>
  <si>
    <t>Depreciação</t>
  </si>
  <si>
    <t>Depreciation</t>
  </si>
  <si>
    <t>Total</t>
  </si>
  <si>
    <t>Amortização de intangíveis</t>
  </si>
  <si>
    <t>Amortization of intangible assets</t>
  </si>
  <si>
    <t>Receita Bruta</t>
  </si>
  <si>
    <t>Deduções</t>
  </si>
  <si>
    <t>Receita Líquida</t>
  </si>
  <si>
    <t>Lucro Bruto</t>
  </si>
  <si>
    <t>Despesas operacionais</t>
  </si>
  <si>
    <t>EBITDA</t>
  </si>
  <si>
    <t>CAPEX</t>
  </si>
  <si>
    <t>Gross Sales</t>
  </si>
  <si>
    <t>Deductions</t>
  </si>
  <si>
    <t>Net Sales</t>
  </si>
  <si>
    <t>Costs</t>
  </si>
  <si>
    <t>Operating Expenses</t>
  </si>
  <si>
    <t>Margem Bruta</t>
  </si>
  <si>
    <t>Var% YoY</t>
  </si>
  <si>
    <t>% da Receita Bruta</t>
  </si>
  <si>
    <t>Check</t>
  </si>
  <si>
    <t>% of Gross Sales</t>
  </si>
  <si>
    <t>Premissas Macro</t>
  </si>
  <si>
    <t>Cres % PIB Brasil</t>
  </si>
  <si>
    <t>Cres % PIB Mundial</t>
  </si>
  <si>
    <t>R$/US$ médio</t>
  </si>
  <si>
    <t>R$/US$ Fim de Período</t>
  </si>
  <si>
    <t>SELIC%</t>
  </si>
  <si>
    <t>Inflação BR %</t>
  </si>
  <si>
    <t>Ativo Total</t>
  </si>
  <si>
    <t>Total Assets</t>
  </si>
  <si>
    <t>Ativo Circulante</t>
  </si>
  <si>
    <t>Current Assets</t>
  </si>
  <si>
    <t>Impostos</t>
  </si>
  <si>
    <t>Outros Ativos</t>
  </si>
  <si>
    <t>Ativo Não Circulante</t>
  </si>
  <si>
    <t>Ativos Biológicos de CP</t>
  </si>
  <si>
    <t>Tax</t>
  </si>
  <si>
    <t>Ativo Biologico</t>
  </si>
  <si>
    <t>Outros Ativos não Circulantes</t>
  </si>
  <si>
    <t>Ativo Permanente</t>
  </si>
  <si>
    <t>Imobilizado</t>
  </si>
  <si>
    <t>ST Biological Assets</t>
  </si>
  <si>
    <t>Long Term Assets</t>
  </si>
  <si>
    <t>LT Biological Assets</t>
  </si>
  <si>
    <t>Receita Bruta (R$ MM)</t>
  </si>
  <si>
    <t>Deduções (R$ MM)</t>
  </si>
  <si>
    <t>Receita Líquida (R$ MM)</t>
  </si>
  <si>
    <t>Custo dos Produtos Vendidos (CPV)</t>
  </si>
  <si>
    <t xml:space="preserve">EBITDA Ajustado </t>
  </si>
  <si>
    <t>Equity Investments</t>
  </si>
  <si>
    <t>Intangible Assets</t>
  </si>
  <si>
    <t>Tax Payable</t>
  </si>
  <si>
    <t>Dívidas em Outras moedas</t>
  </si>
  <si>
    <t>Dívidas em BRL</t>
  </si>
  <si>
    <t>BRL Debt</t>
  </si>
  <si>
    <t>Other Currencies Debt</t>
  </si>
  <si>
    <t>Impostos &amp; Salários a Pagar</t>
  </si>
  <si>
    <t>Provisões</t>
  </si>
  <si>
    <t>Provisions</t>
  </si>
  <si>
    <t>Other Long Term Assets</t>
  </si>
  <si>
    <t>Fixed Assets</t>
  </si>
  <si>
    <t>% das dívidas ex BRL</t>
  </si>
  <si>
    <t>% of Debt in Foreign Currencies</t>
  </si>
  <si>
    <t>Outros passivos de Curto prazo</t>
  </si>
  <si>
    <t>Other short-term liabilities</t>
  </si>
  <si>
    <t>Suporte Balanços</t>
  </si>
  <si>
    <t>Balanço</t>
  </si>
  <si>
    <t>Balance Sheets</t>
  </si>
  <si>
    <t>Demonstrativo de resultados</t>
  </si>
  <si>
    <t>Income Statement</t>
  </si>
  <si>
    <t>Outras Despesas</t>
  </si>
  <si>
    <t>Resultado Financeiro</t>
  </si>
  <si>
    <t>Receitas Financeiras</t>
  </si>
  <si>
    <t>Despesas Financeiras</t>
  </si>
  <si>
    <t>Variação cambial</t>
  </si>
  <si>
    <t>Despesas de Vendas</t>
  </si>
  <si>
    <t>Despesas Gerais e Administrativas</t>
  </si>
  <si>
    <t>Lucro antes de Impostos</t>
  </si>
  <si>
    <t>Imposto de Renda e CSLL</t>
  </si>
  <si>
    <t>Lucro Líquido</t>
  </si>
  <si>
    <t>Other Expenses</t>
  </si>
  <si>
    <t>Equivalência Patrimonial</t>
  </si>
  <si>
    <t>EBIT</t>
  </si>
  <si>
    <t>Financial Result</t>
  </si>
  <si>
    <t>Financial Income</t>
  </si>
  <si>
    <t>Financial Expenses</t>
  </si>
  <si>
    <t>FX Gains/ Losses</t>
  </si>
  <si>
    <t>EBT</t>
  </si>
  <si>
    <t>Net Income</t>
  </si>
  <si>
    <t>Custo dos Produtos</t>
  </si>
  <si>
    <t>Remuneração do Caixa</t>
  </si>
  <si>
    <t>Custo da Dívida Estrangeira</t>
  </si>
  <si>
    <t>Pay-Out de Dividendos</t>
  </si>
  <si>
    <t>Dividend Payout</t>
  </si>
  <si>
    <t>Dividendos</t>
  </si>
  <si>
    <t>Fluxo de Caixa</t>
  </si>
  <si>
    <t>Cash Flows</t>
  </si>
  <si>
    <t>Alíquota de IR</t>
  </si>
  <si>
    <t>Amortização</t>
  </si>
  <si>
    <t>Outras contas</t>
  </si>
  <si>
    <t xml:space="preserve"> Variação no Capital de giro</t>
  </si>
  <si>
    <t>(-) CAPEX</t>
  </si>
  <si>
    <t>FREE CASH FLOW TO FIRM</t>
  </si>
  <si>
    <t>FREE CASH FLOW TO EQUITY</t>
  </si>
  <si>
    <t>(+) Aumento da Dívida</t>
  </si>
  <si>
    <t>(+) Subscrição de Ações</t>
  </si>
  <si>
    <t>(-) Dividendos pagos</t>
  </si>
  <si>
    <t>Variação de Caixa</t>
  </si>
  <si>
    <r>
      <rPr>
        <sz val="9"/>
        <rFont val="Symbol"/>
        <family val="1"/>
        <charset val="2"/>
      </rPr>
      <t>D</t>
    </r>
    <r>
      <rPr>
        <sz val="10"/>
        <rFont val="Calibri"/>
        <family val="2"/>
        <scheme val="minor"/>
      </rPr>
      <t xml:space="preserve"> Recebíveis</t>
    </r>
  </si>
  <si>
    <r>
      <rPr>
        <sz val="9"/>
        <rFont val="Symbol"/>
        <family val="1"/>
        <charset val="2"/>
      </rPr>
      <t>D</t>
    </r>
    <r>
      <rPr>
        <sz val="10"/>
        <rFont val="Calibri"/>
        <family val="2"/>
        <scheme val="minor"/>
      </rPr>
      <t xml:space="preserve"> Estoques</t>
    </r>
  </si>
  <si>
    <r>
      <rPr>
        <sz val="9"/>
        <rFont val="Symbol"/>
        <family val="1"/>
        <charset val="2"/>
      </rPr>
      <t>D</t>
    </r>
    <r>
      <rPr>
        <sz val="10"/>
        <rFont val="Calibri"/>
        <family val="2"/>
        <scheme val="minor"/>
      </rPr>
      <t xml:space="preserve"> Fornecedores</t>
    </r>
  </si>
  <si>
    <r>
      <rPr>
        <sz val="9"/>
        <rFont val="Symbol"/>
        <family val="1"/>
        <charset val="2"/>
      </rPr>
      <t>D</t>
    </r>
    <r>
      <rPr>
        <sz val="10"/>
        <rFont val="Calibri"/>
        <family val="2"/>
        <scheme val="minor"/>
      </rPr>
      <t xml:space="preserve"> Impostos</t>
    </r>
  </si>
  <si>
    <t>Ajustes</t>
  </si>
  <si>
    <t>Contas a Receber/ Receita Líquida</t>
  </si>
  <si>
    <t>Fornecedores/ReceitaLíquida</t>
  </si>
  <si>
    <t>Estoques/Receita Líquida</t>
  </si>
  <si>
    <t>Dívida Bruta</t>
  </si>
  <si>
    <t>Caixa</t>
  </si>
  <si>
    <t>Dívida Líquida</t>
  </si>
  <si>
    <t>% sobre Imobilizado ano anterior</t>
  </si>
  <si>
    <t>% sobre Intangível ano anterior</t>
  </si>
  <si>
    <t>(-) Impostos</t>
  </si>
  <si>
    <t>(-) Resultado Financeiro</t>
  </si>
  <si>
    <t>Indicadores &amp; Analises</t>
  </si>
  <si>
    <t>Indicators &amp; Analysis</t>
  </si>
  <si>
    <t>Crescimento</t>
  </si>
  <si>
    <t>EBITDA% YoY</t>
  </si>
  <si>
    <t>Lucro Líquido % YoY</t>
  </si>
  <si>
    <t>Margem Bruta%</t>
  </si>
  <si>
    <t>Margem EBIT%</t>
  </si>
  <si>
    <t>Margem EBITDA%</t>
  </si>
  <si>
    <t>Margem Líquida%</t>
  </si>
  <si>
    <t>Margem EBITDA Ajustado%</t>
  </si>
  <si>
    <t>Color Code</t>
  </si>
  <si>
    <t>xxx</t>
  </si>
  <si>
    <t>Dados trazidos da pasta "BD", que é o banco de dados</t>
  </si>
  <si>
    <t>Fórmulas simples</t>
  </si>
  <si>
    <t xml:space="preserve">Projeções </t>
  </si>
  <si>
    <t>Inputs manuais de projeções</t>
  </si>
  <si>
    <t>Números de Suporte</t>
  </si>
  <si>
    <t>Capital de Giro</t>
  </si>
  <si>
    <t>Retorno</t>
  </si>
  <si>
    <t>ROE (Retorno sobre o Patrimônio médio)</t>
  </si>
  <si>
    <t>ROA (retorno sobre Ativos)</t>
  </si>
  <si>
    <t>ROIC (Retorno sobre o Capital Investido)</t>
  </si>
  <si>
    <t>ROIC com Imobilizado</t>
  </si>
  <si>
    <t>Mercado</t>
  </si>
  <si>
    <t>P/E ou Preço/Lucro (x)</t>
  </si>
  <si>
    <t>P/BV ou Preço/ Valor Patrimonial (x)</t>
  </si>
  <si>
    <t>P/S ou Preço/Receita Líquida (x)</t>
  </si>
  <si>
    <t>EV/EBITDA (x)</t>
  </si>
  <si>
    <t>EV/EBIT (x)</t>
  </si>
  <si>
    <t>Dividend Yield% (Cot fim)</t>
  </si>
  <si>
    <t>Alavancagem</t>
  </si>
  <si>
    <t>FCFE yield %</t>
  </si>
  <si>
    <t>FCFF yield%</t>
  </si>
  <si>
    <t>Preço da Ação (fim do ano)</t>
  </si>
  <si>
    <t>Número de Ações (milhões)</t>
  </si>
  <si>
    <t>Market Cap (R$ milhões)</t>
  </si>
  <si>
    <t>Dívida Líquida / EBITDA(x)</t>
  </si>
  <si>
    <t>Ciclo</t>
  </si>
  <si>
    <t>Giro do Ativo</t>
  </si>
  <si>
    <t>Alíquota IR</t>
  </si>
  <si>
    <t>Última Cotação</t>
  </si>
  <si>
    <t>Ano do Valuation</t>
  </si>
  <si>
    <t>Target Price</t>
  </si>
  <si>
    <t>Depreciação e Amortização</t>
  </si>
  <si>
    <t>Check Ativo = Passivo</t>
  </si>
  <si>
    <t>Fluxo de Caixa para o Equity</t>
  </si>
  <si>
    <t>Fluxo de Caixa para a Firma</t>
  </si>
  <si>
    <t>-CAPEX</t>
  </si>
  <si>
    <r>
      <t>-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 xml:space="preserve"> Capital de Giro</t>
    </r>
  </si>
  <si>
    <t>=FCFF</t>
  </si>
  <si>
    <t>+Depreciação e Amortização</t>
  </si>
  <si>
    <t>=FCFE</t>
  </si>
  <si>
    <t>Kd</t>
  </si>
  <si>
    <t>Ke</t>
  </si>
  <si>
    <t>WACC</t>
  </si>
  <si>
    <t>% Dívida</t>
  </si>
  <si>
    <t>Valor da Firma</t>
  </si>
  <si>
    <t>Cresc Perp</t>
  </si>
  <si>
    <t>TIR</t>
  </si>
  <si>
    <t>Valor do Equity</t>
  </si>
  <si>
    <t>Dados do fluxo</t>
  </si>
  <si>
    <t>Análise de cenários</t>
  </si>
  <si>
    <t>Otimista</t>
  </si>
  <si>
    <t>Base</t>
  </si>
  <si>
    <t>Pessimista</t>
  </si>
  <si>
    <t>Multiplicador de PIB</t>
  </si>
  <si>
    <t>Final</t>
  </si>
  <si>
    <t>ROCE</t>
  </si>
  <si>
    <t>Dívida Bruta / PL</t>
  </si>
  <si>
    <t>Índice de Cobertura</t>
  </si>
  <si>
    <t>Capex/Depreciação</t>
  </si>
  <si>
    <t>Capital de Giro/Receita Líquida</t>
  </si>
  <si>
    <t>Regras da planilha</t>
  </si>
  <si>
    <t>1)</t>
  </si>
  <si>
    <t>Nunca insira colunas. Pela forma como foram feitas as fórmulas, cada ano deve ter sempre a mesma letra de coluna ao longo das pastas</t>
  </si>
  <si>
    <t>Insira e exclua linhas apenas na pasta "premissas"</t>
  </si>
  <si>
    <t>2)</t>
  </si>
  <si>
    <t>Ticker</t>
  </si>
  <si>
    <t>Segmento</t>
  </si>
  <si>
    <t>Perpetuidade</t>
  </si>
  <si>
    <t>PEG ratio</t>
  </si>
  <si>
    <t>Dados dos próximos anos</t>
  </si>
  <si>
    <t>Receita Líquida% YoY</t>
  </si>
  <si>
    <t>Lucro Líquido% YoY</t>
  </si>
  <si>
    <t>TP por FCFF</t>
  </si>
  <si>
    <t>Inflação US %</t>
  </si>
  <si>
    <t>Custo da dívida Moeda Local</t>
  </si>
  <si>
    <t>Capital de Giro/ Receita Líquida</t>
  </si>
  <si>
    <t>3)</t>
  </si>
  <si>
    <t>respeite a regra de cores</t>
  </si>
  <si>
    <t>Custo ponderado da dívida</t>
  </si>
  <si>
    <t>Outros Resultados financeiros</t>
  </si>
  <si>
    <t>Nopat= EBIT*(1-t)</t>
  </si>
  <si>
    <t>Lucro Operacional (EBIT)</t>
  </si>
  <si>
    <t>Dados marretados</t>
  </si>
  <si>
    <t>General liquidity ratio</t>
  </si>
  <si>
    <t>Quick liquidity ratio</t>
  </si>
  <si>
    <t>Current liquidity ratio</t>
  </si>
  <si>
    <t>P. Médio Pagamento</t>
  </si>
  <si>
    <t>Dias de estoque</t>
  </si>
  <si>
    <t>P. Médio Recebimento</t>
  </si>
  <si>
    <t>ROIC</t>
  </si>
  <si>
    <t>NOPAT</t>
  </si>
  <si>
    <t>ROA</t>
  </si>
  <si>
    <t>ROE</t>
  </si>
  <si>
    <t>Fórmulas/Formulas</t>
  </si>
  <si>
    <t>Margem EBITDA</t>
  </si>
  <si>
    <t xml:space="preserve">Custo Caixa dos produtos vendidos </t>
  </si>
  <si>
    <t>Upside</t>
  </si>
  <si>
    <t>DEMONSTRATIVO DE RESULTADO - R$ Milhões</t>
  </si>
  <si>
    <t>U12M</t>
  </si>
  <si>
    <t>Receita Operacional Bruta</t>
  </si>
  <si>
    <t>Deduções de Vendas</t>
  </si>
  <si>
    <t>Receita Operacional Líquida</t>
  </si>
  <si>
    <t>Custo dos Produtos Vendidos</t>
  </si>
  <si>
    <t xml:space="preserve">   Materiais</t>
  </si>
  <si>
    <t xml:space="preserve">   Custo de Conversão e Outros</t>
  </si>
  <si>
    <t xml:space="preserve">   Depreciação</t>
  </si>
  <si>
    <t>Receitas (Despesas) Operacionais</t>
  </si>
  <si>
    <t>De Vendas</t>
  </si>
  <si>
    <t>Gerais e Administrativas</t>
  </si>
  <si>
    <t>Outras, Líquidas</t>
  </si>
  <si>
    <t>Provisão para desvalorização de ativos</t>
  </si>
  <si>
    <t>Resultado Operacional</t>
  </si>
  <si>
    <t>Despesas Financeiras - juros e encargos</t>
  </si>
  <si>
    <t>Despesas Bancárias, Impostos, Descontos e Outros</t>
  </si>
  <si>
    <t>Variações Cambiais Líquidas</t>
  </si>
  <si>
    <t>Resultado Antes dos Impostos</t>
  </si>
  <si>
    <t>Impostos Correntes  -  CSSL e IRPJ</t>
  </si>
  <si>
    <t>Impostos Diferidos -  CSSL e IRPJ</t>
  </si>
  <si>
    <t>Resultado Líquido Proveniente das Operações Continuadas</t>
  </si>
  <si>
    <t>Resultado Proveniente das Operações Descontinuadas de Controladas</t>
  </si>
  <si>
    <t>Lucro (Prejuízo) Líquido do Período</t>
  </si>
  <si>
    <t>RECONCILIAÇÃO DO EBITDA - R$ Milhões</t>
  </si>
  <si>
    <t>(+) CSSL e IRPJ</t>
  </si>
  <si>
    <t>(+) Resultado Financeiro</t>
  </si>
  <si>
    <t>(+) Depreciação e Amortização</t>
  </si>
  <si>
    <t>(-) Ganho líquido com a venda de ativos</t>
  </si>
  <si>
    <t>EBITDA excluindo ganho líquido com a venda de ativos</t>
  </si>
  <si>
    <t>(-) Resultado das Operações Descontinuadas</t>
  </si>
  <si>
    <t>(-) Depreciação e Amortização das Operações Descontinuadas</t>
  </si>
  <si>
    <t>EBITDA - Ajustado</t>
  </si>
  <si>
    <t>Margem EBITDA ajustado%</t>
  </si>
  <si>
    <t>ATIVO - R$ Milhões</t>
  </si>
  <si>
    <t>4T11</t>
  </si>
  <si>
    <t>4T12</t>
  </si>
  <si>
    <t>4T13</t>
  </si>
  <si>
    <t>4T14</t>
  </si>
  <si>
    <t>4T15</t>
  </si>
  <si>
    <t>4T16</t>
  </si>
  <si>
    <t>4T17</t>
  </si>
  <si>
    <t>Circulante</t>
  </si>
  <si>
    <t>Caixa e equivatentes de caixa</t>
  </si>
  <si>
    <t>Títulos e valores mobiliários</t>
  </si>
  <si>
    <t>Instrumentos financeiros</t>
  </si>
  <si>
    <t>Duplicatas a receber</t>
  </si>
  <si>
    <t>Adiantamento a fornecedores</t>
  </si>
  <si>
    <t>Impostos a recuperar</t>
  </si>
  <si>
    <t>Valores a receber - venda de imobilizado</t>
  </si>
  <si>
    <t>Instrumentos derivativos</t>
  </si>
  <si>
    <t>Outros créditos a receber</t>
  </si>
  <si>
    <t>Não Circulante</t>
  </si>
  <si>
    <t>Realizável a longo prazo</t>
  </si>
  <si>
    <t>Valores a receber - clientes</t>
  </si>
  <si>
    <t>Imposto de renda e contribuição social diferidos</t>
  </si>
  <si>
    <t>Imobilizado disponível para venda</t>
  </si>
  <si>
    <t>Depósitos judiciais</t>
  </si>
  <si>
    <t>Ativo permanente</t>
  </si>
  <si>
    <t>Outros investimentos</t>
  </si>
  <si>
    <t>Propridade para investimentos</t>
  </si>
  <si>
    <t>TOTAL DO ATIVO</t>
  </si>
  <si>
    <t>PASSIVO e PATRIMÔNIO LÍQUIDO - R$ Milhões</t>
  </si>
  <si>
    <t>3T18</t>
  </si>
  <si>
    <t>Empréstimos e financiamentos</t>
  </si>
  <si>
    <t>Impostos e taxas</t>
  </si>
  <si>
    <t>Obrigações sociais e trabalhistas</t>
  </si>
  <si>
    <t>Partes relacionadas - minoritários</t>
  </si>
  <si>
    <t>Concessões governamentais</t>
  </si>
  <si>
    <t>Arrendamentos não recuperáveis</t>
  </si>
  <si>
    <t>Outras contas a pagar</t>
  </si>
  <si>
    <t>Planos de aposentadoria e benefícios</t>
  </si>
  <si>
    <t>Provisões diversas</t>
  </si>
  <si>
    <t>Impostos diferidos</t>
  </si>
  <si>
    <t>Outras obrigações</t>
  </si>
  <si>
    <t>Capital realizado</t>
  </si>
  <si>
    <t>Reserva de capital</t>
  </si>
  <si>
    <t>Ajuste acumulado de conversão</t>
  </si>
  <si>
    <t>Lucro (prejuízo) acumulado</t>
  </si>
  <si>
    <t>Participação dos acionistas não-controladores</t>
  </si>
  <si>
    <t>TOTAL DO PASSIVO E PATRIMÔNIO LÍQUIDO</t>
  </si>
  <si>
    <t xml:space="preserve"> </t>
  </si>
  <si>
    <t>Fluxos de caixa das atividades operacionais</t>
  </si>
  <si>
    <t>Lucro (prejuízo) líquido do período</t>
  </si>
  <si>
    <t>Ajustes para reconciliar o lucro (prejuízo) líquido ao caixa gerado pelas (aplicado nas) atividades operacionais:</t>
  </si>
  <si>
    <t>Depreciação e amortização</t>
  </si>
  <si>
    <t>Imposto de renda e contribuição social</t>
  </si>
  <si>
    <t>Resultado na alienação do ativo permanente</t>
  </si>
  <si>
    <t>Provisão para ganhos em ativos permanente</t>
  </si>
  <si>
    <t>Ganho com instrumento financeiro, líquido resultado valor justo</t>
  </si>
  <si>
    <t>Variações monetárias</t>
  </si>
  <si>
    <t>Variações cambiais</t>
  </si>
  <si>
    <t>Juros e encargos sobre empréstimos</t>
  </si>
  <si>
    <t>Outras provisões</t>
  </si>
  <si>
    <t>Variações nas contas de ativos e passivos</t>
  </si>
  <si>
    <t>Caixa líquido gerado pelas (aplicado nas) atividades operacionais</t>
  </si>
  <si>
    <t>Juros pagos sobre empréstimos</t>
  </si>
  <si>
    <t>Caixa líquido gerado pelas (aplicado nas) atividades operacionais após juros e impostos</t>
  </si>
  <si>
    <t xml:space="preserve">   </t>
  </si>
  <si>
    <t>Fluxos de caixa das atividades de investimento</t>
  </si>
  <si>
    <t>Aquisição em participação em controlada</t>
  </si>
  <si>
    <t>Em investimentos permanentes</t>
  </si>
  <si>
    <t>Em ativo imobilizado</t>
  </si>
  <si>
    <t>No intangível</t>
  </si>
  <si>
    <t>Alienação de ativo imobilizado e intangìveis</t>
  </si>
  <si>
    <t>Empréstimos entre empresas associadas</t>
  </si>
  <si>
    <t>Caixa líquido gerados pelas (aplicado nas) atividades de investimento</t>
  </si>
  <si>
    <t>Fluxos de caixa das atividades de financiamentos</t>
  </si>
  <si>
    <t>Integralização de capital</t>
  </si>
  <si>
    <t>Aquisição de participação de não contralodores em controlada</t>
  </si>
  <si>
    <t>Ingresso de novos empréstimos</t>
  </si>
  <si>
    <t>Emissão de debêntures</t>
  </si>
  <si>
    <t>Liquidação de empréstimos</t>
  </si>
  <si>
    <t>Pagamento de dividendos</t>
  </si>
  <si>
    <t>Despesas com aumento de capital</t>
  </si>
  <si>
    <t>Caixa líquido gerado pelas (aplicados nas) atividades de financiamento</t>
  </si>
  <si>
    <t>Efeito da variação cambial sobre o caixa equivalentes de caixa de controladas no exterior</t>
  </si>
  <si>
    <t>Aumento (diminuição) no caixa e equivalentes de caixa</t>
  </si>
  <si>
    <t>Caixa e equivalentes de caixa:</t>
  </si>
  <si>
    <t>No início do período</t>
  </si>
  <si>
    <t>No fim do período</t>
  </si>
  <si>
    <t>DESEMPENHO OPERACIONAL</t>
  </si>
  <si>
    <t>Número de lojas</t>
  </si>
  <si>
    <t>Próprias</t>
  </si>
  <si>
    <t>Franquias</t>
  </si>
  <si>
    <t>Casas Moysés</t>
  </si>
  <si>
    <t xml:space="preserve"> - Loja Própria</t>
  </si>
  <si>
    <t xml:space="preserve"> - Franquias</t>
  </si>
  <si>
    <t>MMartan</t>
  </si>
  <si>
    <t>Artex</t>
  </si>
  <si>
    <t>Por linha de Produto</t>
  </si>
  <si>
    <t>RECEITA LÍQUIDA - R$ milhões</t>
  </si>
  <si>
    <t>Receita Líquida Total</t>
  </si>
  <si>
    <t>Cama, Mesa e Banho</t>
  </si>
  <si>
    <t>Utility Bedding</t>
  </si>
  <si>
    <t>Produtos Intermediários</t>
  </si>
  <si>
    <t>Varejo</t>
  </si>
  <si>
    <t>VOLUME - t</t>
  </si>
  <si>
    <t>Volume Total</t>
  </si>
  <si>
    <t>PREÇO MÉDIO - R$/kg</t>
  </si>
  <si>
    <t>Preço Médio Total</t>
  </si>
  <si>
    <t>RECEITA LÍQUIDA - R$ MILHÕES</t>
  </si>
  <si>
    <t>América do Norte ¹</t>
  </si>
  <si>
    <t>América do Sul ¹</t>
  </si>
  <si>
    <t xml:space="preserve">  Varejo</t>
  </si>
  <si>
    <t xml:space="preserve">  Atacado</t>
  </si>
  <si>
    <t xml:space="preserve">  Cama, Mesa e Banho</t>
  </si>
  <si>
    <t xml:space="preserve">  Produtos Intermediários</t>
  </si>
  <si>
    <t>Intra-Companhia</t>
  </si>
  <si>
    <t>Custo do Produtos Vendidos - R$ MILHÕES</t>
  </si>
  <si>
    <t>Custo dos Produtos Vendidos Total</t>
  </si>
  <si>
    <t xml:space="preserve">   Varejo</t>
  </si>
  <si>
    <t xml:space="preserve">   Atacado</t>
  </si>
  <si>
    <t>Lucro Bruto - R$ MILHÕES</t>
  </si>
  <si>
    <t>Lucro Bruto Total</t>
  </si>
  <si>
    <t>Não alocáveis</t>
  </si>
  <si>
    <t>Margem Bruta - %</t>
  </si>
  <si>
    <t>Margem Bruta Total</t>
  </si>
  <si>
    <t>SG&amp;A - R$ MILHÕES</t>
  </si>
  <si>
    <t>SG&amp;A Total</t>
  </si>
  <si>
    <t>OUTROS - R$ MILHÕES</t>
  </si>
  <si>
    <t>Outros Total</t>
  </si>
  <si>
    <t>DEPRECIAÇÃO E AMORTIZAÇÃO - R$ MILHÕES</t>
  </si>
  <si>
    <t>Depreciação e Amortização Total</t>
  </si>
  <si>
    <t>RESULTADO OPERACIONAL - R$ MILHÕES</t>
  </si>
  <si>
    <t>EBITDA - R$ MILHÕES</t>
  </si>
  <si>
    <t>EBITDA Total</t>
  </si>
  <si>
    <t>Margem EBITDA - %</t>
  </si>
  <si>
    <t>Margem EBITDA Total</t>
  </si>
  <si>
    <t>¹  Até o 4º trimestre de 2012, a Companhia apresentava seus resultados segregados geograficamente entre "Brasil" e "Outros Países".</t>
  </si>
  <si>
    <t>A partir do 1º trimestre de 2013, a Companhia apresenta  seus resultados segregados geograficamente entre "América do Sul" e "América do Norte" .</t>
  </si>
  <si>
    <t>Investimento (R$ milhões)</t>
  </si>
  <si>
    <t>Indústria</t>
  </si>
  <si>
    <t>Capital de Giro (R$ milhões)</t>
  </si>
  <si>
    <t>América do Sul</t>
  </si>
  <si>
    <t>Atacado</t>
  </si>
  <si>
    <t>Cama, mesa &amp; Banho</t>
  </si>
  <si>
    <t>Produtos intermediários</t>
  </si>
  <si>
    <t>Intra-companhia</t>
  </si>
  <si>
    <t>Venda por loja</t>
  </si>
  <si>
    <t>SG&amp;A</t>
  </si>
  <si>
    <t>Depreciação &amp; Amortização Total</t>
  </si>
  <si>
    <t>Reservas de capital</t>
  </si>
  <si>
    <t>Acionistas minoritários</t>
  </si>
  <si>
    <t># de lojas</t>
  </si>
  <si>
    <t>% s/ RL</t>
  </si>
  <si>
    <r>
      <rPr>
        <sz val="8.8000000000000007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 xml:space="preserve"> # lojas</t>
    </r>
  </si>
  <si>
    <t>Var % YoY</t>
  </si>
  <si>
    <t>EBITDA por negócio</t>
  </si>
  <si>
    <t>Despesas de vendas % s/ RL</t>
  </si>
  <si>
    <t>Outras despesas Financeiras / RL</t>
  </si>
  <si>
    <t>Número de Ações</t>
  </si>
  <si>
    <t>Preço de fechamento da ação</t>
  </si>
  <si>
    <t>Têxtil</t>
  </si>
  <si>
    <t>SGPS3</t>
  </si>
  <si>
    <t>Check 1</t>
  </si>
  <si>
    <t>Check2</t>
  </si>
  <si>
    <t>ROIC com Intangível</t>
  </si>
  <si>
    <t>"Capacidade"</t>
  </si>
  <si>
    <t>Utilização da capacidade</t>
  </si>
  <si>
    <t>Margem EBITDA por negócio</t>
  </si>
  <si>
    <t>SG&amp;A Atacado/Receita Líquida</t>
  </si>
  <si>
    <t>SG&amp;A Varejo/Receita Líquida</t>
  </si>
  <si>
    <t># ações (MM)</t>
  </si>
  <si>
    <t>Atual</t>
  </si>
  <si>
    <t>Lá na frente</t>
  </si>
  <si>
    <t>Mg EBITDA</t>
  </si>
  <si>
    <t>Sugerido</t>
  </si>
  <si>
    <t>Outros impactos</t>
  </si>
  <si>
    <t>CAPEX/ Depreciação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</si>
</sst>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#,##0,"/>
    <numFmt numFmtId="165" formatCode="#,##0;\(#,##0\);&quot;-&quot;"/>
    <numFmt numFmtId="166" formatCode="0.0%"/>
    <numFmt numFmtId="167" formatCode="#,##0.0"/>
    <numFmt numFmtId="168" formatCode="0.0"/>
    <numFmt numFmtId="169" formatCode="_-* #,##0.0_-;\-* #,##0.0_-;_-* &quot;-&quot;??_-;_-@_-"/>
    <numFmt numFmtId="170" formatCode="_-* #,##0_-;\-* #,##0_-;_-* &quot;-&quot;??_-;_-@_-"/>
    <numFmt numFmtId="171" formatCode="yyyy"/>
    <numFmt numFmtId="172" formatCode="_(* #,##0.0_);_(* \(#,##0.0\);_(* &quot;-&quot;??_);_(@_)"/>
    <numFmt numFmtId="173" formatCode="_(* #,##0_);_(* \(#,##0\);_(* &quot;-&quot;??_);_(@_)"/>
    <numFmt numFmtId="174" formatCode="_(#,##0_);_(\(#,##0\);_(\ \ \ \ &quot;-&quot;??_);_(@_)"/>
    <numFmt numFmtId="175" formatCode="0.0;\ \(0.0\)"/>
    <numFmt numFmtId="176" formatCode="_(#,##0.0_);_(\(#,##0.0\);_(\ \ \ \ &quot;-&quot;??_);_(@_)"/>
    <numFmt numFmtId="177" formatCode="_(#,##0.000_);_(\(#,##0.000\);_(\ \ \ \ &quot;-&quot;??_);_(@_)"/>
    <numFmt numFmtId="178" formatCode="_(* #,##0.0_);_(* \(#,##0.0\);_(* &quot;-&quot;?_);_(@_)"/>
    <numFmt numFmtId="179" formatCode="#,##0.0;\(#,##0.0\)"/>
    <numFmt numFmtId="180" formatCode="0.0%;\ \(0.0%\)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i/>
      <sz val="14"/>
      <color theme="4"/>
      <name val="Calibri"/>
      <family val="2"/>
      <scheme val="minor"/>
    </font>
    <font>
      <sz val="8"/>
      <color theme="4"/>
      <name val="Calibri"/>
      <family val="2"/>
      <scheme val="minor"/>
    </font>
    <font>
      <b/>
      <sz val="11"/>
      <color theme="7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6"/>
      <name val="Calibri"/>
      <family val="2"/>
    </font>
    <font>
      <i/>
      <sz val="11"/>
      <color theme="1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66003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rgb="FF00660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name val="Calibri"/>
      <family val="2"/>
      <scheme val="minor"/>
    </font>
    <font>
      <sz val="9"/>
      <name val="Symbol"/>
      <family val="1"/>
      <charset val="2"/>
    </font>
    <font>
      <i/>
      <sz val="11"/>
      <color rgb="FF660033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1"/>
      <name val="Symbol"/>
      <family val="1"/>
      <charset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11"/>
      <color rgb="FF660033"/>
      <name val="Calibri"/>
      <family val="2"/>
      <scheme val="minor"/>
    </font>
    <font>
      <sz val="10"/>
      <name val="Arial"/>
      <family val="2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name val="Arial"/>
      <family val="2"/>
    </font>
    <font>
      <sz val="8"/>
      <color rgb="FF002060"/>
      <name val="Arial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.8000000000000007"/>
      <color theme="1"/>
      <name val="Symbol"/>
      <family val="1"/>
      <charset val="2"/>
    </font>
    <font>
      <i/>
      <sz val="11"/>
      <color theme="0" tint="-0.499984740745262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medium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hair">
        <color theme="8"/>
      </bottom>
      <diagonal/>
    </border>
    <border>
      <left/>
      <right/>
      <top style="hair">
        <color theme="8"/>
      </top>
      <bottom/>
      <diagonal/>
    </border>
    <border>
      <left/>
      <right/>
      <top style="hair">
        <color rgb="FFBFBFBF"/>
      </top>
      <bottom/>
      <diagonal/>
    </border>
    <border>
      <left/>
      <right/>
      <top/>
      <bottom style="medium">
        <color rgb="FF162E59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/>
      <right style="thin">
        <color theme="0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ashed">
        <color auto="1"/>
      </left>
      <right style="dashed">
        <color auto="1"/>
      </right>
      <top style="thin">
        <color theme="0"/>
      </top>
      <bottom style="thin">
        <color theme="0"/>
      </bottom>
      <diagonal/>
    </border>
    <border>
      <left style="dashed">
        <color auto="1"/>
      </left>
      <right style="dashed">
        <color auto="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/>
    <xf numFmtId="164" fontId="1" fillId="0" borderId="0" applyFont="0" applyFill="0" applyBorder="0" applyAlignment="0" applyProtection="0"/>
    <xf numFmtId="0" fontId="6" fillId="6" borderId="0" applyNumberFormat="0" applyFont="0" applyBorder="0" applyAlignment="0" applyProtection="0"/>
    <xf numFmtId="0" fontId="6" fillId="7" borderId="0" applyNumberFormat="0" applyFont="0" applyBorder="0" applyAlignment="0" applyProtection="0"/>
    <xf numFmtId="0" fontId="6" fillId="8" borderId="0" applyNumberFormat="0" applyFont="0" applyBorder="0" applyAlignment="0" applyProtection="0"/>
    <xf numFmtId="0" fontId="9" fillId="6" borderId="4" applyNumberFormat="0" applyAlignment="0" applyProtection="0"/>
    <xf numFmtId="0" fontId="10" fillId="0" borderId="3" applyNumberFormat="0" applyProtection="0">
      <alignment horizontal="right" vertical="center"/>
    </xf>
    <xf numFmtId="0" fontId="4" fillId="3" borderId="5" applyNumberFormat="0" applyFill="0" applyAlignment="0" applyProtection="0"/>
    <xf numFmtId="0" fontId="1" fillId="3" borderId="0"/>
    <xf numFmtId="165" fontId="1" fillId="0" borderId="0" applyFont="0" applyFill="0" applyBorder="0" applyAlignment="0" applyProtection="0">
      <alignment horizontal="right"/>
    </xf>
    <xf numFmtId="0" fontId="13" fillId="2" borderId="1" applyNumberFormat="0" applyProtection="0">
      <alignment vertical="center"/>
    </xf>
    <xf numFmtId="0" fontId="10" fillId="4" borderId="2" applyNumberForma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" fillId="3" borderId="6" applyNumberFormat="0" applyFont="0" applyFill="0" applyAlignment="0" applyProtection="0">
      <alignment horizontal="left" vertical="center"/>
    </xf>
    <xf numFmtId="166" fontId="7" fillId="3" borderId="0" applyFill="0" applyProtection="0">
      <alignment vertical="center"/>
    </xf>
    <xf numFmtId="0" fontId="1" fillId="0" borderId="0"/>
    <xf numFmtId="0" fontId="1" fillId="3" borderId="7" applyNumberFormat="0" applyFont="0" applyFill="0" applyAlignment="0" applyProtection="0"/>
    <xf numFmtId="0" fontId="15" fillId="0" borderId="8" applyNumberFormat="0" applyFont="0" applyFill="0" applyAlignment="0" applyProtection="0"/>
    <xf numFmtId="0" fontId="16" fillId="0" borderId="9" applyNumberFormat="0" applyProtection="0">
      <alignment horizontal="right" vertical="center"/>
    </xf>
    <xf numFmtId="0" fontId="4" fillId="9" borderId="10" applyNumberFormat="0" applyProtection="0">
      <alignment vertical="center"/>
    </xf>
    <xf numFmtId="0" fontId="1" fillId="3" borderId="0"/>
    <xf numFmtId="164" fontId="15" fillId="0" borderId="0" applyFont="0" applyFill="0" applyBorder="0" applyAlignment="0" applyProtection="0"/>
    <xf numFmtId="0" fontId="6" fillId="7" borderId="0" applyNumberFormat="0" applyBorder="0" applyAlignment="0" applyProtection="0"/>
    <xf numFmtId="0" fontId="1" fillId="3" borderId="6" applyNumberFormat="0" applyFill="0" applyAlignment="0" applyProtection="0">
      <alignment horizontal="left" vertical="center"/>
    </xf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39" fillId="0" borderId="0"/>
    <xf numFmtId="173" fontId="39" fillId="0" borderId="0" applyFont="0" applyFill="0" applyBorder="0" applyAlignment="0" applyProtection="0"/>
  </cellStyleXfs>
  <cellXfs count="673">
    <xf numFmtId="0" fontId="0" fillId="0" borderId="0" xfId="0"/>
    <xf numFmtId="0" fontId="4" fillId="10" borderId="0" xfId="0" applyFont="1" applyFill="1" applyBorder="1"/>
    <xf numFmtId="0" fontId="0" fillId="14" borderId="0" xfId="0" applyFill="1" applyBorder="1"/>
    <xf numFmtId="0" fontId="4" fillId="0" borderId="0" xfId="0" applyFont="1" applyBorder="1"/>
    <xf numFmtId="0" fontId="1" fillId="3" borderId="0" xfId="3"/>
    <xf numFmtId="0" fontId="5" fillId="3" borderId="0" xfId="3" applyFont="1" applyAlignment="1">
      <alignment horizontal="left" vertical="center"/>
    </xf>
    <xf numFmtId="0" fontId="0" fillId="3" borderId="0" xfId="3" applyFont="1" applyBorder="1" applyAlignment="1">
      <alignment horizontal="left" vertical="center"/>
    </xf>
    <xf numFmtId="0" fontId="5" fillId="3" borderId="0" xfId="3" applyFont="1" applyBorder="1" applyAlignment="1">
      <alignment horizontal="left" vertical="center"/>
    </xf>
    <xf numFmtId="0" fontId="5" fillId="3" borderId="0" xfId="3" applyFont="1" applyBorder="1" applyAlignment="1">
      <alignment horizontal="left" vertical="center" indent="7"/>
    </xf>
    <xf numFmtId="0" fontId="5" fillId="3" borderId="0" xfId="3" applyFont="1" applyBorder="1" applyAlignment="1">
      <alignment horizontal="right" vertical="center"/>
    </xf>
    <xf numFmtId="0" fontId="12" fillId="3" borderId="0" xfId="3" applyFont="1" applyBorder="1" applyAlignment="1">
      <alignment horizontal="left" vertical="center" indent="10"/>
    </xf>
    <xf numFmtId="0" fontId="11" fillId="3" borderId="0" xfId="3" applyFont="1" applyAlignment="1">
      <alignment horizontal="left" indent="9"/>
    </xf>
    <xf numFmtId="0" fontId="0" fillId="0" borderId="0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right" vertical="center"/>
    </xf>
    <xf numFmtId="4" fontId="0" fillId="0" borderId="0" xfId="0" applyNumberFormat="1" applyBorder="1"/>
    <xf numFmtId="0" fontId="2" fillId="12" borderId="0" xfId="0" applyFont="1" applyFill="1"/>
    <xf numFmtId="0" fontId="0" fillId="0" borderId="0" xfId="0" applyBorder="1"/>
    <xf numFmtId="0" fontId="18" fillId="0" borderId="0" xfId="18" applyFont="1" applyAlignment="1">
      <alignment horizontal="left" indent="9"/>
    </xf>
    <xf numFmtId="0" fontId="0" fillId="3" borderId="0" xfId="19" applyFont="1" applyFill="1" applyBorder="1" applyAlignment="1">
      <alignment horizontal="left" indent="1"/>
    </xf>
    <xf numFmtId="0" fontId="0" fillId="3" borderId="11" xfId="16" applyFont="1" applyFill="1" applyBorder="1" applyAlignment="1">
      <alignment horizontal="left" vertical="center" indent="1"/>
    </xf>
    <xf numFmtId="0" fontId="0" fillId="3" borderId="0" xfId="16" applyFont="1" applyFill="1" applyBorder="1" applyAlignment="1">
      <alignment horizontal="left" vertical="center" indent="1"/>
    </xf>
    <xf numFmtId="0" fontId="6" fillId="3" borderId="0" xfId="19" applyFont="1" applyBorder="1" applyAlignment="1">
      <alignment horizontal="left" vertical="center" indent="1"/>
    </xf>
    <xf numFmtId="0" fontId="0" fillId="3" borderId="0" xfId="19" applyFont="1" applyBorder="1" applyAlignment="1">
      <alignment horizontal="left"/>
    </xf>
    <xf numFmtId="3" fontId="4" fillId="10" borderId="0" xfId="0" applyNumberFormat="1" applyFont="1" applyFill="1" applyBorder="1"/>
    <xf numFmtId="3" fontId="19" fillId="10" borderId="0" xfId="0" applyNumberFormat="1" applyFont="1" applyFill="1" applyBorder="1"/>
    <xf numFmtId="0" fontId="0" fillId="0" borderId="13" xfId="0" applyBorder="1"/>
    <xf numFmtId="0" fontId="0" fillId="0" borderId="14" xfId="0" applyBorder="1"/>
    <xf numFmtId="9" fontId="0" fillId="0" borderId="0" xfId="0" applyNumberFormat="1"/>
    <xf numFmtId="0" fontId="20" fillId="0" borderId="0" xfId="0" applyFont="1"/>
    <xf numFmtId="9" fontId="20" fillId="0" borderId="0" xfId="0" applyNumberFormat="1" applyFont="1"/>
    <xf numFmtId="0" fontId="4" fillId="0" borderId="0" xfId="0" applyFont="1"/>
    <xf numFmtId="0" fontId="4" fillId="10" borderId="0" xfId="0" applyFont="1" applyFill="1"/>
    <xf numFmtId="1" fontId="4" fillId="10" borderId="0" xfId="0" applyNumberFormat="1" applyFont="1" applyFill="1"/>
    <xf numFmtId="0" fontId="4" fillId="3" borderId="0" xfId="16" applyFont="1" applyFill="1" applyBorder="1" applyAlignment="1">
      <alignment horizontal="left" vertical="center"/>
    </xf>
    <xf numFmtId="0" fontId="4" fillId="3" borderId="15" xfId="16" applyFont="1" applyFill="1" applyBorder="1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4" fillId="3" borderId="18" xfId="16" applyFont="1" applyFill="1" applyBorder="1" applyAlignment="1">
      <alignment horizontal="left" vertical="center"/>
    </xf>
    <xf numFmtId="0" fontId="0" fillId="0" borderId="19" xfId="0" applyBorder="1"/>
    <xf numFmtId="4" fontId="1" fillId="3" borderId="18" xfId="16" applyNumberFormat="1" applyFont="1" applyFill="1" applyBorder="1" applyAlignment="1">
      <alignment horizontal="left" vertical="center" indent="1"/>
    </xf>
    <xf numFmtId="0" fontId="1" fillId="3" borderId="18" xfId="16" applyFont="1" applyFill="1" applyBorder="1" applyAlignment="1">
      <alignment horizontal="left" vertical="center" indent="1"/>
    </xf>
    <xf numFmtId="0" fontId="4" fillId="3" borderId="20" xfId="16" applyFont="1" applyFill="1" applyBorder="1" applyAlignment="1">
      <alignment horizontal="left" vertical="center"/>
    </xf>
    <xf numFmtId="0" fontId="0" fillId="0" borderId="21" xfId="0" applyBorder="1"/>
    <xf numFmtId="0" fontId="0" fillId="0" borderId="0" xfId="0" applyFont="1"/>
    <xf numFmtId="0" fontId="1" fillId="3" borderId="18" xfId="16" applyFont="1" applyFill="1" applyBorder="1" applyAlignment="1">
      <alignment horizontal="left" vertical="center"/>
    </xf>
    <xf numFmtId="4" fontId="0" fillId="0" borderId="0" xfId="0" applyNumberFormat="1"/>
    <xf numFmtId="43" fontId="0" fillId="0" borderId="0" xfId="1" applyFont="1"/>
    <xf numFmtId="170" fontId="21" fillId="0" borderId="0" xfId="1" applyNumberFormat="1" applyFont="1" applyBorder="1"/>
    <xf numFmtId="170" fontId="21" fillId="0" borderId="21" xfId="1" applyNumberFormat="1" applyFont="1" applyBorder="1"/>
    <xf numFmtId="9" fontId="4" fillId="0" borderId="0" xfId="2" applyNumberFormat="1" applyFont="1" applyFill="1" applyBorder="1"/>
    <xf numFmtId="9" fontId="22" fillId="6" borderId="0" xfId="0" applyNumberFormat="1" applyFont="1" applyFill="1"/>
    <xf numFmtId="9" fontId="23" fillId="17" borderId="0" xfId="0" applyNumberFormat="1" applyFont="1" applyFill="1"/>
    <xf numFmtId="4" fontId="24" fillId="6" borderId="0" xfId="0" applyNumberFormat="1" applyFont="1" applyFill="1"/>
    <xf numFmtId="9" fontId="24" fillId="6" borderId="0" xfId="0" applyNumberFormat="1" applyFont="1" applyFill="1"/>
    <xf numFmtId="170" fontId="0" fillId="0" borderId="0" xfId="1" applyNumberFormat="1" applyFont="1" applyBorder="1"/>
    <xf numFmtId="170" fontId="19" fillId="0" borderId="16" xfId="1" applyNumberFormat="1" applyFont="1" applyBorder="1"/>
    <xf numFmtId="170" fontId="4" fillId="0" borderId="16" xfId="1" applyNumberFormat="1" applyFont="1" applyBorder="1"/>
    <xf numFmtId="170" fontId="19" fillId="0" borderId="0" xfId="1" applyNumberFormat="1" applyFont="1" applyBorder="1"/>
    <xf numFmtId="9" fontId="25" fillId="0" borderId="0" xfId="1" applyNumberFormat="1" applyFont="1" applyBorder="1"/>
    <xf numFmtId="0" fontId="20" fillId="0" borderId="23" xfId="0" applyFont="1" applyBorder="1"/>
    <xf numFmtId="0" fontId="9" fillId="3" borderId="0" xfId="10" applyFont="1" applyBorder="1" applyAlignment="1">
      <alignment vertical="center"/>
    </xf>
    <xf numFmtId="0" fontId="21" fillId="0" borderId="0" xfId="0" applyFont="1"/>
    <xf numFmtId="3" fontId="21" fillId="0" borderId="0" xfId="0" applyNumberFormat="1" applyFont="1"/>
    <xf numFmtId="0" fontId="1" fillId="3" borderId="0" xfId="11" applyBorder="1"/>
    <xf numFmtId="0" fontId="25" fillId="0" borderId="0" xfId="0" applyFont="1"/>
    <xf numFmtId="0" fontId="27" fillId="3" borderId="0" xfId="19" applyFont="1" applyBorder="1" applyAlignment="1">
      <alignment vertical="center"/>
    </xf>
    <xf numFmtId="9" fontId="25" fillId="0" borderId="0" xfId="0" applyNumberFormat="1" applyFont="1"/>
    <xf numFmtId="0" fontId="4" fillId="3" borderId="0" xfId="10" applyFont="1" applyBorder="1" applyAlignment="1">
      <alignment vertical="center"/>
    </xf>
    <xf numFmtId="170" fontId="4" fillId="10" borderId="0" xfId="0" applyNumberFormat="1" applyFont="1" applyFill="1"/>
    <xf numFmtId="0" fontId="22" fillId="6" borderId="0" xfId="0" applyFont="1" applyFill="1"/>
    <xf numFmtId="4" fontId="4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3" fontId="19" fillId="10" borderId="0" xfId="1" applyNumberFormat="1" applyFont="1" applyFill="1"/>
    <xf numFmtId="3" fontId="4" fillId="10" borderId="0" xfId="0" applyNumberFormat="1" applyFont="1" applyFill="1"/>
    <xf numFmtId="9" fontId="0" fillId="0" borderId="14" xfId="0" applyNumberFormat="1" applyBorder="1"/>
    <xf numFmtId="1" fontId="0" fillId="0" borderId="0" xfId="0" applyNumberFormat="1"/>
    <xf numFmtId="166" fontId="25" fillId="0" borderId="0" xfId="0" applyNumberFormat="1" applyFont="1"/>
    <xf numFmtId="166" fontId="22" fillId="6" borderId="0" xfId="0" applyNumberFormat="1" applyFont="1" applyFill="1"/>
    <xf numFmtId="0" fontId="0" fillId="3" borderId="0" xfId="19" applyFont="1" applyFill="1" applyBorder="1" applyAlignment="1">
      <alignment horizontal="left" indent="2"/>
    </xf>
    <xf numFmtId="0" fontId="4" fillId="11" borderId="0" xfId="0" applyFont="1" applyFill="1" applyBorder="1"/>
    <xf numFmtId="0" fontId="4" fillId="14" borderId="0" xfId="0" applyFont="1" applyFill="1" applyBorder="1"/>
    <xf numFmtId="0" fontId="4" fillId="14" borderId="0" xfId="0" applyFont="1" applyFill="1"/>
    <xf numFmtId="3" fontId="4" fillId="14" borderId="0" xfId="22" applyNumberFormat="1" applyFill="1" applyBorder="1" applyAlignment="1">
      <alignment horizontal="left" vertical="center"/>
    </xf>
    <xf numFmtId="170" fontId="0" fillId="0" borderId="0" xfId="0" applyNumberFormat="1"/>
    <xf numFmtId="0" fontId="2" fillId="13" borderId="0" xfId="0" applyFont="1" applyFill="1"/>
    <xf numFmtId="0" fontId="4" fillId="13" borderId="0" xfId="0" applyFont="1" applyFill="1"/>
    <xf numFmtId="0" fontId="4" fillId="14" borderId="0" xfId="16" applyFont="1" applyFill="1" applyBorder="1" applyAlignment="1">
      <alignment horizontal="left" vertical="center"/>
    </xf>
    <xf numFmtId="3" fontId="19" fillId="14" borderId="0" xfId="0" applyNumberFormat="1" applyFont="1" applyFill="1"/>
    <xf numFmtId="3" fontId="4" fillId="14" borderId="0" xfId="0" applyNumberFormat="1" applyFont="1" applyFill="1"/>
    <xf numFmtId="9" fontId="3" fillId="19" borderId="0" xfId="0" applyNumberFormat="1" applyFont="1" applyFill="1"/>
    <xf numFmtId="166" fontId="21" fillId="0" borderId="0" xfId="0" applyNumberFormat="1" applyFont="1"/>
    <xf numFmtId="9" fontId="23" fillId="20" borderId="0" xfId="0" applyNumberFormat="1" applyFont="1" applyFill="1"/>
    <xf numFmtId="0" fontId="14" fillId="0" borderId="0" xfId="0" applyFont="1"/>
    <xf numFmtId="0" fontId="14" fillId="0" borderId="0" xfId="0" applyFont="1" applyAlignment="1">
      <alignment horizontal="left" indent="2"/>
    </xf>
    <xf numFmtId="0" fontId="14" fillId="0" borderId="0" xfId="0" applyFont="1" applyFill="1"/>
    <xf numFmtId="165" fontId="21" fillId="3" borderId="0" xfId="19" applyNumberFormat="1" applyFont="1" applyFill="1" applyBorder="1" applyAlignment="1">
      <alignment horizontal="right"/>
    </xf>
    <xf numFmtId="0" fontId="4" fillId="11" borderId="0" xfId="0" applyFont="1" applyFill="1"/>
    <xf numFmtId="165" fontId="4" fillId="11" borderId="0" xfId="12" applyFont="1" applyFill="1" applyBorder="1" applyAlignment="1">
      <alignment horizontal="right" vertical="center"/>
    </xf>
    <xf numFmtId="3" fontId="4" fillId="11" borderId="0" xfId="0" applyNumberFormat="1" applyFont="1" applyFill="1"/>
    <xf numFmtId="170" fontId="0" fillId="0" borderId="0" xfId="0" applyNumberFormat="1" applyBorder="1"/>
    <xf numFmtId="9" fontId="0" fillId="0" borderId="0" xfId="0" applyNumberFormat="1" applyBorder="1"/>
    <xf numFmtId="9" fontId="3" fillId="18" borderId="0" xfId="0" applyNumberFormat="1" applyFont="1" applyFill="1" applyBorder="1"/>
    <xf numFmtId="0" fontId="25" fillId="0" borderId="0" xfId="0" applyFont="1" applyBorder="1" applyAlignment="1">
      <alignment horizontal="left" indent="1"/>
    </xf>
    <xf numFmtId="0" fontId="25" fillId="0" borderId="0" xfId="0" applyFont="1" applyBorder="1"/>
    <xf numFmtId="170" fontId="25" fillId="0" borderId="0" xfId="0" applyNumberFormat="1" applyFont="1" applyBorder="1"/>
    <xf numFmtId="9" fontId="25" fillId="0" borderId="0" xfId="0" applyNumberFormat="1" applyFont="1" applyBorder="1"/>
    <xf numFmtId="9" fontId="30" fillId="6" borderId="0" xfId="0" applyNumberFormat="1" applyFont="1" applyFill="1"/>
    <xf numFmtId="0" fontId="28" fillId="0" borderId="0" xfId="0" applyFont="1"/>
    <xf numFmtId="0" fontId="28" fillId="10" borderId="0" xfId="0" applyFont="1" applyFill="1"/>
    <xf numFmtId="0" fontId="0" fillId="3" borderId="18" xfId="19" applyFont="1" applyFill="1" applyBorder="1" applyAlignment="1">
      <alignment horizontal="left" indent="1"/>
    </xf>
    <xf numFmtId="170" fontId="26" fillId="0" borderId="0" xfId="1" applyNumberFormat="1" applyFont="1" applyBorder="1"/>
    <xf numFmtId="170" fontId="6" fillId="0" borderId="0" xfId="0" applyNumberFormat="1" applyFont="1" applyFill="1" applyBorder="1"/>
    <xf numFmtId="170" fontId="6" fillId="0" borderId="19" xfId="0" applyNumberFormat="1" applyFont="1" applyFill="1" applyBorder="1"/>
    <xf numFmtId="0" fontId="0" fillId="3" borderId="20" xfId="19" applyFont="1" applyBorder="1" applyAlignment="1">
      <alignment horizontal="left" vertical="center" indent="1"/>
    </xf>
    <xf numFmtId="0" fontId="6" fillId="3" borderId="21" xfId="19" applyFont="1" applyBorder="1" applyAlignment="1">
      <alignment horizontal="left" vertical="center" indent="1"/>
    </xf>
    <xf numFmtId="170" fontId="26" fillId="0" borderId="21" xfId="1" applyNumberFormat="1" applyFont="1" applyBorder="1"/>
    <xf numFmtId="170" fontId="22" fillId="6" borderId="21" xfId="0" applyNumberFormat="1" applyFont="1" applyFill="1" applyBorder="1"/>
    <xf numFmtId="3" fontId="4" fillId="14" borderId="18" xfId="22" applyNumberFormat="1" applyFill="1" applyBorder="1" applyAlignment="1">
      <alignment horizontal="left" vertical="center"/>
    </xf>
    <xf numFmtId="0" fontId="0" fillId="14" borderId="19" xfId="0" applyFill="1" applyBorder="1"/>
    <xf numFmtId="170" fontId="22" fillId="6" borderId="0" xfId="0" applyNumberFormat="1" applyFont="1" applyFill="1" applyBorder="1"/>
    <xf numFmtId="170" fontId="22" fillId="6" borderId="19" xfId="0" applyNumberFormat="1" applyFont="1" applyFill="1" applyBorder="1"/>
    <xf numFmtId="170" fontId="0" fillId="0" borderId="19" xfId="1" applyNumberFormat="1" applyFont="1" applyBorder="1"/>
    <xf numFmtId="0" fontId="0" fillId="3" borderId="18" xfId="19" applyFont="1" applyFill="1" applyBorder="1" applyAlignment="1">
      <alignment horizontal="left" indent="2"/>
    </xf>
    <xf numFmtId="1" fontId="0" fillId="0" borderId="0" xfId="0" applyNumberFormat="1" applyBorder="1"/>
    <xf numFmtId="0" fontId="0" fillId="3" borderId="20" xfId="19" applyFont="1" applyFill="1" applyBorder="1" applyAlignment="1">
      <alignment horizontal="left" indent="1"/>
    </xf>
    <xf numFmtId="0" fontId="0" fillId="3" borderId="21" xfId="19" applyFont="1" applyFill="1" applyBorder="1" applyAlignment="1">
      <alignment horizontal="left" indent="1"/>
    </xf>
    <xf numFmtId="170" fontId="0" fillId="0" borderId="21" xfId="1" applyNumberFormat="1" applyFont="1" applyBorder="1"/>
    <xf numFmtId="170" fontId="0" fillId="0" borderId="22" xfId="1" applyNumberFormat="1" applyFont="1" applyBorder="1"/>
    <xf numFmtId="3" fontId="4" fillId="15" borderId="15" xfId="22" applyNumberFormat="1" applyFont="1" applyFill="1" applyBorder="1" applyAlignment="1">
      <alignment horizontal="left" vertical="center"/>
    </xf>
    <xf numFmtId="3" fontId="4" fillId="15" borderId="16" xfId="22" applyNumberFormat="1" applyFont="1" applyFill="1" applyBorder="1" applyAlignment="1">
      <alignment horizontal="left" vertical="center"/>
    </xf>
    <xf numFmtId="170" fontId="4" fillId="15" borderId="16" xfId="0" applyNumberFormat="1" applyFont="1" applyFill="1" applyBorder="1"/>
    <xf numFmtId="170" fontId="4" fillId="15" borderId="17" xfId="0" applyNumberFormat="1" applyFont="1" applyFill="1" applyBorder="1"/>
    <xf numFmtId="3" fontId="4" fillId="15" borderId="15" xfId="22" applyNumberFormat="1" applyFill="1" applyBorder="1" applyAlignment="1">
      <alignment horizontal="left" vertical="center"/>
    </xf>
    <xf numFmtId="3" fontId="4" fillId="15" borderId="16" xfId="22" applyNumberFormat="1" applyFill="1" applyBorder="1" applyAlignment="1">
      <alignment horizontal="left" vertical="center"/>
    </xf>
    <xf numFmtId="0" fontId="4" fillId="14" borderId="0" xfId="19" applyFont="1" applyFill="1" applyBorder="1" applyAlignment="1">
      <alignment horizontal="left" indent="1"/>
    </xf>
    <xf numFmtId="0" fontId="4" fillId="14" borderId="18" xfId="10" applyFill="1" applyBorder="1" applyAlignment="1">
      <alignment vertical="center"/>
    </xf>
    <xf numFmtId="0" fontId="9" fillId="14" borderId="0" xfId="10" applyFont="1" applyFill="1" applyBorder="1" applyAlignment="1">
      <alignment vertical="center"/>
    </xf>
    <xf numFmtId="3" fontId="4" fillId="14" borderId="18" xfId="10" applyNumberFormat="1" applyFill="1" applyBorder="1" applyAlignment="1">
      <alignment vertical="center"/>
    </xf>
    <xf numFmtId="3" fontId="9" fillId="14" borderId="0" xfId="10" applyNumberFormat="1" applyFont="1" applyFill="1" applyBorder="1" applyAlignment="1">
      <alignment vertical="center"/>
    </xf>
    <xf numFmtId="3" fontId="4" fillId="14" borderId="0" xfId="0" applyNumberFormat="1" applyFont="1" applyFill="1" applyBorder="1"/>
    <xf numFmtId="3" fontId="4" fillId="14" borderId="19" xfId="0" applyNumberFormat="1" applyFont="1" applyFill="1" applyBorder="1"/>
    <xf numFmtId="170" fontId="4" fillId="14" borderId="0" xfId="0" applyNumberFormat="1" applyFont="1" applyFill="1" applyBorder="1"/>
    <xf numFmtId="170" fontId="4" fillId="14" borderId="19" xfId="0" applyNumberFormat="1" applyFont="1" applyFill="1" applyBorder="1"/>
    <xf numFmtId="0" fontId="27" fillId="3" borderId="0" xfId="19" applyFont="1" applyBorder="1" applyAlignment="1">
      <alignment horizontal="left" vertical="center" indent="1"/>
    </xf>
    <xf numFmtId="170" fontId="4" fillId="11" borderId="0" xfId="0" applyNumberFormat="1" applyFont="1" applyFill="1"/>
    <xf numFmtId="0" fontId="4" fillId="16" borderId="0" xfId="0" applyFont="1" applyFill="1"/>
    <xf numFmtId="170" fontId="4" fillId="16" borderId="0" xfId="0" applyNumberFormat="1" applyFont="1" applyFill="1"/>
    <xf numFmtId="0" fontId="4" fillId="15" borderId="0" xfId="10" applyFont="1" applyFill="1" applyBorder="1" applyAlignment="1">
      <alignment vertical="center"/>
    </xf>
    <xf numFmtId="0" fontId="9" fillId="15" borderId="0" xfId="10" applyFont="1" applyFill="1" applyBorder="1" applyAlignment="1">
      <alignment vertical="center"/>
    </xf>
    <xf numFmtId="170" fontId="4" fillId="15" borderId="0" xfId="0" applyNumberFormat="1" applyFont="1" applyFill="1" applyBorder="1"/>
    <xf numFmtId="43" fontId="25" fillId="0" borderId="0" xfId="1" applyFont="1"/>
    <xf numFmtId="165" fontId="21" fillId="3" borderId="0" xfId="12" applyFont="1" applyFill="1" applyBorder="1" applyAlignment="1">
      <alignment horizontal="right"/>
    </xf>
    <xf numFmtId="0" fontId="4" fillId="0" borderId="15" xfId="0" applyFont="1" applyBorder="1"/>
    <xf numFmtId="0" fontId="0" fillId="0" borderId="18" xfId="0" applyBorder="1"/>
    <xf numFmtId="9" fontId="0" fillId="0" borderId="19" xfId="0" applyNumberFormat="1" applyBorder="1"/>
    <xf numFmtId="0" fontId="0" fillId="0" borderId="20" xfId="0" applyBorder="1"/>
    <xf numFmtId="9" fontId="0" fillId="0" borderId="21" xfId="0" applyNumberFormat="1" applyBorder="1"/>
    <xf numFmtId="9" fontId="0" fillId="0" borderId="22" xfId="0" applyNumberFormat="1" applyBorder="1"/>
    <xf numFmtId="0" fontId="31" fillId="20" borderId="0" xfId="0" applyFont="1" applyFill="1"/>
    <xf numFmtId="168" fontId="0" fillId="0" borderId="0" xfId="0" applyNumberFormat="1" applyBorder="1"/>
    <xf numFmtId="168" fontId="0" fillId="0" borderId="19" xfId="0" applyNumberFormat="1" applyBorder="1"/>
    <xf numFmtId="166" fontId="0" fillId="0" borderId="0" xfId="2" applyNumberFormat="1" applyFont="1" applyBorder="1"/>
    <xf numFmtId="166" fontId="0" fillId="0" borderId="19" xfId="2" applyNumberFormat="1" applyFont="1" applyBorder="1"/>
    <xf numFmtId="166" fontId="0" fillId="0" borderId="21" xfId="2" applyNumberFormat="1" applyFont="1" applyBorder="1"/>
    <xf numFmtId="166" fontId="0" fillId="0" borderId="22" xfId="2" applyNumberFormat="1" applyFont="1" applyBorder="1"/>
    <xf numFmtId="0" fontId="0" fillId="0" borderId="12" xfId="0" applyBorder="1"/>
    <xf numFmtId="0" fontId="31" fillId="20" borderId="12" xfId="0" applyFont="1" applyFill="1" applyBorder="1"/>
    <xf numFmtId="4" fontId="31" fillId="20" borderId="12" xfId="0" applyNumberFormat="1" applyFont="1" applyFill="1" applyBorder="1"/>
    <xf numFmtId="169" fontId="0" fillId="0" borderId="0" xfId="0" applyNumberFormat="1"/>
    <xf numFmtId="9" fontId="31" fillId="20" borderId="0" xfId="0" applyNumberFormat="1" applyFont="1" applyFill="1"/>
    <xf numFmtId="166" fontId="0" fillId="0" borderId="0" xfId="0" applyNumberFormat="1"/>
    <xf numFmtId="0" fontId="4" fillId="0" borderId="0" xfId="0" quotePrefix="1" applyFont="1" applyBorder="1"/>
    <xf numFmtId="3" fontId="4" fillId="0" borderId="0" xfId="0" applyNumberFormat="1" applyFont="1" applyBorder="1"/>
    <xf numFmtId="0" fontId="4" fillId="0" borderId="0" xfId="0" applyFont="1" applyFill="1" applyBorder="1"/>
    <xf numFmtId="3" fontId="4" fillId="0" borderId="24" xfId="0" applyNumberFormat="1" applyFont="1" applyBorder="1"/>
    <xf numFmtId="4" fontId="2" fillId="12" borderId="0" xfId="0" applyNumberFormat="1" applyFont="1" applyFill="1"/>
    <xf numFmtId="0" fontId="0" fillId="0" borderId="0" xfId="0" applyAlignment="1">
      <alignment horizontal="right"/>
    </xf>
    <xf numFmtId="166" fontId="3" fillId="6" borderId="0" xfId="0" applyNumberFormat="1" applyFont="1" applyFill="1"/>
    <xf numFmtId="166" fontId="0" fillId="0" borderId="0" xfId="0" applyNumberFormat="1" applyBorder="1"/>
    <xf numFmtId="3" fontId="0" fillId="0" borderId="0" xfId="0" applyNumberFormat="1" applyBorder="1"/>
    <xf numFmtId="3" fontId="0" fillId="0" borderId="19" xfId="0" applyNumberFormat="1" applyBorder="1"/>
    <xf numFmtId="1" fontId="21" fillId="0" borderId="0" xfId="0" applyNumberFormat="1" applyFont="1" applyBorder="1"/>
    <xf numFmtId="4" fontId="3" fillId="0" borderId="0" xfId="0" applyNumberFormat="1" applyFont="1" applyBorder="1"/>
    <xf numFmtId="3" fontId="0" fillId="0" borderId="21" xfId="0" applyNumberFormat="1" applyBorder="1"/>
    <xf numFmtId="3" fontId="0" fillId="0" borderId="22" xfId="0" applyNumberFormat="1" applyBorder="1"/>
    <xf numFmtId="0" fontId="0" fillId="0" borderId="20" xfId="0" applyFill="1" applyBorder="1"/>
    <xf numFmtId="168" fontId="0" fillId="0" borderId="21" xfId="0" applyNumberFormat="1" applyBorder="1"/>
    <xf numFmtId="168" fontId="0" fillId="0" borderId="22" xfId="0" applyNumberFormat="1" applyBorder="1"/>
    <xf numFmtId="2" fontId="0" fillId="0" borderId="0" xfId="0" applyNumberFormat="1" applyBorder="1"/>
    <xf numFmtId="2" fontId="0" fillId="0" borderId="19" xfId="0" applyNumberFormat="1" applyBorder="1"/>
    <xf numFmtId="1" fontId="0" fillId="0" borderId="12" xfId="0" applyNumberFormat="1" applyBorder="1"/>
    <xf numFmtId="4" fontId="0" fillId="0" borderId="12" xfId="0" applyNumberFormat="1" applyBorder="1"/>
    <xf numFmtId="0" fontId="0" fillId="0" borderId="12" xfId="0" applyBorder="1" applyAlignment="1">
      <alignment horizontal="right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4" fontId="0" fillId="0" borderId="21" xfId="2" applyNumberFormat="1" applyFont="1" applyBorder="1"/>
    <xf numFmtId="0" fontId="2" fillId="12" borderId="15" xfId="0" applyFont="1" applyFill="1" applyBorder="1"/>
    <xf numFmtId="0" fontId="2" fillId="12" borderId="16" xfId="0" applyFont="1" applyFill="1" applyBorder="1"/>
    <xf numFmtId="0" fontId="2" fillId="12" borderId="17" xfId="0" applyFont="1" applyFill="1" applyBorder="1"/>
    <xf numFmtId="9" fontId="31" fillId="20" borderId="31" xfId="0" applyNumberFormat="1" applyFont="1" applyFill="1" applyBorder="1"/>
    <xf numFmtId="167" fontId="0" fillId="0" borderId="0" xfId="0" applyNumberFormat="1" applyBorder="1"/>
    <xf numFmtId="167" fontId="0" fillId="0" borderId="19" xfId="0" applyNumberFormat="1" applyBorder="1"/>
    <xf numFmtId="167" fontId="0" fillId="0" borderId="21" xfId="0" applyNumberFormat="1" applyBorder="1"/>
    <xf numFmtId="167" fontId="0" fillId="0" borderId="22" xfId="0" applyNumberFormat="1" applyBorder="1"/>
    <xf numFmtId="0" fontId="0" fillId="20" borderId="0" xfId="0" applyFill="1"/>
    <xf numFmtId="0" fontId="4" fillId="0" borderId="0" xfId="0" applyFont="1" applyAlignment="1">
      <alignment horizontal="right"/>
    </xf>
    <xf numFmtId="166" fontId="31" fillId="20" borderId="15" xfId="0" applyNumberFormat="1" applyFont="1" applyFill="1" applyBorder="1"/>
    <xf numFmtId="166" fontId="31" fillId="20" borderId="16" xfId="0" applyNumberFormat="1" applyFont="1" applyFill="1" applyBorder="1"/>
    <xf numFmtId="166" fontId="31" fillId="20" borderId="0" xfId="0" applyNumberFormat="1" applyFont="1" applyFill="1" applyBorder="1"/>
    <xf numFmtId="0" fontId="31" fillId="20" borderId="35" xfId="0" applyFont="1" applyFill="1" applyBorder="1"/>
    <xf numFmtId="0" fontId="31" fillId="20" borderId="36" xfId="0" applyFont="1" applyFill="1" applyBorder="1"/>
    <xf numFmtId="9" fontId="0" fillId="0" borderId="37" xfId="0" applyNumberFormat="1" applyBorder="1"/>
    <xf numFmtId="9" fontId="0" fillId="0" borderId="38" xfId="0" applyNumberFormat="1" applyBorder="1"/>
    <xf numFmtId="4" fontId="0" fillId="0" borderId="39" xfId="0" applyNumberFormat="1" applyBorder="1"/>
    <xf numFmtId="0" fontId="0" fillId="14" borderId="18" xfId="0" applyFill="1" applyBorder="1"/>
    <xf numFmtId="3" fontId="0" fillId="14" borderId="0" xfId="0" applyNumberFormat="1" applyFill="1" applyBorder="1"/>
    <xf numFmtId="3" fontId="0" fillId="14" borderId="19" xfId="0" applyNumberFormat="1" applyFill="1" applyBorder="1"/>
    <xf numFmtId="9" fontId="0" fillId="14" borderId="0" xfId="0" applyNumberFormat="1" applyFill="1" applyBorder="1"/>
    <xf numFmtId="9" fontId="0" fillId="14" borderId="19" xfId="0" applyNumberFormat="1" applyFill="1" applyBorder="1"/>
    <xf numFmtId="167" fontId="0" fillId="14" borderId="0" xfId="0" applyNumberFormat="1" applyFill="1" applyBorder="1"/>
    <xf numFmtId="167" fontId="0" fillId="14" borderId="19" xfId="0" applyNumberFormat="1" applyFill="1" applyBorder="1"/>
    <xf numFmtId="170" fontId="3" fillId="0" borderId="0" xfId="0" applyNumberFormat="1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3" fontId="0" fillId="0" borderId="44" xfId="0" applyNumberFormat="1" applyBorder="1"/>
    <xf numFmtId="0" fontId="0" fillId="0" borderId="0" xfId="0" quotePrefix="1" applyBorder="1"/>
    <xf numFmtId="0" fontId="4" fillId="0" borderId="43" xfId="0" applyFont="1" applyBorder="1"/>
    <xf numFmtId="3" fontId="4" fillId="0" borderId="44" xfId="0" applyNumberFormat="1" applyFont="1" applyBorder="1"/>
    <xf numFmtId="0" fontId="0" fillId="0" borderId="44" xfId="0" applyBorder="1"/>
    <xf numFmtId="0" fontId="0" fillId="0" borderId="45" xfId="0" applyBorder="1"/>
    <xf numFmtId="0" fontId="4" fillId="0" borderId="36" xfId="0" applyFont="1" applyFill="1" applyBorder="1"/>
    <xf numFmtId="166" fontId="0" fillId="0" borderId="36" xfId="0" applyNumberFormat="1" applyBorder="1"/>
    <xf numFmtId="0" fontId="0" fillId="0" borderId="36" xfId="0" applyBorder="1"/>
    <xf numFmtId="0" fontId="0" fillId="0" borderId="46" xfId="0" applyBorder="1"/>
    <xf numFmtId="0" fontId="4" fillId="0" borderId="40" xfId="0" applyFont="1" applyBorder="1"/>
    <xf numFmtId="4" fontId="9" fillId="0" borderId="0" xfId="18" applyNumberFormat="1" applyFont="1"/>
    <xf numFmtId="166" fontId="23" fillId="17" borderId="0" xfId="0" applyNumberFormat="1" applyFont="1" applyFill="1"/>
    <xf numFmtId="3" fontId="4" fillId="0" borderId="16" xfId="0" applyNumberFormat="1" applyFont="1" applyBorder="1"/>
    <xf numFmtId="3" fontId="4" fillId="0" borderId="47" xfId="0" applyNumberFormat="1" applyFont="1" applyBorder="1"/>
    <xf numFmtId="0" fontId="4" fillId="15" borderId="15" xfId="0" applyFont="1" applyFill="1" applyBorder="1"/>
    <xf numFmtId="0" fontId="4" fillId="15" borderId="16" xfId="0" applyFont="1" applyFill="1" applyBorder="1"/>
    <xf numFmtId="3" fontId="4" fillId="15" borderId="16" xfId="0" applyNumberFormat="1" applyFont="1" applyFill="1" applyBorder="1"/>
    <xf numFmtId="3" fontId="4" fillId="15" borderId="17" xfId="0" applyNumberFormat="1" applyFont="1" applyFill="1" applyBorder="1"/>
    <xf numFmtId="0" fontId="4" fillId="0" borderId="18" xfId="0" applyFont="1" applyBorder="1"/>
    <xf numFmtId="43" fontId="4" fillId="0" borderId="0" xfId="1" applyFont="1" applyBorder="1"/>
    <xf numFmtId="1" fontId="4" fillId="0" borderId="0" xfId="0" applyNumberFormat="1" applyFont="1" applyBorder="1"/>
    <xf numFmtId="1" fontId="4" fillId="0" borderId="19" xfId="0" applyNumberFormat="1" applyFont="1" applyBorder="1"/>
    <xf numFmtId="0" fontId="4" fillId="14" borderId="18" xfId="0" applyFont="1" applyFill="1" applyBorder="1"/>
    <xf numFmtId="0" fontId="0" fillId="0" borderId="18" xfId="0" applyBorder="1" applyAlignment="1">
      <alignment horizontal="left" indent="1"/>
    </xf>
    <xf numFmtId="0" fontId="4" fillId="14" borderId="18" xfId="0" applyFont="1" applyFill="1" applyBorder="1" applyAlignment="1">
      <alignment horizontal="left"/>
    </xf>
    <xf numFmtId="0" fontId="0" fillId="0" borderId="20" xfId="0" applyBorder="1" applyAlignment="1">
      <alignment horizontal="left" indent="1"/>
    </xf>
    <xf numFmtId="0" fontId="2" fillId="13" borderId="15" xfId="0" applyFont="1" applyFill="1" applyBorder="1"/>
    <xf numFmtId="0" fontId="2" fillId="13" borderId="16" xfId="0" applyFont="1" applyFill="1" applyBorder="1"/>
    <xf numFmtId="0" fontId="4" fillId="13" borderId="16" xfId="0" applyFont="1" applyFill="1" applyBorder="1"/>
    <xf numFmtId="0" fontId="4" fillId="13" borderId="17" xfId="0" applyFont="1" applyFill="1" applyBorder="1"/>
    <xf numFmtId="3" fontId="4" fillId="0" borderId="19" xfId="0" applyNumberFormat="1" applyFont="1" applyBorder="1"/>
    <xf numFmtId="0" fontId="0" fillId="0" borderId="18" xfId="0" quotePrefix="1" applyBorder="1" applyAlignment="1">
      <alignment horizontal="left" indent="1"/>
    </xf>
    <xf numFmtId="0" fontId="0" fillId="0" borderId="18" xfId="0" applyBorder="1" applyAlignment="1">
      <alignment horizontal="left" indent="2"/>
    </xf>
    <xf numFmtId="3" fontId="26" fillId="0" borderId="0" xfId="1" applyNumberFormat="1" applyFont="1" applyBorder="1" applyAlignment="1">
      <alignment horizontal="right"/>
    </xf>
    <xf numFmtId="1" fontId="0" fillId="0" borderId="19" xfId="0" applyNumberFormat="1" applyBorder="1"/>
    <xf numFmtId="3" fontId="21" fillId="0" borderId="0" xfId="0" applyNumberFormat="1" applyFont="1" applyBorder="1"/>
    <xf numFmtId="0" fontId="0" fillId="0" borderId="18" xfId="0" applyFont="1" applyBorder="1" applyAlignment="1">
      <alignment horizontal="left" indent="1"/>
    </xf>
    <xf numFmtId="3" fontId="0" fillId="0" borderId="21" xfId="0" applyNumberFormat="1" applyFont="1" applyBorder="1"/>
    <xf numFmtId="3" fontId="0" fillId="0" borderId="22" xfId="0" applyNumberFormat="1" applyFont="1" applyBorder="1"/>
    <xf numFmtId="4" fontId="23" fillId="17" borderId="0" xfId="0" applyNumberFormat="1" applyFont="1" applyFill="1"/>
    <xf numFmtId="9" fontId="3" fillId="0" borderId="0" xfId="0" applyNumberFormat="1" applyFont="1" applyFill="1"/>
    <xf numFmtId="9" fontId="0" fillId="0" borderId="16" xfId="0" applyNumberFormat="1" applyBorder="1"/>
    <xf numFmtId="4" fontId="0" fillId="0" borderId="16" xfId="0" applyNumberFormat="1" applyBorder="1"/>
    <xf numFmtId="1" fontId="22" fillId="6" borderId="0" xfId="0" applyNumberFormat="1" applyFont="1" applyFill="1" applyBorder="1"/>
    <xf numFmtId="1" fontId="22" fillId="6" borderId="19" xfId="0" applyNumberFormat="1" applyFont="1" applyFill="1" applyBorder="1"/>
    <xf numFmtId="0" fontId="3" fillId="0" borderId="0" xfId="0" applyFont="1"/>
    <xf numFmtId="0" fontId="0" fillId="0" borderId="0" xfId="18" applyFont="1"/>
    <xf numFmtId="0" fontId="35" fillId="0" borderId="0" xfId="18" applyFont="1"/>
    <xf numFmtId="0" fontId="35" fillId="0" borderId="0" xfId="18" applyFont="1" applyBorder="1" applyAlignment="1">
      <alignment horizontal="center" vertical="center"/>
    </xf>
    <xf numFmtId="0" fontId="35" fillId="3" borderId="11" xfId="19" applyFont="1" applyBorder="1"/>
    <xf numFmtId="0" fontId="36" fillId="3" borderId="11" xfId="19" applyFont="1" applyFill="1" applyBorder="1" applyAlignment="1">
      <alignment horizontal="center" vertical="center" wrapText="1"/>
    </xf>
    <xf numFmtId="0" fontId="35" fillId="0" borderId="0" xfId="18" applyFont="1" applyBorder="1"/>
    <xf numFmtId="0" fontId="35" fillId="3" borderId="0" xfId="19" applyFont="1" applyBorder="1"/>
    <xf numFmtId="0" fontId="36" fillId="3" borderId="0" xfId="19" applyFont="1" applyFill="1" applyBorder="1" applyAlignment="1">
      <alignment horizontal="center" vertical="center" wrapText="1"/>
    </xf>
    <xf numFmtId="0" fontId="37" fillId="0" borderId="0" xfId="18" applyFont="1" applyBorder="1" applyAlignment="1">
      <alignment horizontal="left" vertical="center"/>
    </xf>
    <xf numFmtId="0" fontId="37" fillId="0" borderId="0" xfId="18" applyFont="1" applyBorder="1" applyAlignment="1">
      <alignment horizontal="left" vertical="center" indent="7"/>
    </xf>
    <xf numFmtId="0" fontId="35" fillId="0" borderId="0" xfId="18" applyFont="1" applyBorder="1" applyAlignment="1">
      <alignment horizontal="left" vertical="center"/>
    </xf>
    <xf numFmtId="0" fontId="37" fillId="0" borderId="0" xfId="18" applyFont="1" applyAlignment="1">
      <alignment horizontal="left" vertical="center"/>
    </xf>
    <xf numFmtId="3" fontId="0" fillId="21" borderId="0" xfId="0" applyNumberFormat="1" applyFill="1" applyBorder="1"/>
    <xf numFmtId="166" fontId="22" fillId="21" borderId="12" xfId="0" applyNumberFormat="1" applyFont="1" applyFill="1" applyBorder="1"/>
    <xf numFmtId="0" fontId="28" fillId="23" borderId="0" xfId="36" applyFont="1" applyFill="1" applyBorder="1" applyAlignment="1">
      <alignment vertical="center"/>
    </xf>
    <xf numFmtId="169" fontId="28" fillId="23" borderId="52" xfId="1" applyNumberFormat="1" applyFont="1" applyFill="1" applyBorder="1" applyAlignment="1">
      <alignment horizontal="center" vertical="center"/>
    </xf>
    <xf numFmtId="169" fontId="28" fillId="23" borderId="53" xfId="1" applyNumberFormat="1" applyFont="1" applyFill="1" applyBorder="1" applyAlignment="1">
      <alignment horizontal="center" vertical="center"/>
    </xf>
    <xf numFmtId="169" fontId="28" fillId="23" borderId="51" xfId="1" applyNumberFormat="1" applyFont="1" applyFill="1" applyBorder="1" applyAlignment="1">
      <alignment horizontal="center" vertical="center"/>
    </xf>
    <xf numFmtId="0" fontId="14" fillId="3" borderId="48" xfId="23" applyFont="1" applyFill="1" applyBorder="1" applyAlignment="1">
      <alignment vertical="center"/>
    </xf>
    <xf numFmtId="172" fontId="14" fillId="3" borderId="52" xfId="1" applyNumberFormat="1" applyFont="1" applyFill="1" applyBorder="1" applyAlignment="1">
      <alignment horizontal="center" vertical="center"/>
    </xf>
    <xf numFmtId="172" fontId="14" fillId="3" borderId="53" xfId="1" applyNumberFormat="1" applyFont="1" applyFill="1" applyBorder="1" applyAlignment="1">
      <alignment horizontal="center" vertical="center"/>
    </xf>
    <xf numFmtId="0" fontId="28" fillId="0" borderId="0" xfId="36" applyFont="1" applyFill="1" applyBorder="1" applyAlignment="1">
      <alignment vertical="center"/>
    </xf>
    <xf numFmtId="172" fontId="28" fillId="0" borderId="52" xfId="1" applyNumberFormat="1" applyFont="1" applyFill="1" applyBorder="1" applyAlignment="1">
      <alignment horizontal="center" vertical="center"/>
    </xf>
    <xf numFmtId="172" fontId="28" fillId="0" borderId="53" xfId="1" applyNumberFormat="1" applyFont="1" applyFill="1" applyBorder="1" applyAlignment="1">
      <alignment horizontal="center" vertical="center"/>
    </xf>
    <xf numFmtId="172" fontId="28" fillId="0" borderId="51" xfId="1" applyNumberFormat="1" applyFont="1" applyFill="1" applyBorder="1" applyAlignment="1">
      <alignment horizontal="center" vertical="center"/>
    </xf>
    <xf numFmtId="0" fontId="14" fillId="3" borderId="0" xfId="23" applyFont="1" applyFill="1" applyBorder="1" applyAlignment="1">
      <alignment horizontal="left" vertical="center" indent="1"/>
    </xf>
    <xf numFmtId="172" fontId="14" fillId="0" borderId="52" xfId="1" applyNumberFormat="1" applyFont="1" applyFill="1" applyBorder="1" applyAlignment="1">
      <alignment horizontal="center" vertical="center"/>
    </xf>
    <xf numFmtId="172" fontId="14" fillId="0" borderId="53" xfId="1" applyNumberFormat="1" applyFont="1" applyFill="1" applyBorder="1" applyAlignment="1">
      <alignment horizontal="center" vertical="center"/>
    </xf>
    <xf numFmtId="172" fontId="14" fillId="0" borderId="51" xfId="1" applyNumberFormat="1" applyFont="1" applyFill="1" applyBorder="1" applyAlignment="1">
      <alignment horizontal="center" vertical="center"/>
    </xf>
    <xf numFmtId="0" fontId="40" fillId="23" borderId="0" xfId="36" applyFont="1" applyFill="1" applyBorder="1" applyAlignment="1">
      <alignment vertical="center"/>
    </xf>
    <xf numFmtId="166" fontId="40" fillId="23" borderId="52" xfId="2" applyNumberFormat="1" applyFont="1" applyFill="1" applyBorder="1" applyAlignment="1">
      <alignment horizontal="right" vertical="center"/>
    </xf>
    <xf numFmtId="166" fontId="40" fillId="23" borderId="53" xfId="2" applyNumberFormat="1" applyFont="1" applyFill="1" applyBorder="1" applyAlignment="1">
      <alignment horizontal="right" vertical="center"/>
    </xf>
    <xf numFmtId="166" fontId="40" fillId="23" borderId="51" xfId="2" applyNumberFormat="1" applyFont="1" applyFill="1" applyBorder="1" applyAlignment="1">
      <alignment horizontal="right" vertical="center"/>
    </xf>
    <xf numFmtId="0" fontId="28" fillId="3" borderId="48" xfId="23" applyFont="1" applyBorder="1" applyAlignment="1">
      <alignment vertical="center"/>
    </xf>
    <xf numFmtId="0" fontId="14" fillId="3" borderId="48" xfId="23" applyFont="1" applyFill="1" applyBorder="1" applyAlignment="1">
      <alignment horizontal="left" vertical="center" indent="1"/>
    </xf>
    <xf numFmtId="0" fontId="14" fillId="3" borderId="0" xfId="23" applyFont="1" applyBorder="1" applyAlignment="1">
      <alignment horizontal="left" vertical="center"/>
    </xf>
    <xf numFmtId="172" fontId="28" fillId="23" borderId="52" xfId="1" applyNumberFormat="1" applyFont="1" applyFill="1" applyBorder="1" applyAlignment="1">
      <alignment horizontal="center" vertical="center"/>
    </xf>
    <xf numFmtId="0" fontId="28" fillId="3" borderId="48" xfId="23" applyFont="1" applyBorder="1" applyAlignment="1">
      <alignment horizontal="left" vertical="center"/>
    </xf>
    <xf numFmtId="0" fontId="14" fillId="3" borderId="48" xfId="23" applyFont="1" applyBorder="1" applyAlignment="1">
      <alignment horizontal="left" vertical="center" indent="1"/>
    </xf>
    <xf numFmtId="172" fontId="28" fillId="23" borderId="53" xfId="1" applyNumberFormat="1" applyFont="1" applyFill="1" applyBorder="1" applyAlignment="1">
      <alignment horizontal="center" vertical="center"/>
    </xf>
    <xf numFmtId="172" fontId="28" fillId="23" borderId="51" xfId="1" applyNumberFormat="1" applyFont="1" applyFill="1" applyBorder="1" applyAlignment="1">
      <alignment horizontal="center" vertical="center"/>
    </xf>
    <xf numFmtId="172" fontId="14" fillId="3" borderId="51" xfId="1" applyNumberFormat="1" applyFont="1" applyFill="1" applyBorder="1" applyAlignment="1">
      <alignment horizontal="center" vertical="center"/>
    </xf>
    <xf numFmtId="172" fontId="28" fillId="23" borderId="54" xfId="1" applyNumberFormat="1" applyFont="1" applyFill="1" applyBorder="1" applyAlignment="1">
      <alignment horizontal="center" vertical="center"/>
    </xf>
    <xf numFmtId="172" fontId="28" fillId="23" borderId="55" xfId="1" applyNumberFormat="1" applyFont="1" applyFill="1" applyBorder="1" applyAlignment="1">
      <alignment horizontal="center" vertical="center"/>
    </xf>
    <xf numFmtId="174" fontId="28" fillId="0" borderId="48" xfId="37" applyNumberFormat="1" applyFont="1" applyFill="1" applyBorder="1" applyAlignment="1">
      <alignment horizontal="center" vertical="center"/>
    </xf>
    <xf numFmtId="172" fontId="28" fillId="14" borderId="53" xfId="1" applyNumberFormat="1" applyFont="1" applyFill="1" applyBorder="1" applyAlignment="1">
      <alignment horizontal="center" vertical="center"/>
    </xf>
    <xf numFmtId="172" fontId="28" fillId="14" borderId="51" xfId="1" applyNumberFormat="1" applyFont="1" applyFill="1" applyBorder="1" applyAlignment="1">
      <alignment horizontal="center" vertical="center"/>
    </xf>
    <xf numFmtId="0" fontId="41" fillId="3" borderId="48" xfId="23" applyFont="1" applyBorder="1" applyAlignment="1">
      <alignment horizontal="left" vertical="center" indent="1"/>
    </xf>
    <xf numFmtId="166" fontId="42" fillId="0" borderId="55" xfId="2" applyNumberFormat="1" applyFont="1" applyFill="1" applyBorder="1" applyAlignment="1">
      <alignment vertical="center"/>
    </xf>
    <xf numFmtId="166" fontId="42" fillId="0" borderId="54" xfId="2" applyNumberFormat="1" applyFont="1" applyFill="1" applyBorder="1" applyAlignment="1">
      <alignment vertical="center"/>
    </xf>
    <xf numFmtId="166" fontId="42" fillId="0" borderId="51" xfId="2" applyNumberFormat="1" applyFont="1" applyFill="1" applyBorder="1" applyAlignment="1">
      <alignment vertical="center"/>
    </xf>
    <xf numFmtId="17" fontId="43" fillId="0" borderId="48" xfId="18" applyNumberFormat="1" applyFont="1" applyBorder="1" applyAlignment="1">
      <alignment vertical="center"/>
    </xf>
    <xf numFmtId="174" fontId="43" fillId="0" borderId="48" xfId="18" applyNumberFormat="1" applyFont="1" applyBorder="1" applyAlignment="1">
      <alignment vertical="center"/>
    </xf>
    <xf numFmtId="0" fontId="43" fillId="0" borderId="48" xfId="18" applyFont="1" applyFill="1" applyBorder="1" applyAlignment="1">
      <alignment vertical="center"/>
    </xf>
    <xf numFmtId="0" fontId="43" fillId="0" borderId="48" xfId="18" applyFont="1" applyBorder="1" applyAlignment="1">
      <alignment vertical="center"/>
    </xf>
    <xf numFmtId="0" fontId="14" fillId="24" borderId="0" xfId="36" applyFont="1" applyFill="1" applyBorder="1" applyAlignment="1">
      <alignment horizontal="left" vertical="center" indent="1"/>
    </xf>
    <xf numFmtId="169" fontId="14" fillId="3" borderId="48" xfId="1" applyNumberFormat="1" applyFont="1" applyFill="1" applyBorder="1" applyAlignment="1">
      <alignment horizontal="center" vertical="center"/>
    </xf>
    <xf numFmtId="169" fontId="7" fillId="0" borderId="0" xfId="1" applyNumberFormat="1" applyFont="1" applyBorder="1" applyAlignment="1">
      <alignment horizontal="right"/>
    </xf>
    <xf numFmtId="169" fontId="14" fillId="0" borderId="48" xfId="1" applyNumberFormat="1" applyFont="1" applyFill="1" applyBorder="1" applyAlignment="1">
      <alignment horizontal="center" vertical="center"/>
    </xf>
    <xf numFmtId="169" fontId="7" fillId="0" borderId="0" xfId="1" applyNumberFormat="1" applyFont="1" applyFill="1" applyBorder="1" applyAlignment="1">
      <alignment horizontal="right"/>
    </xf>
    <xf numFmtId="0" fontId="28" fillId="25" borderId="0" xfId="36" applyFont="1" applyFill="1" applyBorder="1" applyAlignment="1">
      <alignment vertical="center"/>
    </xf>
    <xf numFmtId="169" fontId="28" fillId="25" borderId="51" xfId="1" applyNumberFormat="1" applyFont="1" applyFill="1" applyBorder="1" applyAlignment="1">
      <alignment horizontal="center" vertical="center"/>
    </xf>
    <xf numFmtId="169" fontId="14" fillId="0" borderId="51" xfId="1" applyNumberFormat="1" applyFont="1" applyFill="1" applyBorder="1" applyAlignment="1">
      <alignment horizontal="center" vertical="center"/>
    </xf>
    <xf numFmtId="169" fontId="14" fillId="0" borderId="0" xfId="1" applyNumberFormat="1" applyFont="1" applyFill="1" applyBorder="1" applyAlignment="1">
      <alignment horizontal="center" vertical="center"/>
    </xf>
    <xf numFmtId="0" fontId="14" fillId="0" borderId="0" xfId="36" applyFont="1" applyFill="1" applyBorder="1" applyAlignment="1">
      <alignment horizontal="left" vertical="center" indent="1"/>
    </xf>
    <xf numFmtId="169" fontId="28" fillId="25" borderId="48" xfId="1" applyNumberFormat="1" applyFont="1" applyFill="1" applyBorder="1" applyAlignment="1">
      <alignment horizontal="center" vertical="center"/>
    </xf>
    <xf numFmtId="169" fontId="28" fillId="23" borderId="48" xfId="1" applyNumberFormat="1" applyFont="1" applyFill="1" applyBorder="1" applyAlignment="1">
      <alignment horizontal="center" vertical="center"/>
    </xf>
    <xf numFmtId="0" fontId="28" fillId="0" borderId="48" xfId="23" applyNumberFormat="1" applyFont="1" applyFill="1" applyBorder="1" applyAlignment="1">
      <alignment vertical="center"/>
    </xf>
    <xf numFmtId="169" fontId="28" fillId="0" borderId="48" xfId="1" applyNumberFormat="1" applyFont="1" applyFill="1" applyBorder="1" applyAlignment="1">
      <alignment vertical="center"/>
    </xf>
    <xf numFmtId="175" fontId="7" fillId="0" borderId="0" xfId="1" applyNumberFormat="1" applyFont="1" applyFill="1" applyBorder="1" applyAlignment="1">
      <alignment horizontal="right"/>
    </xf>
    <xf numFmtId="175" fontId="7" fillId="0" borderId="0" xfId="1" applyNumberFormat="1" applyFont="1" applyBorder="1" applyAlignment="1">
      <alignment horizontal="right"/>
    </xf>
    <xf numFmtId="0" fontId="7" fillId="0" borderId="0" xfId="0" applyFont="1" applyFill="1"/>
    <xf numFmtId="174" fontId="28" fillId="0" borderId="53" xfId="37" applyNumberFormat="1" applyFont="1" applyFill="1" applyBorder="1" applyAlignment="1">
      <alignment horizontal="right" vertical="center"/>
    </xf>
    <xf numFmtId="174" fontId="28" fillId="0" borderId="52" xfId="37" applyNumberFormat="1" applyFont="1" applyFill="1" applyBorder="1" applyAlignment="1">
      <alignment horizontal="right" vertical="center"/>
    </xf>
    <xf numFmtId="174" fontId="28" fillId="0" borderId="49" xfId="37" applyNumberFormat="1" applyFont="1" applyFill="1" applyBorder="1" applyAlignment="1">
      <alignment horizontal="right" vertical="center"/>
    </xf>
    <xf numFmtId="174" fontId="28" fillId="0" borderId="0" xfId="37" applyNumberFormat="1" applyFont="1" applyFill="1" applyBorder="1" applyAlignment="1">
      <alignment horizontal="right" vertical="center"/>
    </xf>
    <xf numFmtId="0" fontId="44" fillId="23" borderId="0" xfId="0" applyFont="1" applyFill="1"/>
    <xf numFmtId="176" fontId="28" fillId="23" borderId="53" xfId="37" applyNumberFormat="1" applyFont="1" applyFill="1" applyBorder="1" applyAlignment="1">
      <alignment horizontal="right" vertical="center"/>
    </xf>
    <xf numFmtId="176" fontId="28" fillId="23" borderId="52" xfId="37" applyNumberFormat="1" applyFont="1" applyFill="1" applyBorder="1" applyAlignment="1">
      <alignment horizontal="right" vertical="center"/>
    </xf>
    <xf numFmtId="176" fontId="28" fillId="23" borderId="51" xfId="37" applyNumberFormat="1" applyFont="1" applyFill="1" applyBorder="1" applyAlignment="1">
      <alignment horizontal="right" vertical="center"/>
    </xf>
    <xf numFmtId="0" fontId="7" fillId="0" borderId="0" xfId="0" applyFont="1"/>
    <xf numFmtId="174" fontId="14" fillId="0" borderId="53" xfId="37" applyNumberFormat="1" applyFont="1" applyFill="1" applyBorder="1" applyAlignment="1">
      <alignment horizontal="right" vertical="center"/>
    </xf>
    <xf numFmtId="174" fontId="14" fillId="0" borderId="52" xfId="37" applyNumberFormat="1" applyFont="1" applyFill="1" applyBorder="1" applyAlignment="1">
      <alignment horizontal="right" vertical="center"/>
    </xf>
    <xf numFmtId="174" fontId="14" fillId="0" borderId="51" xfId="37" applyNumberFormat="1" applyFont="1" applyFill="1" applyBorder="1" applyAlignment="1">
      <alignment horizontal="right" vertical="center"/>
    </xf>
    <xf numFmtId="175" fontId="7" fillId="0" borderId="53" xfId="1" applyNumberFormat="1" applyFont="1" applyFill="1" applyBorder="1" applyAlignment="1">
      <alignment horizontal="right"/>
    </xf>
    <xf numFmtId="175" fontId="7" fillId="0" borderId="52" xfId="1" applyNumberFormat="1" applyFont="1" applyFill="1" applyBorder="1" applyAlignment="1">
      <alignment horizontal="right"/>
    </xf>
    <xf numFmtId="43" fontId="7" fillId="0" borderId="53" xfId="1" applyFont="1" applyFill="1" applyBorder="1" applyAlignment="1">
      <alignment horizontal="right"/>
    </xf>
    <xf numFmtId="43" fontId="7" fillId="0" borderId="52" xfId="1" applyFont="1" applyFill="1" applyBorder="1" applyAlignment="1">
      <alignment horizontal="right"/>
    </xf>
    <xf numFmtId="175" fontId="14" fillId="0" borderId="0" xfId="1" applyNumberFormat="1" applyFont="1" applyFill="1" applyBorder="1" applyAlignment="1">
      <alignment horizontal="right"/>
    </xf>
    <xf numFmtId="172" fontId="7" fillId="0" borderId="52" xfId="1" applyNumberFormat="1" applyFont="1" applyFill="1" applyBorder="1" applyAlignment="1">
      <alignment horizontal="right"/>
    </xf>
    <xf numFmtId="169" fontId="7" fillId="0" borderId="53" xfId="1" applyNumberFormat="1" applyFont="1" applyFill="1" applyBorder="1" applyAlignment="1">
      <alignment horizontal="right"/>
    </xf>
    <xf numFmtId="169" fontId="7" fillId="0" borderId="52" xfId="1" applyNumberFormat="1" applyFont="1" applyFill="1" applyBorder="1" applyAlignment="1">
      <alignment horizontal="right"/>
    </xf>
    <xf numFmtId="0" fontId="44" fillId="0" borderId="0" xfId="0" applyFont="1" applyFill="1"/>
    <xf numFmtId="177" fontId="14" fillId="0" borderId="52" xfId="37" applyNumberFormat="1" applyFont="1" applyFill="1" applyBorder="1" applyAlignment="1">
      <alignment horizontal="right" vertical="center"/>
    </xf>
    <xf numFmtId="0" fontId="44" fillId="0" borderId="0" xfId="0" applyFont="1"/>
    <xf numFmtId="176" fontId="14" fillId="0" borderId="53" xfId="37" applyNumberFormat="1" applyFont="1" applyFill="1" applyBorder="1" applyAlignment="1">
      <alignment horizontal="right" vertical="center"/>
    </xf>
    <xf numFmtId="176" fontId="14" fillId="0" borderId="52" xfId="37" applyNumberFormat="1" applyFont="1" applyFill="1" applyBorder="1" applyAlignment="1">
      <alignment horizontal="right" vertical="center"/>
    </xf>
    <xf numFmtId="174" fontId="28" fillId="0" borderId="51" xfId="37" applyNumberFormat="1" applyFont="1" applyFill="1" applyBorder="1" applyAlignment="1">
      <alignment horizontal="right" vertical="center"/>
    </xf>
    <xf numFmtId="174" fontId="14" fillId="0" borderId="0" xfId="37" applyNumberFormat="1" applyFont="1" applyFill="1" applyBorder="1" applyAlignment="1">
      <alignment horizontal="right" vertical="center"/>
    </xf>
    <xf numFmtId="175" fontId="7" fillId="0" borderId="53" xfId="1" applyNumberFormat="1" applyFont="1" applyBorder="1" applyAlignment="1">
      <alignment horizontal="right"/>
    </xf>
    <xf numFmtId="175" fontId="7" fillId="0" borderId="52" xfId="1" applyNumberFormat="1" applyFont="1" applyBorder="1" applyAlignment="1">
      <alignment horizontal="right"/>
    </xf>
    <xf numFmtId="43" fontId="7" fillId="0" borderId="53" xfId="1" applyFont="1" applyBorder="1" applyAlignment="1">
      <alignment horizontal="right"/>
    </xf>
    <xf numFmtId="169" fontId="7" fillId="0" borderId="53" xfId="1" applyNumberFormat="1" applyFont="1" applyBorder="1" applyAlignment="1">
      <alignment horizontal="right"/>
    </xf>
    <xf numFmtId="169" fontId="7" fillId="0" borderId="52" xfId="1" applyNumberFormat="1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0" fontId="14" fillId="24" borderId="0" xfId="1" applyNumberFormat="1" applyFont="1" applyFill="1" applyBorder="1" applyAlignment="1">
      <alignment horizontal="left" vertical="center" indent="1"/>
    </xf>
    <xf numFmtId="169" fontId="14" fillId="24" borderId="0" xfId="1" applyNumberFormat="1" applyFont="1" applyFill="1" applyBorder="1" applyAlignment="1">
      <alignment horizontal="left" vertical="center" indent="1"/>
    </xf>
    <xf numFmtId="174" fontId="14" fillId="3" borderId="53" xfId="37" applyNumberFormat="1" applyFont="1" applyFill="1" applyBorder="1" applyAlignment="1">
      <alignment horizontal="right" vertical="center"/>
    </xf>
    <xf numFmtId="174" fontId="14" fillId="3" borderId="52" xfId="37" applyNumberFormat="1" applyFont="1" applyFill="1" applyBorder="1" applyAlignment="1">
      <alignment horizontal="right" vertical="center"/>
    </xf>
    <xf numFmtId="174" fontId="14" fillId="3" borderId="51" xfId="37" applyNumberFormat="1" applyFont="1" applyFill="1" applyBorder="1" applyAlignment="1">
      <alignment horizontal="right" vertical="center"/>
    </xf>
    <xf numFmtId="176" fontId="28" fillId="23" borderId="55" xfId="37" applyNumberFormat="1" applyFont="1" applyFill="1" applyBorder="1" applyAlignment="1">
      <alignment horizontal="right" vertical="center"/>
    </xf>
    <xf numFmtId="176" fontId="28" fillId="23" borderId="54" xfId="37" applyNumberFormat="1" applyFont="1" applyFill="1" applyBorder="1" applyAlignment="1">
      <alignment horizontal="right" vertical="center"/>
    </xf>
    <xf numFmtId="0" fontId="28" fillId="23" borderId="48" xfId="36" applyFont="1" applyFill="1" applyBorder="1" applyAlignment="1">
      <alignment vertical="center"/>
    </xf>
    <xf numFmtId="170" fontId="28" fillId="23" borderId="53" xfId="1" applyNumberFormat="1" applyFont="1" applyFill="1" applyBorder="1" applyAlignment="1">
      <alignment horizontal="right" vertical="center"/>
    </xf>
    <xf numFmtId="170" fontId="28" fillId="23" borderId="51" xfId="1" applyNumberFormat="1" applyFont="1" applyFill="1" applyBorder="1" applyAlignment="1">
      <alignment horizontal="right" vertical="center"/>
    </xf>
    <xf numFmtId="1" fontId="14" fillId="0" borderId="48" xfId="23" applyNumberFormat="1" applyFont="1" applyFill="1" applyBorder="1" applyAlignment="1">
      <alignment horizontal="left" vertical="center"/>
    </xf>
    <xf numFmtId="170" fontId="28" fillId="0" borderId="53" xfId="1" applyNumberFormat="1" applyFont="1" applyFill="1" applyBorder="1" applyAlignment="1">
      <alignment horizontal="right" vertical="center"/>
    </xf>
    <xf numFmtId="170" fontId="28" fillId="0" borderId="51" xfId="1" applyNumberFormat="1" applyFont="1" applyFill="1" applyBorder="1" applyAlignment="1">
      <alignment horizontal="right" vertical="center"/>
    </xf>
    <xf numFmtId="0" fontId="28" fillId="0" borderId="56" xfId="23" applyFont="1" applyFill="1" applyBorder="1" applyAlignment="1">
      <alignment horizontal="left" vertical="center" indent="1"/>
    </xf>
    <xf numFmtId="170" fontId="28" fillId="0" borderId="53" xfId="1" applyNumberFormat="1" applyFont="1" applyBorder="1"/>
    <xf numFmtId="170" fontId="28" fillId="0" borderId="0" xfId="1" applyNumberFormat="1" applyFont="1"/>
    <xf numFmtId="0" fontId="14" fillId="0" borderId="56" xfId="23" applyFont="1" applyFill="1" applyBorder="1" applyAlignment="1">
      <alignment horizontal="left" vertical="center" indent="1"/>
    </xf>
    <xf numFmtId="170" fontId="14" fillId="0" borderId="53" xfId="1" applyNumberFormat="1" applyFont="1" applyBorder="1"/>
    <xf numFmtId="170" fontId="14" fillId="0" borderId="0" xfId="1" applyNumberFormat="1" applyFont="1"/>
    <xf numFmtId="170" fontId="14" fillId="0" borderId="53" xfId="1" applyNumberFormat="1" applyFont="1" applyFill="1" applyBorder="1"/>
    <xf numFmtId="170" fontId="14" fillId="0" borderId="0" xfId="1" applyNumberFormat="1" applyFont="1" applyFill="1"/>
    <xf numFmtId="0" fontId="14" fillId="0" borderId="0" xfId="23" applyFont="1" applyFill="1" applyBorder="1" applyAlignment="1">
      <alignment horizontal="left" vertical="center" indent="1"/>
    </xf>
    <xf numFmtId="0" fontId="14" fillId="0" borderId="53" xfId="0" applyFont="1" applyFill="1" applyBorder="1"/>
    <xf numFmtId="0" fontId="28" fillId="3" borderId="0" xfId="0" applyFont="1" applyFill="1" applyBorder="1"/>
    <xf numFmtId="0" fontId="28" fillId="0" borderId="53" xfId="0" applyFont="1" applyFill="1" applyBorder="1"/>
    <xf numFmtId="0" fontId="0" fillId="0" borderId="53" xfId="0" applyBorder="1"/>
    <xf numFmtId="0" fontId="14" fillId="22" borderId="53" xfId="0" applyFont="1" applyFill="1" applyBorder="1"/>
    <xf numFmtId="0" fontId="14" fillId="22" borderId="0" xfId="0" applyFont="1" applyFill="1"/>
    <xf numFmtId="169" fontId="28" fillId="23" borderId="53" xfId="1" applyNumberFormat="1" applyFont="1" applyFill="1" applyBorder="1" applyAlignment="1">
      <alignment vertical="center"/>
    </xf>
    <xf numFmtId="169" fontId="28" fillId="23" borderId="51" xfId="1" applyNumberFormat="1" applyFont="1" applyFill="1" applyBorder="1" applyAlignment="1">
      <alignment vertical="center"/>
    </xf>
    <xf numFmtId="169" fontId="14" fillId="0" borderId="57" xfId="1" applyNumberFormat="1" applyFont="1" applyFill="1" applyBorder="1" applyAlignment="1">
      <alignment horizontal="left" vertical="center"/>
    </xf>
    <xf numFmtId="169" fontId="14" fillId="0" borderId="53" xfId="1" applyNumberFormat="1" applyFont="1" applyFill="1" applyBorder="1" applyAlignment="1">
      <alignment horizontal="left" vertical="center"/>
    </xf>
    <xf numFmtId="169" fontId="45" fillId="0" borderId="0" xfId="1" applyNumberFormat="1" applyFont="1"/>
    <xf numFmtId="0" fontId="41" fillId="0" borderId="56" xfId="23" applyFont="1" applyFill="1" applyBorder="1" applyAlignment="1">
      <alignment horizontal="left" vertical="center" indent="1"/>
    </xf>
    <xf numFmtId="169" fontId="28" fillId="0" borderId="53" xfId="1" applyNumberFormat="1" applyFont="1" applyFill="1" applyBorder="1" applyAlignment="1">
      <alignment vertical="center"/>
    </xf>
    <xf numFmtId="169" fontId="14" fillId="0" borderId="53" xfId="1" applyNumberFormat="1" applyFont="1" applyFill="1" applyBorder="1" applyAlignment="1">
      <alignment vertical="center"/>
    </xf>
    <xf numFmtId="178" fontId="7" fillId="0" borderId="53" xfId="0" applyNumberFormat="1" applyFont="1" applyBorder="1"/>
    <xf numFmtId="178" fontId="7" fillId="0" borderId="0" xfId="0" applyNumberFormat="1" applyFont="1"/>
    <xf numFmtId="170" fontId="28" fillId="23" borderId="53" xfId="1" applyNumberFormat="1" applyFont="1" applyFill="1" applyBorder="1" applyAlignment="1">
      <alignment vertical="center"/>
    </xf>
    <xf numFmtId="170" fontId="14" fillId="0" borderId="57" xfId="1" applyNumberFormat="1" applyFont="1" applyFill="1" applyBorder="1" applyAlignment="1">
      <alignment horizontal="left" vertical="center"/>
    </xf>
    <xf numFmtId="170" fontId="14" fillId="0" borderId="53" xfId="1" applyNumberFormat="1" applyFont="1" applyFill="1" applyBorder="1" applyAlignment="1">
      <alignment horizontal="left" vertical="center"/>
    </xf>
    <xf numFmtId="170" fontId="28" fillId="0" borderId="53" xfId="1" applyNumberFormat="1" applyFont="1" applyFill="1" applyBorder="1" applyAlignment="1">
      <alignment vertical="center"/>
    </xf>
    <xf numFmtId="170" fontId="14" fillId="0" borderId="53" xfId="1" applyNumberFormat="1" applyFont="1" applyFill="1" applyBorder="1" applyAlignment="1">
      <alignment vertical="center"/>
    </xf>
    <xf numFmtId="169" fontId="28" fillId="0" borderId="51" xfId="1" applyNumberFormat="1" applyFont="1" applyFill="1" applyBorder="1" applyAlignment="1">
      <alignment vertical="center"/>
    </xf>
    <xf numFmtId="170" fontId="7" fillId="0" borderId="53" xfId="0" applyNumberFormat="1" applyFont="1" applyBorder="1"/>
    <xf numFmtId="170" fontId="14" fillId="22" borderId="53" xfId="0" applyNumberFormat="1" applyFont="1" applyFill="1" applyBorder="1"/>
    <xf numFmtId="169" fontId="14" fillId="0" borderId="58" xfId="1" applyNumberFormat="1" applyFont="1" applyFill="1" applyBorder="1" applyAlignment="1">
      <alignment horizontal="left" vertical="center"/>
    </xf>
    <xf numFmtId="169" fontId="28" fillId="23" borderId="52" xfId="1" applyNumberFormat="1" applyFont="1" applyFill="1" applyBorder="1" applyAlignment="1">
      <alignment vertical="center"/>
    </xf>
    <xf numFmtId="169" fontId="14" fillId="0" borderId="52" xfId="1" applyNumberFormat="1" applyFont="1" applyFill="1" applyBorder="1" applyAlignment="1">
      <alignment vertical="center"/>
    </xf>
    <xf numFmtId="169" fontId="14" fillId="0" borderId="0" xfId="1" applyNumberFormat="1" applyFont="1" applyFill="1" applyAlignment="1">
      <alignment vertical="center"/>
    </xf>
    <xf numFmtId="169" fontId="28" fillId="0" borderId="52" xfId="1" applyNumberFormat="1" applyFont="1" applyFill="1" applyBorder="1" applyAlignment="1">
      <alignment vertical="center"/>
    </xf>
    <xf numFmtId="169" fontId="28" fillId="0" borderId="57" xfId="1" applyNumberFormat="1" applyFont="1" applyFill="1" applyBorder="1" applyAlignment="1">
      <alignment horizontal="left" vertical="center"/>
    </xf>
    <xf numFmtId="169" fontId="14" fillId="0" borderId="51" xfId="1" applyNumberFormat="1" applyFont="1" applyFill="1" applyBorder="1" applyAlignment="1">
      <alignment vertical="center"/>
    </xf>
    <xf numFmtId="169" fontId="7" fillId="0" borderId="53" xfId="1" applyNumberFormat="1" applyFont="1" applyBorder="1" applyAlignment="1">
      <alignment vertical="center"/>
    </xf>
    <xf numFmtId="169" fontId="7" fillId="0" borderId="52" xfId="1" applyNumberFormat="1" applyFont="1" applyBorder="1" applyAlignment="1">
      <alignment vertical="center"/>
    </xf>
    <xf numFmtId="169" fontId="7" fillId="0" borderId="0" xfId="1" applyNumberFormat="1" applyFont="1" applyAlignment="1">
      <alignment vertical="center"/>
    </xf>
    <xf numFmtId="0" fontId="14" fillId="0" borderId="48" xfId="23" applyFont="1" applyFill="1" applyBorder="1" applyAlignment="1">
      <alignment horizontal="left" vertical="center" indent="1"/>
    </xf>
    <xf numFmtId="172" fontId="7" fillId="0" borderId="53" xfId="0" applyNumberFormat="1" applyFont="1" applyBorder="1"/>
    <xf numFmtId="172" fontId="7" fillId="0" borderId="52" xfId="0" applyNumberFormat="1" applyFont="1" applyBorder="1"/>
    <xf numFmtId="178" fontId="7" fillId="0" borderId="0" xfId="0" applyNumberFormat="1" applyFont="1" applyFill="1"/>
    <xf numFmtId="0" fontId="14" fillId="22" borderId="52" xfId="0" applyFont="1" applyFill="1" applyBorder="1"/>
    <xf numFmtId="169" fontId="14" fillId="22" borderId="53" xfId="0" applyNumberFormat="1" applyFont="1" applyFill="1" applyBorder="1"/>
    <xf numFmtId="169" fontId="14" fillId="22" borderId="52" xfId="0" applyNumberFormat="1" applyFont="1" applyFill="1" applyBorder="1"/>
    <xf numFmtId="169" fontId="14" fillId="22" borderId="0" xfId="0" applyNumberFormat="1" applyFont="1" applyFill="1"/>
    <xf numFmtId="179" fontId="28" fillId="23" borderId="53" xfId="1" applyNumberFormat="1" applyFont="1" applyFill="1" applyBorder="1" applyAlignment="1">
      <alignment vertical="center"/>
    </xf>
    <xf numFmtId="179" fontId="28" fillId="23" borderId="52" xfId="1" applyNumberFormat="1" applyFont="1" applyFill="1" applyBorder="1" applyAlignment="1">
      <alignment vertical="center"/>
    </xf>
    <xf numFmtId="179" fontId="28" fillId="23" borderId="51" xfId="1" applyNumberFormat="1" applyFont="1" applyFill="1" applyBorder="1" applyAlignment="1">
      <alignment vertical="center"/>
    </xf>
    <xf numFmtId="179" fontId="14" fillId="0" borderId="57" xfId="1" applyNumberFormat="1" applyFont="1" applyFill="1" applyBorder="1" applyAlignment="1">
      <alignment horizontal="right" vertical="center"/>
    </xf>
    <xf numFmtId="179" fontId="14" fillId="0" borderId="53" xfId="1" applyNumberFormat="1" applyFont="1" applyFill="1" applyBorder="1" applyAlignment="1">
      <alignment horizontal="right" vertical="center"/>
    </xf>
    <xf numFmtId="179" fontId="14" fillId="0" borderId="52" xfId="1" applyNumberFormat="1" applyFont="1" applyFill="1" applyBorder="1" applyAlignment="1">
      <alignment horizontal="right" vertical="center"/>
    </xf>
    <xf numFmtId="179" fontId="14" fillId="0" borderId="59" xfId="1" applyNumberFormat="1" applyFont="1" applyFill="1" applyBorder="1" applyAlignment="1">
      <alignment horizontal="right" vertical="center"/>
    </xf>
    <xf numFmtId="169" fontId="7" fillId="0" borderId="53" xfId="1" applyNumberFormat="1" applyFont="1" applyBorder="1"/>
    <xf numFmtId="169" fontId="7" fillId="0" borderId="52" xfId="1" applyNumberFormat="1" applyFont="1" applyBorder="1"/>
    <xf numFmtId="169" fontId="14" fillId="22" borderId="53" xfId="1" applyNumberFormat="1" applyFont="1" applyFill="1" applyBorder="1"/>
    <xf numFmtId="169" fontId="14" fillId="22" borderId="52" xfId="1" applyNumberFormat="1" applyFont="1" applyFill="1" applyBorder="1"/>
    <xf numFmtId="169" fontId="14" fillId="22" borderId="0" xfId="1" applyNumberFormat="1" applyFont="1" applyFill="1"/>
    <xf numFmtId="169" fontId="14" fillId="0" borderId="56" xfId="1" applyNumberFormat="1" applyFont="1" applyFill="1" applyBorder="1" applyAlignment="1">
      <alignment horizontal="left" vertical="center" indent="1"/>
    </xf>
    <xf numFmtId="0" fontId="14" fillId="24" borderId="0" xfId="23" applyFont="1" applyFill="1" applyBorder="1" applyAlignment="1">
      <alignment horizontal="left" vertical="center" indent="1"/>
    </xf>
    <xf numFmtId="166" fontId="28" fillId="23" borderId="53" xfId="2" applyNumberFormat="1" applyFont="1" applyFill="1" applyBorder="1" applyAlignment="1">
      <alignment vertical="center"/>
    </xf>
    <xf numFmtId="166" fontId="28" fillId="23" borderId="52" xfId="2" applyNumberFormat="1" applyFont="1" applyFill="1" applyBorder="1" applyAlignment="1">
      <alignment vertical="center"/>
    </xf>
    <xf numFmtId="166" fontId="28" fillId="23" borderId="51" xfId="2" applyNumberFormat="1" applyFont="1" applyFill="1" applyBorder="1" applyAlignment="1">
      <alignment vertical="center"/>
    </xf>
    <xf numFmtId="180" fontId="14" fillId="0" borderId="53" xfId="2" applyNumberFormat="1" applyFont="1" applyFill="1" applyBorder="1" applyAlignment="1">
      <alignment vertical="center"/>
    </xf>
    <xf numFmtId="180" fontId="14" fillId="0" borderId="52" xfId="2" applyNumberFormat="1" applyFont="1" applyFill="1" applyBorder="1" applyAlignment="1">
      <alignment vertical="center"/>
    </xf>
    <xf numFmtId="180" fontId="14" fillId="0" borderId="51" xfId="2" applyNumberFormat="1" applyFont="1" applyFill="1" applyBorder="1" applyAlignment="1">
      <alignment vertical="center"/>
    </xf>
    <xf numFmtId="0" fontId="14" fillId="24" borderId="56" xfId="23" applyFont="1" applyFill="1" applyBorder="1" applyAlignment="1">
      <alignment horizontal="left" vertical="center" indent="1"/>
    </xf>
    <xf numFmtId="180" fontId="14" fillId="0" borderId="55" xfId="2" applyNumberFormat="1" applyFont="1" applyFill="1" applyBorder="1" applyAlignment="1">
      <alignment vertical="center"/>
    </xf>
    <xf numFmtId="180" fontId="14" fillId="0" borderId="54" xfId="2" applyNumberFormat="1" applyFont="1" applyFill="1" applyBorder="1" applyAlignment="1">
      <alignment vertical="center"/>
    </xf>
    <xf numFmtId="179" fontId="28" fillId="23" borderId="59" xfId="1" applyNumberFormat="1" applyFont="1" applyFill="1" applyBorder="1" applyAlignment="1">
      <alignment horizontal="right" vertical="center"/>
    </xf>
    <xf numFmtId="179" fontId="14" fillId="0" borderId="0" xfId="1" applyNumberFormat="1" applyFont="1" applyFill="1" applyBorder="1" applyAlignment="1">
      <alignment horizontal="right" vertical="center"/>
    </xf>
    <xf numFmtId="0" fontId="0" fillId="0" borderId="0" xfId="0" applyFill="1"/>
    <xf numFmtId="179" fontId="7" fillId="0" borderId="0" xfId="0" applyNumberFormat="1" applyFont="1"/>
    <xf numFmtId="166" fontId="14" fillId="0" borderId="51" xfId="2" applyNumberFormat="1" applyFont="1" applyFill="1" applyBorder="1" applyAlignment="1">
      <alignment vertical="center"/>
    </xf>
    <xf numFmtId="0" fontId="7" fillId="0" borderId="0" xfId="0" applyFont="1" applyBorder="1"/>
    <xf numFmtId="168" fontId="7" fillId="0" borderId="52" xfId="0" applyNumberFormat="1" applyFont="1" applyBorder="1"/>
    <xf numFmtId="0" fontId="7" fillId="0" borderId="52" xfId="0" applyFont="1" applyBorder="1"/>
    <xf numFmtId="168" fontId="7" fillId="0" borderId="53" xfId="0" applyNumberFormat="1" applyFont="1" applyFill="1" applyBorder="1"/>
    <xf numFmtId="169" fontId="7" fillId="0" borderId="0" xfId="1" applyNumberFormat="1" applyFont="1" applyFill="1"/>
    <xf numFmtId="0" fontId="7" fillId="0" borderId="53" xfId="0" applyFont="1" applyFill="1" applyBorder="1"/>
    <xf numFmtId="168" fontId="7" fillId="0" borderId="0" xfId="0" applyNumberFormat="1" applyFont="1" applyFill="1"/>
    <xf numFmtId="0" fontId="44" fillId="0" borderId="0" xfId="0" applyFont="1" applyBorder="1"/>
    <xf numFmtId="0" fontId="44" fillId="0" borderId="52" xfId="0" applyFont="1" applyBorder="1"/>
    <xf numFmtId="168" fontId="44" fillId="0" borderId="53" xfId="0" applyNumberFormat="1" applyFont="1" applyBorder="1"/>
    <xf numFmtId="168" fontId="44" fillId="0" borderId="0" xfId="0" applyNumberFormat="1" applyFont="1"/>
    <xf numFmtId="0" fontId="0" fillId="0" borderId="52" xfId="0" applyBorder="1"/>
    <xf numFmtId="172" fontId="7" fillId="0" borderId="52" xfId="1" applyNumberFormat="1" applyFont="1" applyBorder="1"/>
    <xf numFmtId="169" fontId="7" fillId="0" borderId="0" xfId="1" applyNumberFormat="1" applyFont="1"/>
    <xf numFmtId="0" fontId="28" fillId="24" borderId="0" xfId="36" applyFont="1" applyFill="1" applyBorder="1" applyAlignment="1">
      <alignment horizontal="left" vertical="center"/>
    </xf>
    <xf numFmtId="172" fontId="44" fillId="0" borderId="54" xfId="1" applyNumberFormat="1" applyFont="1" applyBorder="1"/>
    <xf numFmtId="169" fontId="44" fillId="0" borderId="55" xfId="1" applyNumberFormat="1" applyFont="1" applyBorder="1"/>
    <xf numFmtId="169" fontId="44" fillId="0" borderId="0" xfId="1" applyNumberFormat="1" applyFont="1"/>
    <xf numFmtId="0" fontId="28" fillId="22" borderId="49" xfId="23" applyNumberFormat="1" applyFont="1" applyFill="1" applyBorder="1" applyAlignment="1">
      <alignment horizontal="center" vertical="center"/>
    </xf>
    <xf numFmtId="17" fontId="28" fillId="22" borderId="51" xfId="23" applyNumberFormat="1" applyFont="1" applyFill="1" applyBorder="1" applyAlignment="1">
      <alignment horizontal="center" vertical="center"/>
    </xf>
    <xf numFmtId="0" fontId="28" fillId="22" borderId="52" xfId="23" applyNumberFormat="1" applyFont="1" applyFill="1" applyBorder="1" applyAlignment="1">
      <alignment horizontal="center" vertical="center"/>
    </xf>
    <xf numFmtId="0" fontId="28" fillId="22" borderId="51" xfId="23" applyFont="1" applyFill="1" applyBorder="1" applyAlignment="1">
      <alignment horizontal="center" vertical="center"/>
    </xf>
    <xf numFmtId="0" fontId="28" fillId="22" borderId="50" xfId="23" applyNumberFormat="1" applyFont="1" applyFill="1" applyBorder="1" applyAlignment="1">
      <alignment horizontal="center" vertical="center"/>
    </xf>
    <xf numFmtId="17" fontId="28" fillId="22" borderId="48" xfId="23" applyNumberFormat="1" applyFont="1" applyFill="1" applyBorder="1" applyAlignment="1">
      <alignment horizontal="center" vertical="center"/>
    </xf>
    <xf numFmtId="0" fontId="28" fillId="22" borderId="53" xfId="23" applyNumberFormat="1" applyFont="1" applyFill="1" applyBorder="1" applyAlignment="1">
      <alignment horizontal="center" vertical="center"/>
    </xf>
    <xf numFmtId="0" fontId="28" fillId="22" borderId="48" xfId="23" applyFont="1" applyFill="1" applyBorder="1" applyAlignment="1">
      <alignment horizontal="center" vertical="center"/>
    </xf>
    <xf numFmtId="169" fontId="28" fillId="22" borderId="48" xfId="1" applyNumberFormat="1" applyFont="1" applyFill="1" applyBorder="1" applyAlignment="1">
      <alignment horizontal="center" vertical="center"/>
    </xf>
    <xf numFmtId="0" fontId="28" fillId="22" borderId="51" xfId="23" applyNumberFormat="1" applyFont="1" applyFill="1" applyBorder="1" applyAlignment="1">
      <alignment horizontal="center" vertical="center"/>
    </xf>
    <xf numFmtId="0" fontId="28" fillId="22" borderId="54" xfId="23" applyNumberFormat="1" applyFont="1" applyFill="1" applyBorder="1" applyAlignment="1">
      <alignment horizontal="center" vertical="center"/>
    </xf>
    <xf numFmtId="171" fontId="28" fillId="22" borderId="51" xfId="23" applyNumberFormat="1" applyFont="1" applyFill="1" applyBorder="1" applyAlignment="1">
      <alignment horizontal="center" vertical="center"/>
    </xf>
    <xf numFmtId="167" fontId="21" fillId="0" borderId="0" xfId="0" applyNumberFormat="1" applyFont="1"/>
    <xf numFmtId="0" fontId="47" fillId="0" borderId="0" xfId="0" applyFont="1"/>
    <xf numFmtId="168" fontId="19" fillId="0" borderId="16" xfId="1" applyNumberFormat="1" applyFont="1" applyBorder="1"/>
    <xf numFmtId="4" fontId="1" fillId="3" borderId="18" xfId="16" applyNumberFormat="1" applyFont="1" applyFill="1" applyBorder="1" applyAlignment="1">
      <alignment horizontal="left" vertical="center"/>
    </xf>
    <xf numFmtId="0" fontId="0" fillId="0" borderId="0" xfId="0" applyAlignment="1">
      <alignment horizontal="left" indent="1"/>
    </xf>
    <xf numFmtId="0" fontId="0" fillId="3" borderId="18" xfId="19" applyFont="1" applyBorder="1" applyAlignment="1">
      <alignment horizontal="left" vertical="center" indent="1"/>
    </xf>
    <xf numFmtId="170" fontId="6" fillId="0" borderId="21" xfId="0" applyNumberFormat="1" applyFont="1" applyFill="1" applyBorder="1"/>
    <xf numFmtId="170" fontId="6" fillId="0" borderId="22" xfId="0" applyNumberFormat="1" applyFont="1" applyFill="1" applyBorder="1"/>
    <xf numFmtId="9" fontId="49" fillId="0" borderId="0" xfId="1" applyNumberFormat="1" applyFont="1" applyBorder="1"/>
    <xf numFmtId="9" fontId="22" fillId="0" borderId="0" xfId="1" applyNumberFormat="1" applyFont="1" applyBorder="1"/>
    <xf numFmtId="1" fontId="0" fillId="0" borderId="0" xfId="0" applyNumberFormat="1" applyFont="1" applyBorder="1"/>
    <xf numFmtId="0" fontId="1" fillId="3" borderId="0" xfId="16" applyFont="1" applyFill="1" applyBorder="1" applyAlignment="1">
      <alignment horizontal="left" vertical="center"/>
    </xf>
    <xf numFmtId="4" fontId="6" fillId="0" borderId="0" xfId="1" applyNumberFormat="1" applyFont="1" applyBorder="1"/>
    <xf numFmtId="170" fontId="22" fillId="0" borderId="0" xfId="0" applyNumberFormat="1" applyFont="1" applyBorder="1"/>
    <xf numFmtId="4" fontId="6" fillId="0" borderId="0" xfId="1" applyNumberFormat="1" applyFont="1" applyFill="1" applyBorder="1"/>
    <xf numFmtId="4" fontId="1" fillId="3" borderId="0" xfId="16" applyNumberFormat="1" applyFont="1" applyFill="1" applyBorder="1" applyAlignment="1">
      <alignment horizontal="left" vertical="center" indent="1"/>
    </xf>
    <xf numFmtId="0" fontId="1" fillId="3" borderId="0" xfId="16" applyFont="1" applyFill="1" applyBorder="1" applyAlignment="1">
      <alignment horizontal="left" vertical="center" indent="1"/>
    </xf>
    <xf numFmtId="0" fontId="4" fillId="3" borderId="16" xfId="16" applyFont="1" applyFill="1" applyBorder="1" applyAlignment="1">
      <alignment horizontal="left" vertical="center"/>
    </xf>
    <xf numFmtId="170" fontId="4" fillId="0" borderId="17" xfId="1" applyNumberFormat="1" applyFont="1" applyBorder="1"/>
    <xf numFmtId="0" fontId="20" fillId="0" borderId="18" xfId="0" applyFont="1" applyBorder="1"/>
    <xf numFmtId="9" fontId="25" fillId="0" borderId="19" xfId="1" applyNumberFormat="1" applyFont="1" applyBorder="1"/>
    <xf numFmtId="9" fontId="22" fillId="0" borderId="19" xfId="1" applyNumberFormat="1" applyFont="1" applyBorder="1"/>
    <xf numFmtId="170" fontId="0" fillId="0" borderId="19" xfId="0" applyNumberFormat="1" applyBorder="1"/>
    <xf numFmtId="4" fontId="6" fillId="0" borderId="19" xfId="1" applyNumberFormat="1" applyFont="1" applyFill="1" applyBorder="1"/>
    <xf numFmtId="0" fontId="4" fillId="3" borderId="21" xfId="16" applyFont="1" applyFill="1" applyBorder="1" applyAlignment="1">
      <alignment horizontal="left" vertical="center"/>
    </xf>
    <xf numFmtId="9" fontId="49" fillId="0" borderId="21" xfId="1" applyNumberFormat="1" applyFont="1" applyBorder="1"/>
    <xf numFmtId="9" fontId="22" fillId="0" borderId="21" xfId="0" applyNumberFormat="1" applyFont="1" applyBorder="1"/>
    <xf numFmtId="9" fontId="22" fillId="0" borderId="22" xfId="0" applyNumberFormat="1" applyFont="1" applyBorder="1"/>
    <xf numFmtId="170" fontId="19" fillId="0" borderId="21" xfId="1" applyNumberFormat="1" applyFont="1" applyBorder="1"/>
    <xf numFmtId="9" fontId="25" fillId="0" borderId="21" xfId="1" applyNumberFormat="1" applyFont="1" applyBorder="1"/>
    <xf numFmtId="9" fontId="22" fillId="0" borderId="21" xfId="1" applyNumberFormat="1" applyFont="1" applyBorder="1"/>
    <xf numFmtId="9" fontId="22" fillId="0" borderId="22" xfId="1" applyNumberFormat="1" applyFont="1" applyBorder="1"/>
    <xf numFmtId="0" fontId="50" fillId="3" borderId="15" xfId="16" applyFont="1" applyFill="1" applyBorder="1" applyAlignment="1">
      <alignment horizontal="left" vertical="center"/>
    </xf>
    <xf numFmtId="0" fontId="50" fillId="3" borderId="15" xfId="16" applyFont="1" applyFill="1" applyBorder="1" applyAlignment="1">
      <alignment horizontal="left" vertical="center" indent="1"/>
    </xf>
    <xf numFmtId="43" fontId="19" fillId="0" borderId="16" xfId="1" applyFont="1" applyBorder="1"/>
    <xf numFmtId="3" fontId="4" fillId="0" borderId="16" xfId="1" applyNumberFormat="1" applyFont="1" applyBorder="1"/>
    <xf numFmtId="3" fontId="4" fillId="0" borderId="17" xfId="1" applyNumberFormat="1" applyFont="1" applyBorder="1"/>
    <xf numFmtId="0" fontId="17" fillId="3" borderId="20" xfId="16" applyFont="1" applyFill="1" applyBorder="1" applyAlignment="1">
      <alignment horizontal="left" vertical="center" indent="1"/>
    </xf>
    <xf numFmtId="43" fontId="21" fillId="0" borderId="21" xfId="1" applyFont="1" applyBorder="1"/>
    <xf numFmtId="0" fontId="50" fillId="3" borderId="21" xfId="16" applyFont="1" applyFill="1" applyBorder="1" applyAlignment="1">
      <alignment horizontal="left" vertical="center" indent="1"/>
    </xf>
    <xf numFmtId="0" fontId="48" fillId="3" borderId="20" xfId="16" applyFont="1" applyFill="1" applyBorder="1" applyAlignment="1">
      <alignment horizontal="left" vertical="center"/>
    </xf>
    <xf numFmtId="170" fontId="9" fillId="0" borderId="16" xfId="1" applyNumberFormat="1" applyFont="1" applyBorder="1"/>
    <xf numFmtId="170" fontId="6" fillId="0" borderId="0" xfId="1" applyNumberFormat="1" applyFont="1" applyBorder="1"/>
    <xf numFmtId="168" fontId="9" fillId="0" borderId="16" xfId="1" applyNumberFormat="1" applyFont="1" applyBorder="1"/>
    <xf numFmtId="167" fontId="0" fillId="0" borderId="0" xfId="0" applyNumberFormat="1"/>
    <xf numFmtId="0" fontId="20" fillId="0" borderId="31" xfId="0" applyFont="1" applyBorder="1"/>
    <xf numFmtId="4" fontId="1" fillId="3" borderId="20" xfId="16" applyNumberFormat="1" applyFont="1" applyFill="1" applyBorder="1" applyAlignment="1">
      <alignment horizontal="left" vertical="center" indent="1"/>
    </xf>
    <xf numFmtId="0" fontId="4" fillId="0" borderId="16" xfId="0" applyFont="1" applyBorder="1"/>
    <xf numFmtId="167" fontId="0" fillId="0" borderId="0" xfId="0" applyNumberFormat="1" applyFont="1" applyBorder="1"/>
    <xf numFmtId="3" fontId="0" fillId="0" borderId="0" xfId="0" applyNumberFormat="1" applyFont="1" applyBorder="1"/>
    <xf numFmtId="170" fontId="1" fillId="0" borderId="0" xfId="1" applyNumberFormat="1" applyFont="1" applyBorder="1"/>
    <xf numFmtId="9" fontId="48" fillId="0" borderId="0" xfId="1" applyNumberFormat="1" applyFont="1" applyBorder="1"/>
    <xf numFmtId="9" fontId="48" fillId="0" borderId="21" xfId="1" applyNumberFormat="1" applyFont="1" applyBorder="1"/>
    <xf numFmtId="0" fontId="0" fillId="3" borderId="18" xfId="16" applyFont="1" applyFill="1" applyBorder="1" applyAlignment="1">
      <alignment horizontal="left" vertical="center"/>
    </xf>
    <xf numFmtId="170" fontId="31" fillId="17" borderId="0" xfId="1" applyNumberFormat="1" applyFont="1" applyFill="1" applyBorder="1"/>
    <xf numFmtId="0" fontId="52" fillId="3" borderId="20" xfId="16" applyFont="1" applyFill="1" applyBorder="1" applyAlignment="1">
      <alignment horizontal="left" vertical="center"/>
    </xf>
    <xf numFmtId="4" fontId="4" fillId="0" borderId="16" xfId="0" applyNumberFormat="1" applyFont="1" applyBorder="1"/>
    <xf numFmtId="9" fontId="49" fillId="0" borderId="21" xfId="0" applyNumberFormat="1" applyFont="1" applyBorder="1"/>
    <xf numFmtId="168" fontId="38" fillId="0" borderId="16" xfId="1" applyNumberFormat="1" applyFont="1" applyBorder="1"/>
    <xf numFmtId="166" fontId="22" fillId="0" borderId="0" xfId="0" applyNumberFormat="1" applyFont="1"/>
    <xf numFmtId="3" fontId="0" fillId="0" borderId="0" xfId="0" applyNumberFormat="1" applyFont="1"/>
    <xf numFmtId="1" fontId="38" fillId="10" borderId="0" xfId="0" applyNumberFormat="1" applyFont="1" applyFill="1"/>
    <xf numFmtId="0" fontId="28" fillId="3" borderId="15" xfId="19" applyFont="1" applyBorder="1" applyAlignment="1">
      <alignment horizontal="left" vertical="center"/>
    </xf>
    <xf numFmtId="0" fontId="46" fillId="3" borderId="16" xfId="19" applyFont="1" applyBorder="1" applyAlignment="1">
      <alignment horizontal="left" vertical="center" indent="1"/>
    </xf>
    <xf numFmtId="166" fontId="47" fillId="0" borderId="16" xfId="0" applyNumberFormat="1" applyFont="1" applyBorder="1"/>
    <xf numFmtId="167" fontId="19" fillId="0" borderId="16" xfId="0" applyNumberFormat="1" applyFont="1" applyBorder="1"/>
    <xf numFmtId="3" fontId="4" fillId="0" borderId="17" xfId="0" applyNumberFormat="1" applyFont="1" applyBorder="1"/>
    <xf numFmtId="0" fontId="14" fillId="0" borderId="61" xfId="23" applyFont="1" applyFill="1" applyBorder="1" applyAlignment="1">
      <alignment horizontal="left" vertical="center" indent="1"/>
    </xf>
    <xf numFmtId="166" fontId="25" fillId="0" borderId="0" xfId="0" applyNumberFormat="1" applyFont="1" applyBorder="1"/>
    <xf numFmtId="167" fontId="21" fillId="0" borderId="0" xfId="0" applyNumberFormat="1" applyFont="1" applyBorder="1"/>
    <xf numFmtId="167" fontId="0" fillId="0" borderId="19" xfId="0" applyNumberFormat="1" applyFont="1" applyBorder="1"/>
    <xf numFmtId="3" fontId="0" fillId="0" borderId="19" xfId="0" applyNumberFormat="1" applyFont="1" applyBorder="1"/>
    <xf numFmtId="0" fontId="14" fillId="24" borderId="61" xfId="23" applyFont="1" applyFill="1" applyBorder="1" applyAlignment="1">
      <alignment horizontal="left" vertical="center" indent="1"/>
    </xf>
    <xf numFmtId="0" fontId="14" fillId="24" borderId="18" xfId="23" applyFont="1" applyFill="1" applyBorder="1" applyAlignment="1">
      <alignment horizontal="left" vertical="center" indent="1"/>
    </xf>
    <xf numFmtId="166" fontId="25" fillId="0" borderId="19" xfId="0" applyNumberFormat="1" applyFont="1" applyBorder="1"/>
    <xf numFmtId="166" fontId="22" fillId="0" borderId="0" xfId="0" applyNumberFormat="1" applyFont="1" applyBorder="1"/>
    <xf numFmtId="166" fontId="22" fillId="0" borderId="19" xfId="0" applyNumberFormat="1" applyFont="1" applyBorder="1"/>
    <xf numFmtId="0" fontId="14" fillId="24" borderId="20" xfId="23" applyFont="1" applyFill="1" applyBorder="1" applyAlignment="1">
      <alignment horizontal="left" vertical="center" indent="1"/>
    </xf>
    <xf numFmtId="0" fontId="27" fillId="3" borderId="21" xfId="19" applyFont="1" applyBorder="1" applyAlignment="1">
      <alignment horizontal="left" vertical="center" indent="1"/>
    </xf>
    <xf numFmtId="166" fontId="25" fillId="0" borderId="21" xfId="0" applyNumberFormat="1" applyFont="1" applyBorder="1"/>
    <xf numFmtId="166" fontId="22" fillId="0" borderId="21" xfId="0" applyNumberFormat="1" applyFont="1" applyBorder="1"/>
    <xf numFmtId="166" fontId="22" fillId="0" borderId="22" xfId="0" applyNumberFormat="1" applyFont="1" applyBorder="1"/>
    <xf numFmtId="4" fontId="4" fillId="0" borderId="17" xfId="0" applyNumberFormat="1" applyFont="1" applyBorder="1"/>
    <xf numFmtId="0" fontId="4" fillId="3" borderId="15" xfId="16" applyFont="1" applyFill="1" applyBorder="1" applyAlignment="1">
      <alignment horizontal="left" vertical="center" indent="1"/>
    </xf>
    <xf numFmtId="0" fontId="4" fillId="3" borderId="16" xfId="16" applyFont="1" applyFill="1" applyBorder="1" applyAlignment="1">
      <alignment horizontal="left" vertical="center" indent="1"/>
    </xf>
    <xf numFmtId="3" fontId="19" fillId="0" borderId="16" xfId="0" applyNumberFormat="1" applyFont="1" applyBorder="1"/>
    <xf numFmtId="3" fontId="38" fillId="6" borderId="16" xfId="0" applyNumberFormat="1" applyFont="1" applyFill="1" applyBorder="1"/>
    <xf numFmtId="3" fontId="38" fillId="6" borderId="17" xfId="0" applyNumberFormat="1" applyFont="1" applyFill="1" applyBorder="1"/>
    <xf numFmtId="0" fontId="0" fillId="3" borderId="18" xfId="16" applyFont="1" applyFill="1" applyBorder="1" applyAlignment="1">
      <alignment horizontal="left" vertical="center" indent="1"/>
    </xf>
    <xf numFmtId="9" fontId="21" fillId="0" borderId="0" xfId="0" applyNumberFormat="1" applyFont="1" applyBorder="1"/>
    <xf numFmtId="9" fontId="49" fillId="0" borderId="0" xfId="0" applyNumberFormat="1" applyFont="1" applyBorder="1"/>
    <xf numFmtId="167" fontId="21" fillId="0" borderId="21" xfId="0" applyNumberFormat="1" applyFont="1" applyBorder="1"/>
    <xf numFmtId="170" fontId="25" fillId="0" borderId="0" xfId="0" applyNumberFormat="1" applyFont="1"/>
    <xf numFmtId="3" fontId="25" fillId="0" borderId="0" xfId="0" applyNumberFormat="1" applyFont="1"/>
    <xf numFmtId="9" fontId="31" fillId="17" borderId="0" xfId="1" applyNumberFormat="1" applyFont="1" applyFill="1"/>
    <xf numFmtId="9" fontId="22" fillId="0" borderId="0" xfId="0" applyNumberFormat="1" applyFont="1"/>
    <xf numFmtId="0" fontId="49" fillId="0" borderId="0" xfId="0" applyFont="1"/>
    <xf numFmtId="0" fontId="20" fillId="0" borderId="0" xfId="0" applyFont="1" applyBorder="1"/>
    <xf numFmtId="4" fontId="1" fillId="3" borderId="21" xfId="16" applyNumberFormat="1" applyFont="1" applyFill="1" applyBorder="1" applyAlignment="1">
      <alignment horizontal="left" vertical="center" indent="1"/>
    </xf>
    <xf numFmtId="0" fontId="50" fillId="3" borderId="16" xfId="16" applyFont="1" applyFill="1" applyBorder="1" applyAlignment="1">
      <alignment horizontal="left" vertical="center" indent="1"/>
    </xf>
    <xf numFmtId="43" fontId="9" fillId="0" borderId="16" xfId="1" applyFont="1" applyBorder="1"/>
    <xf numFmtId="3" fontId="38" fillId="0" borderId="16" xfId="0" applyNumberFormat="1" applyFont="1" applyBorder="1"/>
    <xf numFmtId="3" fontId="38" fillId="0" borderId="17" xfId="0" applyNumberFormat="1" applyFont="1" applyBorder="1"/>
    <xf numFmtId="3" fontId="9" fillId="0" borderId="16" xfId="1" applyNumberFormat="1" applyFont="1" applyBorder="1"/>
    <xf numFmtId="43" fontId="0" fillId="19" borderId="0" xfId="1" applyFont="1" applyFill="1"/>
    <xf numFmtId="166" fontId="25" fillId="0" borderId="0" xfId="1" applyNumberFormat="1" applyFont="1" applyBorder="1"/>
    <xf numFmtId="3" fontId="38" fillId="6" borderId="16" xfId="1" applyNumberFormat="1" applyFont="1" applyFill="1" applyBorder="1"/>
    <xf numFmtId="9" fontId="22" fillId="6" borderId="0" xfId="1" applyNumberFormat="1" applyFont="1" applyFill="1" applyBorder="1"/>
    <xf numFmtId="9" fontId="22" fillId="6" borderId="19" xfId="1" applyNumberFormat="1" applyFont="1" applyFill="1" applyBorder="1"/>
    <xf numFmtId="9" fontId="22" fillId="6" borderId="21" xfId="1" applyNumberFormat="1" applyFont="1" applyFill="1" applyBorder="1"/>
    <xf numFmtId="9" fontId="22" fillId="6" borderId="22" xfId="1" applyNumberFormat="1" applyFont="1" applyFill="1" applyBorder="1"/>
    <xf numFmtId="9" fontId="0" fillId="19" borderId="0" xfId="0" applyNumberFormat="1" applyFill="1" applyBorder="1"/>
    <xf numFmtId="0" fontId="17" fillId="3" borderId="0" xfId="16" applyFont="1" applyFill="1" applyBorder="1" applyAlignment="1">
      <alignment horizontal="left" vertical="center" indent="1"/>
    </xf>
    <xf numFmtId="43" fontId="21" fillId="0" borderId="0" xfId="1" applyFont="1" applyBorder="1"/>
    <xf numFmtId="9" fontId="22" fillId="0" borderId="0" xfId="0" applyNumberFormat="1" applyFont="1" applyBorder="1"/>
    <xf numFmtId="4" fontId="49" fillId="0" borderId="0" xfId="1" applyNumberFormat="1" applyFont="1" applyBorder="1"/>
    <xf numFmtId="3" fontId="21" fillId="0" borderId="0" xfId="1" applyNumberFormat="1" applyFont="1" applyBorder="1"/>
    <xf numFmtId="9" fontId="6" fillId="0" borderId="0" xfId="1" applyNumberFormat="1" applyFont="1" applyBorder="1"/>
    <xf numFmtId="3" fontId="31" fillId="20" borderId="0" xfId="0" applyNumberFormat="1" applyFont="1" applyFill="1" applyBorder="1"/>
    <xf numFmtId="3" fontId="22" fillId="6" borderId="0" xfId="0" applyNumberFormat="1" applyFont="1" applyFill="1" applyBorder="1"/>
    <xf numFmtId="3" fontId="22" fillId="17" borderId="0" xfId="0" applyNumberFormat="1" applyFont="1" applyFill="1" applyBorder="1"/>
    <xf numFmtId="3" fontId="22" fillId="26" borderId="0" xfId="0" applyNumberFormat="1" applyFont="1" applyFill="1" applyBorder="1"/>
    <xf numFmtId="4" fontId="22" fillId="6" borderId="0" xfId="0" applyNumberFormat="1" applyFont="1" applyFill="1" applyBorder="1"/>
    <xf numFmtId="170" fontId="0" fillId="0" borderId="0" xfId="0" applyNumberFormat="1" applyFont="1" applyBorder="1"/>
    <xf numFmtId="3" fontId="19" fillId="0" borderId="16" xfId="1" applyNumberFormat="1" applyFont="1" applyBorder="1"/>
    <xf numFmtId="167" fontId="19" fillId="14" borderId="0" xfId="0" applyNumberFormat="1" applyFont="1" applyFill="1"/>
    <xf numFmtId="1" fontId="4" fillId="14" borderId="0" xfId="0" applyNumberFormat="1" applyFont="1" applyFill="1"/>
    <xf numFmtId="3" fontId="22" fillId="6" borderId="19" xfId="0" applyNumberFormat="1" applyFont="1" applyFill="1" applyBorder="1"/>
    <xf numFmtId="166" fontId="22" fillId="6" borderId="0" xfId="0" applyNumberFormat="1" applyFont="1" applyFill="1" applyBorder="1"/>
    <xf numFmtId="0" fontId="25" fillId="0" borderId="0" xfId="0" applyFont="1" applyAlignment="1">
      <alignment horizontal="left" indent="1"/>
    </xf>
    <xf numFmtId="9" fontId="0" fillId="0" borderId="12" xfId="0" applyNumberFormat="1" applyBorder="1"/>
    <xf numFmtId="170" fontId="19" fillId="11" borderId="0" xfId="0" applyNumberFormat="1" applyFont="1" applyFill="1"/>
    <xf numFmtId="170" fontId="53" fillId="11" borderId="0" xfId="0" applyNumberFormat="1" applyFont="1" applyFill="1"/>
    <xf numFmtId="4" fontId="0" fillId="0" borderId="0" xfId="2" applyNumberFormat="1" applyFont="1"/>
    <xf numFmtId="0" fontId="1" fillId="3" borderId="18" xfId="16" applyFont="1" applyFill="1" applyBorder="1" applyAlignment="1">
      <alignment horizontal="left" vertical="center" indent="2"/>
    </xf>
    <xf numFmtId="0" fontId="20" fillId="0" borderId="18" xfId="0" applyFont="1" applyBorder="1" applyAlignment="1">
      <alignment horizontal="left" indent="2"/>
    </xf>
    <xf numFmtId="4" fontId="1" fillId="3" borderId="18" xfId="16" applyNumberFormat="1" applyFont="1" applyFill="1" applyBorder="1" applyAlignment="1">
      <alignment horizontal="left" vertical="center" indent="2"/>
    </xf>
    <xf numFmtId="0" fontId="20" fillId="0" borderId="20" xfId="0" applyFont="1" applyBorder="1" applyAlignment="1">
      <alignment horizontal="left" indent="2"/>
    </xf>
    <xf numFmtId="3" fontId="26" fillId="0" borderId="0" xfId="1" applyNumberFormat="1" applyFont="1" applyBorder="1"/>
    <xf numFmtId="3" fontId="22" fillId="6" borderId="0" xfId="1" applyNumberFormat="1" applyFont="1" applyFill="1" applyBorder="1"/>
    <xf numFmtId="3" fontId="22" fillId="6" borderId="19" xfId="1" applyNumberFormat="1" applyFont="1" applyFill="1" applyBorder="1"/>
    <xf numFmtId="170" fontId="2" fillId="13" borderId="0" xfId="0" applyNumberFormat="1" applyFont="1" applyFill="1"/>
    <xf numFmtId="0" fontId="49" fillId="0" borderId="18" xfId="0" applyFont="1" applyBorder="1"/>
    <xf numFmtId="0" fontId="49" fillId="0" borderId="0" xfId="0" applyFont="1" applyBorder="1"/>
    <xf numFmtId="0" fontId="49" fillId="0" borderId="19" xfId="0" applyFont="1" applyBorder="1"/>
    <xf numFmtId="4" fontId="21" fillId="0" borderId="0" xfId="0" applyNumberFormat="1" applyFont="1"/>
    <xf numFmtId="166" fontId="3" fillId="0" borderId="0" xfId="0" applyNumberFormat="1" applyFont="1"/>
    <xf numFmtId="166" fontId="0" fillId="21" borderId="0" xfId="0" applyNumberFormat="1" applyFill="1"/>
    <xf numFmtId="9" fontId="3" fillId="0" borderId="21" xfId="1" applyNumberFormat="1" applyFont="1" applyBorder="1"/>
    <xf numFmtId="0" fontId="0" fillId="0" borderId="32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34" xfId="0" applyBorder="1" applyAlignment="1">
      <alignment horizontal="right"/>
    </xf>
    <xf numFmtId="17" fontId="28" fillId="22" borderId="48" xfId="18" applyNumberFormat="1" applyFont="1" applyFill="1" applyBorder="1" applyAlignment="1" applyProtection="1">
      <alignment horizontal="left" vertical="center"/>
    </xf>
    <xf numFmtId="171" fontId="28" fillId="22" borderId="49" xfId="23" applyNumberFormat="1" applyFont="1" applyFill="1" applyBorder="1" applyAlignment="1">
      <alignment horizontal="center" vertical="center"/>
    </xf>
    <xf numFmtId="171" fontId="28" fillId="22" borderId="52" xfId="23" applyNumberFormat="1" applyFont="1" applyFill="1" applyBorder="1" applyAlignment="1">
      <alignment horizontal="center" vertical="center"/>
    </xf>
    <xf numFmtId="0" fontId="28" fillId="22" borderId="50" xfId="23" applyNumberFormat="1" applyFont="1" applyFill="1" applyBorder="1" applyAlignment="1">
      <alignment horizontal="center" vertical="center"/>
    </xf>
    <xf numFmtId="0" fontId="28" fillId="22" borderId="53" xfId="23" applyNumberFormat="1" applyFont="1" applyFill="1" applyBorder="1" applyAlignment="1">
      <alignment horizontal="center" vertical="center"/>
    </xf>
    <xf numFmtId="17" fontId="28" fillId="22" borderId="48" xfId="23" applyNumberFormat="1" applyFont="1" applyFill="1" applyBorder="1" applyAlignment="1">
      <alignment horizontal="center" vertical="center"/>
    </xf>
    <xf numFmtId="0" fontId="28" fillId="22" borderId="48" xfId="23" applyFont="1" applyFill="1" applyBorder="1" applyAlignment="1">
      <alignment horizontal="center" vertical="center"/>
    </xf>
    <xf numFmtId="169" fontId="28" fillId="22" borderId="48" xfId="1" applyNumberFormat="1" applyFont="1" applyFill="1" applyBorder="1" applyAlignment="1">
      <alignment horizontal="center" vertical="center"/>
    </xf>
    <xf numFmtId="171" fontId="28" fillId="22" borderId="50" xfId="23" applyNumberFormat="1" applyFont="1" applyFill="1" applyBorder="1" applyAlignment="1">
      <alignment horizontal="center" vertical="center"/>
    </xf>
    <xf numFmtId="171" fontId="28" fillId="22" borderId="53" xfId="23" applyNumberFormat="1" applyFont="1" applyFill="1" applyBorder="1" applyAlignment="1">
      <alignment horizontal="center" vertical="center"/>
    </xf>
    <xf numFmtId="171" fontId="28" fillId="22" borderId="48" xfId="23" applyNumberFormat="1" applyFont="1" applyFill="1" applyBorder="1" applyAlignment="1">
      <alignment horizontal="left" vertical="center"/>
    </xf>
    <xf numFmtId="0" fontId="0" fillId="0" borderId="60" xfId="0" applyFill="1" applyBorder="1" applyAlignment="1">
      <alignment horizontal="center"/>
    </xf>
    <xf numFmtId="171" fontId="28" fillId="22" borderId="0" xfId="23" applyNumberFormat="1" applyFont="1" applyFill="1" applyBorder="1" applyAlignment="1">
      <alignment horizontal="left" vertical="center"/>
    </xf>
    <xf numFmtId="0" fontId="28" fillId="22" borderId="49" xfId="23" applyNumberFormat="1" applyFont="1" applyFill="1" applyBorder="1" applyAlignment="1">
      <alignment horizontal="center" vertical="center"/>
    </xf>
    <xf numFmtId="0" fontId="28" fillId="22" borderId="52" xfId="23" applyNumberFormat="1" applyFont="1" applyFill="1" applyBorder="1" applyAlignment="1">
      <alignment horizontal="center" vertical="center"/>
    </xf>
    <xf numFmtId="3" fontId="0" fillId="0" borderId="0" xfId="0" applyNumberFormat="1" applyFill="1" applyBorder="1"/>
  </cellXfs>
  <cellStyles count="38">
    <cellStyle name="Borda inferior" xfId="16"/>
    <cellStyle name="Borda inferior 2" xfId="26"/>
    <cellStyle name="Bordas divisórias" xfId="19"/>
    <cellStyle name="Bordas divisórias 2" xfId="20"/>
    <cellStyle name="Cabeçalho 1" xfId="9"/>
    <cellStyle name="Cabeçalho 1 2" xfId="21"/>
    <cellStyle name="Diferença 1" xfId="5"/>
    <cellStyle name="Diferença 2" xfId="6"/>
    <cellStyle name="Diferença 2 2" xfId="25"/>
    <cellStyle name="Diferença 3" xfId="7"/>
    <cellStyle name="Entradas" xfId="22"/>
    <cellStyle name="Incorreto 2" xfId="15"/>
    <cellStyle name="Inputs" xfId="8"/>
    <cellStyle name="Normal" xfId="0" builtinId="0"/>
    <cellStyle name="Normal 10" xfId="31"/>
    <cellStyle name="Normal 11" xfId="32"/>
    <cellStyle name="Normal 12" xfId="33"/>
    <cellStyle name="Normal 13" xfId="34"/>
    <cellStyle name="Normal 14" xfId="35"/>
    <cellStyle name="Normal 2" xfId="18"/>
    <cellStyle name="Normal 3" xfId="23"/>
    <cellStyle name="Normal 4" xfId="3"/>
    <cellStyle name="Normal 5" xfId="11"/>
    <cellStyle name="Normal 6" xfId="27"/>
    <cellStyle name="Normal 7" xfId="28"/>
    <cellStyle name="Normal 8" xfId="29"/>
    <cellStyle name="Normal 9" xfId="30"/>
    <cellStyle name="Normal_Cópia de RELEASE Info" xfId="36"/>
    <cellStyle name="Número [kton]" xfId="4"/>
    <cellStyle name="Número [kton] 2" xfId="24"/>
    <cellStyle name="Número Contábil" xfId="12"/>
    <cellStyle name="Output" xfId="13"/>
    <cellStyle name="Porcentagem" xfId="2" builtinId="5"/>
    <cellStyle name="Premissa" xfId="14"/>
    <cellStyle name="Separador de milhares 2 2" xfId="37"/>
    <cellStyle name="Sub" xfId="17"/>
    <cellStyle name="Total Máscara" xfId="10"/>
    <cellStyle name="Vírgula" xfId="1" builtinId="3"/>
  </cellStyles>
  <dxfs count="3">
    <dxf>
      <fill>
        <patternFill patternType="none">
          <bgColor auto="1"/>
        </patternFill>
      </fill>
      <border diagonalUp="1" diagonalDown="0">
        <left/>
        <right/>
        <top style="hair">
          <color theme="8"/>
        </top>
        <bottom style="hair">
          <color theme="8"/>
        </bottom>
        <diagonal style="hair">
          <color theme="8"/>
        </diagonal>
        <vertical/>
        <horizontal style="hair">
          <color theme="8"/>
        </horizontal>
      </border>
    </dxf>
    <dxf>
      <font>
        <b/>
        <i val="0"/>
        <color theme="4"/>
      </font>
      <fill>
        <patternFill patternType="none">
          <bgColor auto="1"/>
        </patternFill>
      </fill>
      <border diagonalUp="0" diagonalDown="0">
        <left/>
        <right/>
        <top/>
        <bottom style="medium">
          <color theme="4"/>
        </bottom>
        <vertical/>
        <horizontal/>
      </border>
    </dxf>
    <dxf>
      <font>
        <b/>
        <i val="0"/>
        <color theme="4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medium">
          <color theme="4"/>
        </bottom>
        <vertical/>
        <horizontal/>
      </border>
    </dxf>
  </dxfs>
  <tableStyles count="2" defaultTableStyle="TableStyleMedium2" defaultPivotStyle="PivotStyleLight16">
    <tableStyle name="Estilo de Tabela 1" pivot="0" count="1">
      <tableStyleElement type="headerRow" dxfId="2"/>
    </tableStyle>
    <tableStyle name="Padrão Tabela de Dados" pivot="0" count="2">
      <tableStyleElement type="headerRow" dxfId="1"/>
      <tableStyleElement type="secondRowStripe" dxfId="0"/>
    </tableStyle>
  </tableStyles>
  <colors>
    <mruColors>
      <color rgb="FFCC3399"/>
      <color rgb="FF008000"/>
      <color rgb="FF660033"/>
      <color rgb="FF0000FF"/>
      <color rgb="FFFFFF99"/>
      <color rgb="FFFF00FF"/>
      <color rgb="FFCCFF99"/>
      <color rgb="FF0066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100"/>
              <a:t>EBITDA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EBITDA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Premissas!$D$155:$T$155</c:f>
              <c:numCache>
                <c:formatCode>_-* #,##0_-;\-* #,##0_-;_-* "-"??_-;_-@_-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344.90000000000009</c:v>
                </c:pt>
                <c:pt idx="4">
                  <c:v>402</c:v>
                </c:pt>
                <c:pt idx="5">
                  <c:v>63.500000000000284</c:v>
                </c:pt>
                <c:pt idx="6">
                  <c:v>103.70000000000005</c:v>
                </c:pt>
                <c:pt idx="7">
                  <c:v>154.39499999999987</c:v>
                </c:pt>
                <c:pt idx="8">
                  <c:v>187.97100000000023</c:v>
                </c:pt>
                <c:pt idx="9">
                  <c:v>180.89500000000027</c:v>
                </c:pt>
                <c:pt idx="10">
                  <c:v>169.52400000000063</c:v>
                </c:pt>
                <c:pt idx="11">
                  <c:v>266.67788263281233</c:v>
                </c:pt>
                <c:pt idx="12">
                  <c:v>274.57133033707396</c:v>
                </c:pt>
                <c:pt idx="13">
                  <c:v>295.41567061250242</c:v>
                </c:pt>
                <c:pt idx="14">
                  <c:v>320.60174188239375</c:v>
                </c:pt>
                <c:pt idx="15">
                  <c:v>340.52742721303707</c:v>
                </c:pt>
                <c:pt idx="16">
                  <c:v>364.77844901110268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11072864"/>
        <c:axId val="611072472"/>
      </c:barChart>
      <c:lineChart>
        <c:grouping val="standard"/>
        <c:varyColors val="0"/>
        <c:ser>
          <c:idx val="0"/>
          <c:order val="0"/>
          <c:tx>
            <c:v>Mg Bruta%</c:v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Modelo!$D$1:$X$1</c:f>
              <c:numCache>
                <c:formatCode>General</c:formatCode>
                <c:ptCount val="2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</c:numCache>
            </c:numRef>
          </c:cat>
          <c:val>
            <c:numRef>
              <c:f>Modelo!$D$141:$T$141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0.2449921863901123</c:v>
                </c:pt>
                <c:pt idx="4">
                  <c:v>0.23887337334363301</c:v>
                </c:pt>
                <c:pt idx="5">
                  <c:v>0.23578071463534028</c:v>
                </c:pt>
                <c:pt idx="6">
                  <c:v>0.26276290630975147</c:v>
                </c:pt>
                <c:pt idx="7">
                  <c:v>0.26906459588151355</c:v>
                </c:pt>
                <c:pt idx="8">
                  <c:v>0.26780546288167861</c:v>
                </c:pt>
                <c:pt idx="9">
                  <c:v>0.26269901009462443</c:v>
                </c:pt>
                <c:pt idx="10">
                  <c:v>0.25590969614498016</c:v>
                </c:pt>
                <c:pt idx="11">
                  <c:v>0.2861604161045071</c:v>
                </c:pt>
                <c:pt idx="12">
                  <c:v>0.28383705355010291</c:v>
                </c:pt>
                <c:pt idx="13">
                  <c:v>0.28681970445832866</c:v>
                </c:pt>
                <c:pt idx="14">
                  <c:v>0.28975970573350746</c:v>
                </c:pt>
                <c:pt idx="15">
                  <c:v>0.29072902809253431</c:v>
                </c:pt>
                <c:pt idx="16">
                  <c:v>0.29275400036189569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072080"/>
        <c:axId val="611073256"/>
      </c:lineChart>
      <c:catAx>
        <c:axId val="61107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1073256"/>
        <c:crosses val="autoZero"/>
        <c:auto val="1"/>
        <c:lblAlgn val="ctr"/>
        <c:lblOffset val="100"/>
        <c:noMultiLvlLbl val="0"/>
      </c:catAx>
      <c:valAx>
        <c:axId val="611073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1072080"/>
        <c:crosses val="autoZero"/>
        <c:crossBetween val="between"/>
      </c:valAx>
      <c:valAx>
        <c:axId val="6110724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R$ MM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1072864"/>
        <c:crosses val="max"/>
        <c:crossBetween val="between"/>
      </c:valAx>
      <c:catAx>
        <c:axId val="611072864"/>
        <c:scaling>
          <c:orientation val="minMax"/>
        </c:scaling>
        <c:delete val="1"/>
        <c:axPos val="b"/>
        <c:majorTickMark val="out"/>
        <c:minorTickMark val="none"/>
        <c:tickLblPos val="nextTo"/>
        <c:crossAx val="611072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50"/>
              <a:t>Resultado Bruto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Lucro Bruto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Premissas!$D$112:$T$112</c:f>
              <c:numCache>
                <c:formatCode>_-* #,##0_-;\-* #,##0_-;_-* "-"??_-;_-@_-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344.90000000000009</c:v>
                </c:pt>
                <c:pt idx="4">
                  <c:v>402</c:v>
                </c:pt>
                <c:pt idx="5">
                  <c:v>481.70000000000027</c:v>
                </c:pt>
                <c:pt idx="6">
                  <c:v>549.70000000000005</c:v>
                </c:pt>
                <c:pt idx="7">
                  <c:v>609.99499999999989</c:v>
                </c:pt>
                <c:pt idx="8">
                  <c:v>618.97100000000023</c:v>
                </c:pt>
                <c:pt idx="9">
                  <c:v>577.59500000000025</c:v>
                </c:pt>
                <c:pt idx="10">
                  <c:v>577.15800000000058</c:v>
                </c:pt>
                <c:pt idx="11">
                  <c:v>687.22865198749423</c:v>
                </c:pt>
                <c:pt idx="12">
                  <c:v>713.99800491161022</c:v>
                </c:pt>
                <c:pt idx="13">
                  <c:v>761.3704810402819</c:v>
                </c:pt>
                <c:pt idx="14">
                  <c:v>812.1313142584338</c:v>
                </c:pt>
                <c:pt idx="15">
                  <c:v>860.27631827581627</c:v>
                </c:pt>
                <c:pt idx="16">
                  <c:v>915.37873971455519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04542328"/>
        <c:axId val="704541936"/>
      </c:barChart>
      <c:lineChart>
        <c:grouping val="standard"/>
        <c:varyColors val="0"/>
        <c:ser>
          <c:idx val="0"/>
          <c:order val="0"/>
          <c:tx>
            <c:v>Mg Bruta%</c:v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Modelo!$D$1:$X$1</c:f>
              <c:numCache>
                <c:formatCode>General</c:formatCode>
                <c:ptCount val="2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</c:numCache>
            </c:numRef>
          </c:cat>
          <c:val>
            <c:numRef>
              <c:f>Modelo!$D$141:$T$141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0.2449921863901123</c:v>
                </c:pt>
                <c:pt idx="4">
                  <c:v>0.23887337334363301</c:v>
                </c:pt>
                <c:pt idx="5">
                  <c:v>0.23578071463534028</c:v>
                </c:pt>
                <c:pt idx="6">
                  <c:v>0.26276290630975147</c:v>
                </c:pt>
                <c:pt idx="7">
                  <c:v>0.26906459588151355</c:v>
                </c:pt>
                <c:pt idx="8">
                  <c:v>0.26780546288167861</c:v>
                </c:pt>
                <c:pt idx="9">
                  <c:v>0.26269901009462443</c:v>
                </c:pt>
                <c:pt idx="10">
                  <c:v>0.25590969614498016</c:v>
                </c:pt>
                <c:pt idx="11">
                  <c:v>0.2861604161045071</c:v>
                </c:pt>
                <c:pt idx="12">
                  <c:v>0.28383705355010291</c:v>
                </c:pt>
                <c:pt idx="13">
                  <c:v>0.28681970445832866</c:v>
                </c:pt>
                <c:pt idx="14">
                  <c:v>0.28975970573350746</c:v>
                </c:pt>
                <c:pt idx="15">
                  <c:v>0.29072902809253431</c:v>
                </c:pt>
                <c:pt idx="16">
                  <c:v>0.29275400036189569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542720"/>
        <c:axId val="704541544"/>
      </c:lineChart>
      <c:catAx>
        <c:axId val="70454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04541544"/>
        <c:crosses val="autoZero"/>
        <c:auto val="1"/>
        <c:lblAlgn val="ctr"/>
        <c:lblOffset val="100"/>
        <c:noMultiLvlLbl val="0"/>
      </c:catAx>
      <c:valAx>
        <c:axId val="704541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04542720"/>
        <c:crosses val="autoZero"/>
        <c:crossBetween val="between"/>
      </c:valAx>
      <c:valAx>
        <c:axId val="7045419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R$ MM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04542328"/>
        <c:crosses val="max"/>
        <c:crossBetween val="between"/>
      </c:valAx>
      <c:catAx>
        <c:axId val="704542328"/>
        <c:scaling>
          <c:orientation val="minMax"/>
        </c:scaling>
        <c:delete val="1"/>
        <c:axPos val="b"/>
        <c:majorTickMark val="out"/>
        <c:minorTickMark val="none"/>
        <c:tickLblPos val="nextTo"/>
        <c:crossAx val="704541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Receita Líquida (R$ MM)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v>M. Interno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Modelo!$F$1:$X$1</c:f>
              <c:numCache>
                <c:formatCode>General</c:formatCode>
                <c:ptCount val="1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</c:numCache>
            </c:numRef>
          </c:cat>
          <c:val>
            <c:numRef>
              <c:f>Premissas!$F$20:$T$20</c:f>
              <c:numCache>
                <c:formatCode>_-* #,##0_-;\-* #,##0_-;_-* "-"??_-;_-@_-</c:formatCode>
                <c:ptCount val="15"/>
                <c:pt idx="0">
                  <c:v>0</c:v>
                </c:pt>
                <c:pt idx="1">
                  <c:v>941.9</c:v>
                </c:pt>
                <c:pt idx="2">
                  <c:v>1019.6</c:v>
                </c:pt>
                <c:pt idx="3">
                  <c:v>1329.9</c:v>
                </c:pt>
                <c:pt idx="4">
                  <c:v>1463.1</c:v>
                </c:pt>
                <c:pt idx="5">
                  <c:v>1418.3000000000002</c:v>
                </c:pt>
                <c:pt idx="6">
                  <c:v>1408.3999999999999</c:v>
                </c:pt>
                <c:pt idx="7">
                  <c:v>1488.3</c:v>
                </c:pt>
                <c:pt idx="8">
                  <c:v>1466.6999999999998</c:v>
                </c:pt>
                <c:pt idx="9">
                  <c:v>1590.9111350000003</c:v>
                </c:pt>
                <c:pt idx="10">
                  <c:v>1690.0823849965</c:v>
                </c:pt>
                <c:pt idx="11">
                  <c:v>1810.2327733094826</c:v>
                </c:pt>
                <c:pt idx="12">
                  <c:v>1939.1567106899943</c:v>
                </c:pt>
                <c:pt idx="13">
                  <c:v>2077.5060606207326</c:v>
                </c:pt>
                <c:pt idx="14">
                  <c:v>2225.981646496813</c:v>
                </c:pt>
              </c:numCache>
            </c:numRef>
          </c:val>
        </c:ser>
        <c:ser>
          <c:idx val="0"/>
          <c:order val="0"/>
          <c:tx>
            <c:v>M. Externo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Modelo!$F$1:$X$1</c:f>
              <c:numCache>
                <c:formatCode>General</c:formatCode>
                <c:ptCount val="1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</c:numCache>
            </c:numRef>
          </c:cat>
          <c:val>
            <c:numRef>
              <c:f>Premissas!$F$35:$T$35</c:f>
              <c:numCache>
                <c:formatCode>_-* #,##0_-;\-* #,##0_-;_-* "-"??_-;_-@_-</c:formatCode>
                <c:ptCount val="15"/>
                <c:pt idx="0">
                  <c:v>0</c:v>
                </c:pt>
                <c:pt idx="1">
                  <c:v>465.9</c:v>
                </c:pt>
                <c:pt idx="2">
                  <c:v>663.3</c:v>
                </c:pt>
                <c:pt idx="3">
                  <c:v>713.1</c:v>
                </c:pt>
                <c:pt idx="4">
                  <c:v>698.2</c:v>
                </c:pt>
                <c:pt idx="5">
                  <c:v>923.8</c:v>
                </c:pt>
                <c:pt idx="6">
                  <c:v>965.2</c:v>
                </c:pt>
                <c:pt idx="7">
                  <c:v>784.6</c:v>
                </c:pt>
                <c:pt idx="8">
                  <c:v>864.5</c:v>
                </c:pt>
                <c:pt idx="9">
                  <c:v>886.11249999999995</c:v>
                </c:pt>
                <c:pt idx="10">
                  <c:v>908.26531249999982</c:v>
                </c:pt>
                <c:pt idx="11">
                  <c:v>930.97194531249977</c:v>
                </c:pt>
                <c:pt idx="12">
                  <c:v>954.24624394531213</c:v>
                </c:pt>
                <c:pt idx="13">
                  <c:v>978.10240004394484</c:v>
                </c:pt>
                <c:pt idx="14">
                  <c:v>1002.5549600450433</c:v>
                </c:pt>
              </c:numCache>
            </c:numRef>
          </c:val>
        </c:ser>
        <c:ser>
          <c:idx val="2"/>
          <c:order val="2"/>
          <c:tx>
            <c:v>Total</c:v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0"/>
                  <c:y val="4.0609129841919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6.316975753187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0.117315263987766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2.7710423024699588E-3"/>
                  <c:y val="0.126339515063748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"/>
                  <c:y val="0.139875891677721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8.3131269074097746E-3"/>
                  <c:y val="0.166948644905668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0320742137832484E-16"/>
                  <c:y val="0.162436519367677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Premissas!$F$17:$T$17</c:f>
              <c:numCache>
                <c:formatCode>#,##0</c:formatCode>
                <c:ptCount val="15"/>
                <c:pt idx="0">
                  <c:v>0</c:v>
                </c:pt>
                <c:pt idx="1">
                  <c:v>1407.8</c:v>
                </c:pt>
                <c:pt idx="2">
                  <c:v>1682.9</c:v>
                </c:pt>
                <c:pt idx="3">
                  <c:v>2043.0000000000002</c:v>
                </c:pt>
                <c:pt idx="4">
                  <c:v>2092</c:v>
                </c:pt>
                <c:pt idx="5">
                  <c:v>2267.0949999999998</c:v>
                </c:pt>
                <c:pt idx="6">
                  <c:v>2311.2710000000002</c:v>
                </c:pt>
                <c:pt idx="7">
                  <c:v>2198.6950000000002</c:v>
                </c:pt>
                <c:pt idx="8">
                  <c:v>2255.3190000000004</c:v>
                </c:pt>
                <c:pt idx="9" formatCode="_-* #,##0_-;\-* #,##0_-;_-* &quot;-&quot;??_-;_-@_-">
                  <c:v>2401.550365849745</c:v>
                </c:pt>
                <c:pt idx="10" formatCode="_-* #,##0_-;\-* #,##0_-;_-* &quot;-&quot;??_-;_-@_-">
                  <c:v>2515.5207749701899</c:v>
                </c:pt>
                <c:pt idx="11" formatCode="_-* #,##0_-;\-* #,##0_-;_-* &quot;-&quot;??_-;_-@_-">
                  <c:v>2654.5264122566573</c:v>
                </c:pt>
                <c:pt idx="12" formatCode="_-* #,##0_-;\-* #,##0_-;_-* &quot;-&quot;??_-;_-@_-">
                  <c:v>2802.7751898856236</c:v>
                </c:pt>
                <c:pt idx="13" formatCode="_-* #,##0_-;\-* #,##0_-;_-* &quot;-&quot;??_-;_-@_-">
                  <c:v>2959.0313836910855</c:v>
                </c:pt>
                <c:pt idx="14" formatCode="_-* #,##0_-;\-* #,##0_-;_-* &quot;-&quot;??_-;_-@_-">
                  <c:v>3126.7847359318243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522602944"/>
        <c:axId val="704543504"/>
      </c:barChart>
      <c:valAx>
        <c:axId val="704543504"/>
        <c:scaling>
          <c:orientation val="minMax"/>
          <c:max val="12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2602944"/>
        <c:crosses val="max"/>
        <c:crossBetween val="between"/>
      </c:valAx>
      <c:catAx>
        <c:axId val="52260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04543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47111308737048"/>
          <c:y val="0.90826680280821925"/>
          <c:w val="0.52830787949269853"/>
          <c:h val="9.1733197191780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Premissas!$I$186:$BD$186</c:f>
              <c:numCache>
                <c:formatCode>0.0%</c:formatCode>
                <c:ptCount val="48"/>
                <c:pt idx="0">
                  <c:v>3.1271911372878949E-2</c:v>
                </c:pt>
                <c:pt idx="1">
                  <c:v>1.4895445431108597E-2</c:v>
                </c:pt>
                <c:pt idx="2">
                  <c:v>5.1634552933535395E-2</c:v>
                </c:pt>
                <c:pt idx="3">
                  <c:v>9.2208868628263635E-2</c:v>
                </c:pt>
                <c:pt idx="4">
                  <c:v>9.393321437675245E-2</c:v>
                </c:pt>
                <c:pt idx="5">
                  <c:v>5.563909774436078E-2</c:v>
                </c:pt>
                <c:pt idx="6">
                  <c:v>8.0593726916458816E-2</c:v>
                </c:pt>
                <c:pt idx="7">
                  <c:v>7.6879122192598764E-2</c:v>
                </c:pt>
                <c:pt idx="8">
                  <c:v>7.1036370689103873E-2</c:v>
                </c:pt>
                <c:pt idx="9">
                  <c:v>7.6167935339255116E-2</c:v>
                </c:pt>
                <c:pt idx="10">
                  <c:v>7.4692004104062834E-2</c:v>
                </c:pt>
                <c:pt idx="11">
                  <c:v>7.3964742663517755E-2</c:v>
                </c:pt>
                <c:pt idx="12">
                  <c:v>7.4941375399866589E-2</c:v>
                </c:pt>
                <c:pt idx="13">
                  <c:v>7.45331491824541E-2</c:v>
                </c:pt>
                <c:pt idx="14">
                  <c:v>7.4480745697378767E-2</c:v>
                </c:pt>
                <c:pt idx="15">
                  <c:v>7.4653322016473456E-2</c:v>
                </c:pt>
                <c:pt idx="16">
                  <c:v>7.4557811443289893E-2</c:v>
                </c:pt>
                <c:pt idx="17">
                  <c:v>7.4566463483922901E-2</c:v>
                </c:pt>
                <c:pt idx="18">
                  <c:v>7.4595502195406713E-2</c:v>
                </c:pt>
                <c:pt idx="19">
                  <c:v>7.4576543081211075E-2</c:v>
                </c:pt>
                <c:pt idx="20">
                  <c:v>7.4583009058728097E-2</c:v>
                </c:pt>
                <c:pt idx="21">
                  <c:v>7.4588721839623506E-2</c:v>
                </c:pt>
                <c:pt idx="22">
                  <c:v>7.458664933110723E-2</c:v>
                </c:pt>
                <c:pt idx="23">
                  <c:v>7.4590209113286815E-2</c:v>
                </c:pt>
                <c:pt idx="24">
                  <c:v>7.4592807252195026E-2</c:v>
                </c:pt>
                <c:pt idx="25">
                  <c:v>7.4594369464607305E-2</c:v>
                </c:pt>
                <c:pt idx="26">
                  <c:v>7.4597149255496056E-2</c:v>
                </c:pt>
                <c:pt idx="27">
                  <c:v>7.4599675827263998E-2</c:v>
                </c:pt>
                <c:pt idx="28">
                  <c:v>7.4602184965841992E-2</c:v>
                </c:pt>
                <c:pt idx="29">
                  <c:v>7.4605017623869493E-2</c:v>
                </c:pt>
                <c:pt idx="30">
                  <c:v>7.460787634663843E-2</c:v>
                </c:pt>
                <c:pt idx="31">
                  <c:v>7.4610854729077178E-2</c:v>
                </c:pt>
                <c:pt idx="32">
                  <c:v>7.461399932382029E-2</c:v>
                </c:pt>
                <c:pt idx="33">
                  <c:v>7.4617258322986574E-2</c:v>
                </c:pt>
                <c:pt idx="34">
                  <c:v>7.4620661836050428E-2</c:v>
                </c:pt>
                <c:pt idx="35">
                  <c:v>7.4624218883264412E-2</c:v>
                </c:pt>
                <c:pt idx="36">
                  <c:v>7.4627925933345732E-2</c:v>
                </c:pt>
                <c:pt idx="37">
                  <c:v>7.463179557916462E-2</c:v>
                </c:pt>
                <c:pt idx="38">
                  <c:v>7.4635819789621943E-2</c:v>
                </c:pt>
                <c:pt idx="39">
                  <c:v>7.463967264275681E-2</c:v>
                </c:pt>
                <c:pt idx="40">
                  <c:v>7.4643384825948067E-2</c:v>
                </c:pt>
                <c:pt idx="41">
                  <c:v>7.4646981782142727E-2</c:v>
                </c:pt>
                <c:pt idx="42">
                  <c:v>7.4650485766204519E-2</c:v>
                </c:pt>
                <c:pt idx="43">
                  <c:v>7.4653916675238394E-2</c:v>
                </c:pt>
                <c:pt idx="44">
                  <c:v>7.4657291635709847E-2</c:v>
                </c:pt>
                <c:pt idx="45">
                  <c:v>7.4660625719103701E-2</c:v>
                </c:pt>
                <c:pt idx="46">
                  <c:v>7.4663932225805849E-2</c:v>
                </c:pt>
                <c:pt idx="47">
                  <c:v>7.466722279840024E-2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Premissas!$I$187:$BD$187</c:f>
              <c:numCache>
                <c:formatCode>0.0%</c:formatCode>
                <c:ptCount val="48"/>
                <c:pt idx="0">
                  <c:v>0.10233852169336054</c:v>
                </c:pt>
                <c:pt idx="1">
                  <c:v>0.12500854350351992</c:v>
                </c:pt>
                <c:pt idx="2">
                  <c:v>0.1332581259254037</c:v>
                </c:pt>
                <c:pt idx="3">
                  <c:v>0.12801760863391071</c:v>
                </c:pt>
                <c:pt idx="4">
                  <c:v>0.12443727743062558</c:v>
                </c:pt>
                <c:pt idx="5">
                  <c:v>0.13833776505079431</c:v>
                </c:pt>
                <c:pt idx="6">
                  <c:v>0.16943965616901902</c:v>
                </c:pt>
                <c:pt idx="7">
                  <c:v>0.16336088408170196</c:v>
                </c:pt>
                <c:pt idx="8">
                  <c:v>0.16600443689928435</c:v>
                </c:pt>
                <c:pt idx="9">
                  <c:v>0.16536494794598447</c:v>
                </c:pt>
                <c:pt idx="10">
                  <c:v>0.16438096757515352</c:v>
                </c:pt>
                <c:pt idx="11">
                  <c:v>0.16455357050946404</c:v>
                </c:pt>
                <c:pt idx="12">
                  <c:v>0.16388066870258705</c:v>
                </c:pt>
                <c:pt idx="13">
                  <c:v>0.16326758026645283</c:v>
                </c:pt>
                <c:pt idx="14">
                  <c:v>0.16281553522353753</c:v>
                </c:pt>
                <c:pt idx="15">
                  <c:v>0.16217420131341542</c:v>
                </c:pt>
                <c:pt idx="16">
                  <c:v>0.16157176061688908</c:v>
                </c:pt>
                <c:pt idx="17">
                  <c:v>0.16099111037125818</c:v>
                </c:pt>
                <c:pt idx="18">
                  <c:v>0.16040060550121399</c:v>
                </c:pt>
                <c:pt idx="19">
                  <c:v>0.15983281427186052</c:v>
                </c:pt>
                <c:pt idx="20">
                  <c:v>0.15927707185204143</c:v>
                </c:pt>
                <c:pt idx="21">
                  <c:v>0.15872857972083185</c:v>
                </c:pt>
                <c:pt idx="22">
                  <c:v>0.15819862626459985</c:v>
                </c:pt>
                <c:pt idx="23">
                  <c:v>0.15768494740974678</c:v>
                </c:pt>
                <c:pt idx="24">
                  <c:v>0.15718808889259275</c:v>
                </c:pt>
                <c:pt idx="25">
                  <c:v>0.1567104913081514</c:v>
                </c:pt>
                <c:pt idx="26">
                  <c:v>0.15625172612008642</c:v>
                </c:pt>
                <c:pt idx="27">
                  <c:v>0.1558121205018064</c:v>
                </c:pt>
                <c:pt idx="28">
                  <c:v>0.15539201036414574</c:v>
                </c:pt>
                <c:pt idx="29">
                  <c:v>0.1549911039133326</c:v>
                </c:pt>
                <c:pt idx="30">
                  <c:v>0.154609226567964</c:v>
                </c:pt>
                <c:pt idx="31">
                  <c:v>0.15424609094667707</c:v>
                </c:pt>
                <c:pt idx="32">
                  <c:v>0.15390124964641017</c:v>
                </c:pt>
                <c:pt idx="33">
                  <c:v>0.15357424468318603</c:v>
                </c:pt>
                <c:pt idx="34">
                  <c:v>0.15326455760160385</c:v>
                </c:pt>
                <c:pt idx="35">
                  <c:v>0.1529716219134501</c:v>
                </c:pt>
                <c:pt idx="36">
                  <c:v>0.15269485586926673</c:v>
                </c:pt>
                <c:pt idx="37">
                  <c:v>0.15243289545965649</c:v>
                </c:pt>
                <c:pt idx="38">
                  <c:v>0.15216743043834169</c:v>
                </c:pt>
                <c:pt idx="39">
                  <c:v>0.15191502337405852</c:v>
                </c:pt>
                <c:pt idx="40">
                  <c:v>0.15167496058376301</c:v>
                </c:pt>
                <c:pt idx="41">
                  <c:v>0.15144657853749582</c:v>
                </c:pt>
                <c:pt idx="42">
                  <c:v>0.15122925918498356</c:v>
                </c:pt>
                <c:pt idx="43">
                  <c:v>0.15102242499327928</c:v>
                </c:pt>
                <c:pt idx="44">
                  <c:v>0.15082553536961452</c:v>
                </c:pt>
                <c:pt idx="45">
                  <c:v>0.15063808334681705</c:v>
                </c:pt>
                <c:pt idx="46">
                  <c:v>0.1504595925616051</c:v>
                </c:pt>
                <c:pt idx="47">
                  <c:v>0.1502896147439243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Premissas!$I$188:$BD$188</c:f>
              <c:numCache>
                <c:formatCode>0.0%</c:formatCode>
                <c:ptCount val="48"/>
                <c:pt idx="0">
                  <c:v>-0.10524193548387108</c:v>
                </c:pt>
                <c:pt idx="1">
                  <c:v>-6.5347933592370136E-2</c:v>
                </c:pt>
                <c:pt idx="2">
                  <c:v>-8.5908063300678281E-2</c:v>
                </c:pt>
                <c:pt idx="3">
                  <c:v>-5.5533518445061289E-3</c:v>
                </c:pt>
                <c:pt idx="4">
                  <c:v>1.9778481012658295E-2</c:v>
                </c:pt>
                <c:pt idx="5">
                  <c:v>4.4684129429892222E-2</c:v>
                </c:pt>
                <c:pt idx="6">
                  <c:v>4.5813386592947404E-2</c:v>
                </c:pt>
                <c:pt idx="7">
                  <c:v>5.689291639994494E-2</c:v>
                </c:pt>
                <c:pt idx="8">
                  <c:v>6.8244672564736028E-2</c:v>
                </c:pt>
                <c:pt idx="9">
                  <c:v>7.3543798549860526E-2</c:v>
                </c:pt>
                <c:pt idx="10">
                  <c:v>8.0389154788501546E-2</c:v>
                </c:pt>
                <c:pt idx="11">
                  <c:v>8.6517788205595941E-2</c:v>
                </c:pt>
                <c:pt idx="12">
                  <c:v>9.0943217047212921E-2</c:v>
                </c:pt>
                <c:pt idx="13">
                  <c:v>9.530058011116059E-2</c:v>
                </c:pt>
                <c:pt idx="14">
                  <c:v>9.9069035554842699E-2</c:v>
                </c:pt>
                <c:pt idx="15">
                  <c:v>0.10217492819263899</c:v>
                </c:pt>
                <c:pt idx="16">
                  <c:v>0.10498819391229344</c:v>
                </c:pt>
                <c:pt idx="17">
                  <c:v>0.10741484359507927</c:v>
                </c:pt>
                <c:pt idx="18">
                  <c:v>0.10949390863700353</c:v>
                </c:pt>
                <c:pt idx="19">
                  <c:v>0.11132488953960976</c:v>
                </c:pt>
                <c:pt idx="20">
                  <c:v>0.11290907259495399</c:v>
                </c:pt>
                <c:pt idx="21">
                  <c:v>0.11428094699324517</c:v>
                </c:pt>
                <c:pt idx="22">
                  <c:v>0.11547768145066109</c:v>
                </c:pt>
                <c:pt idx="23">
                  <c:v>0.11651529869705374</c:v>
                </c:pt>
                <c:pt idx="24">
                  <c:v>0.11741602944686674</c:v>
                </c:pt>
                <c:pt idx="25">
                  <c:v>0.11819925655041345</c:v>
                </c:pt>
                <c:pt idx="26">
                  <c:v>0.11887893176251678</c:v>
                </c:pt>
                <c:pt idx="27">
                  <c:v>0.1194690732950324</c:v>
                </c:pt>
                <c:pt idx="28">
                  <c:v>0.11998158543213251</c:v>
                </c:pt>
                <c:pt idx="29">
                  <c:v>0.12042634832145933</c:v>
                </c:pt>
                <c:pt idx="30">
                  <c:v>0.12081234751767106</c:v>
                </c:pt>
                <c:pt idx="31">
                  <c:v>0.12114727975841327</c:v>
                </c:pt>
                <c:pt idx="32">
                  <c:v>0.12143776913501589</c:v>
                </c:pt>
                <c:pt idx="33">
                  <c:v>0.12168964977083134</c:v>
                </c:pt>
                <c:pt idx="34">
                  <c:v>0.12190795879107565</c:v>
                </c:pt>
                <c:pt idx="35">
                  <c:v>0.12209706643697764</c:v>
                </c:pt>
                <c:pt idx="36">
                  <c:v>0.12226078381043662</c:v>
                </c:pt>
                <c:pt idx="37">
                  <c:v>0.12240241398135437</c:v>
                </c:pt>
                <c:pt idx="38">
                  <c:v>0.12252486521787236</c:v>
                </c:pt>
                <c:pt idx="39">
                  <c:v>0.12263148095384881</c:v>
                </c:pt>
                <c:pt idx="40">
                  <c:v>0.12272432195648894</c:v>
                </c:pt>
                <c:pt idx="41">
                  <c:v>0.12280518101305907</c:v>
                </c:pt>
                <c:pt idx="42">
                  <c:v>0.12287561783746379</c:v>
                </c:pt>
                <c:pt idx="43">
                  <c:v>0.12293698868466388</c:v>
                </c:pt>
                <c:pt idx="44">
                  <c:v>0.12299047328463923</c:v>
                </c:pt>
                <c:pt idx="45">
                  <c:v>0.12303709774988902</c:v>
                </c:pt>
                <c:pt idx="46">
                  <c:v>0.12307775446248569</c:v>
                </c:pt>
                <c:pt idx="47">
                  <c:v>0.12311321957927442</c:v>
                </c:pt>
              </c:numCache>
            </c:numRef>
          </c:val>
          <c:smooth val="0"/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Premissas!$I$189:$BD$189</c:f>
              <c:numCache>
                <c:formatCode>0.0%</c:formatCode>
                <c:ptCount val="48"/>
                <c:pt idx="0">
                  <c:v>0.14992143451335624</c:v>
                </c:pt>
                <c:pt idx="1">
                  <c:v>0.17067796610169489</c:v>
                </c:pt>
                <c:pt idx="2">
                  <c:v>0.18371064272703616</c:v>
                </c:pt>
                <c:pt idx="3">
                  <c:v>0.15713915073942741</c:v>
                </c:pt>
                <c:pt idx="4">
                  <c:v>0.14585188182921899</c:v>
                </c:pt>
                <c:pt idx="5">
                  <c:v>0.15847899925441145</c:v>
                </c:pt>
                <c:pt idx="6">
                  <c:v>0.1948540553919762</c:v>
                </c:pt>
                <c:pt idx="7">
                  <c:v>0.18481881661639812</c:v>
                </c:pt>
                <c:pt idx="8">
                  <c:v>0.18513341776139511</c:v>
                </c:pt>
                <c:pt idx="9">
                  <c:v>0.18280859082536977</c:v>
                </c:pt>
                <c:pt idx="10">
                  <c:v>0.17987249328042701</c:v>
                </c:pt>
                <c:pt idx="11">
                  <c:v>0.17852734727751687</c:v>
                </c:pt>
                <c:pt idx="12">
                  <c:v>0.1765610809638169</c:v>
                </c:pt>
                <c:pt idx="13">
                  <c:v>0.17473969984458562</c:v>
                </c:pt>
                <c:pt idx="14">
                  <c:v>0.17326188783263161</c:v>
                </c:pt>
                <c:pt idx="15">
                  <c:v>0.17172010619905903</c:v>
                </c:pt>
                <c:pt idx="16">
                  <c:v>0.17031201772946489</c:v>
                </c:pt>
                <c:pt idx="17">
                  <c:v>0.16902580014241952</c:v>
                </c:pt>
                <c:pt idx="18">
                  <c:v>0.16790648555673218</c:v>
                </c:pt>
                <c:pt idx="19">
                  <c:v>0.16686880616350214</c:v>
                </c:pt>
                <c:pt idx="20">
                  <c:v>0.16589197263194408</c:v>
                </c:pt>
                <c:pt idx="21">
                  <c:v>0.16496381295835355</c:v>
                </c:pt>
                <c:pt idx="22">
                  <c:v>0.1640904688314907</c:v>
                </c:pt>
                <c:pt idx="23">
                  <c:v>0.16326580840203206</c:v>
                </c:pt>
                <c:pt idx="24">
                  <c:v>0.16248623436672399</c:v>
                </c:pt>
                <c:pt idx="25">
                  <c:v>0.16175087366820459</c:v>
                </c:pt>
                <c:pt idx="26">
                  <c:v>0.1610564768684653</c:v>
                </c:pt>
                <c:pt idx="27">
                  <c:v>0.16040077601016767</c:v>
                </c:pt>
                <c:pt idx="28">
                  <c:v>0.1597819065051686</c:v>
                </c:pt>
                <c:pt idx="29">
                  <c:v>0.15919765708206901</c:v>
                </c:pt>
                <c:pt idx="30">
                  <c:v>0.15864615201023438</c:v>
                </c:pt>
                <c:pt idx="31">
                  <c:v>0.15812562804772237</c:v>
                </c:pt>
                <c:pt idx="32">
                  <c:v>0.15763434292402756</c:v>
                </c:pt>
                <c:pt idx="33">
                  <c:v>0.15717069882141166</c:v>
                </c:pt>
                <c:pt idx="34">
                  <c:v>0.15673317840140241</c:v>
                </c:pt>
                <c:pt idx="35">
                  <c:v>0.15632033572509141</c:v>
                </c:pt>
                <c:pt idx="36">
                  <c:v>0.15593081368871273</c:v>
                </c:pt>
                <c:pt idx="37">
                  <c:v>0.15556526450431349</c:v>
                </c:pt>
                <c:pt idx="38">
                  <c:v>0.15525933736523903</c:v>
                </c:pt>
                <c:pt idx="39">
                  <c:v>0.15496948195346014</c:v>
                </c:pt>
                <c:pt idx="40">
                  <c:v>0.15469469519323467</c:v>
                </c:pt>
                <c:pt idx="41">
                  <c:v>0.15443405734518936</c:v>
                </c:pt>
                <c:pt idx="42">
                  <c:v>0.15418672320448146</c:v>
                </c:pt>
                <c:pt idx="43">
                  <c:v>0.15395191353186163</c:v>
                </c:pt>
                <c:pt idx="44">
                  <c:v>0.15372890829402394</c:v>
                </c:pt>
                <c:pt idx="45">
                  <c:v>0.15351704061389618</c:v>
                </c:pt>
                <c:pt idx="46">
                  <c:v>0.15331569135940354</c:v>
                </c:pt>
                <c:pt idx="47">
                  <c:v>0.15312428454502688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725976"/>
        <c:axId val="698724016"/>
      </c:lineChart>
      <c:catAx>
        <c:axId val="698725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8724016"/>
        <c:crosses val="autoZero"/>
        <c:auto val="1"/>
        <c:lblAlgn val="ctr"/>
        <c:lblOffset val="100"/>
        <c:noMultiLvlLbl val="0"/>
      </c:catAx>
      <c:valAx>
        <c:axId val="69872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872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emf"/><Relationship Id="rId26" Type="http://schemas.openxmlformats.org/officeDocument/2006/relationships/image" Target="../media/image27.emf"/><Relationship Id="rId3" Type="http://schemas.openxmlformats.org/officeDocument/2006/relationships/image" Target="../media/image4.png"/><Relationship Id="rId21" Type="http://schemas.openxmlformats.org/officeDocument/2006/relationships/image" Target="../media/image22.emf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emf"/><Relationship Id="rId25" Type="http://schemas.openxmlformats.org/officeDocument/2006/relationships/image" Target="../media/image26.emf"/><Relationship Id="rId2" Type="http://schemas.openxmlformats.org/officeDocument/2006/relationships/image" Target="../media/image3.png"/><Relationship Id="rId16" Type="http://schemas.openxmlformats.org/officeDocument/2006/relationships/image" Target="../media/image17.emf"/><Relationship Id="rId20" Type="http://schemas.openxmlformats.org/officeDocument/2006/relationships/image" Target="../media/image21.emf"/><Relationship Id="rId1" Type="http://schemas.openxmlformats.org/officeDocument/2006/relationships/image" Target="../media/image2.tmp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emf"/><Relationship Id="rId5" Type="http://schemas.openxmlformats.org/officeDocument/2006/relationships/image" Target="../media/image6.png"/><Relationship Id="rId15" Type="http://schemas.openxmlformats.org/officeDocument/2006/relationships/image" Target="../media/image16.jpeg"/><Relationship Id="rId23" Type="http://schemas.openxmlformats.org/officeDocument/2006/relationships/image" Target="../media/image24.emf"/><Relationship Id="rId28" Type="http://schemas.openxmlformats.org/officeDocument/2006/relationships/image" Target="../media/image29.tmp"/><Relationship Id="rId10" Type="http://schemas.openxmlformats.org/officeDocument/2006/relationships/image" Target="../media/image11.png"/><Relationship Id="rId19" Type="http://schemas.openxmlformats.org/officeDocument/2006/relationships/image" Target="../media/image20.emf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emf"/><Relationship Id="rId22" Type="http://schemas.openxmlformats.org/officeDocument/2006/relationships/image" Target="../media/image23.emf"/><Relationship Id="rId27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114300</xdr:rowOff>
    </xdr:to>
    <xdr:sp macro="" textlink="">
      <xdr:nvSpPr>
        <xdr:cNvPr id="2050" name="AutoShape 2" descr="Resultado de imagem para logo tupy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558801</xdr:colOff>
      <xdr:row>0</xdr:row>
      <xdr:rowOff>91440</xdr:rowOff>
    </xdr:from>
    <xdr:to>
      <xdr:col>19</xdr:col>
      <xdr:colOff>444501</xdr:colOff>
      <xdr:row>11</xdr:row>
      <xdr:rowOff>86360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45721</xdr:colOff>
      <xdr:row>11</xdr:row>
      <xdr:rowOff>157480</xdr:rowOff>
    </xdr:from>
    <xdr:to>
      <xdr:col>14</xdr:col>
      <xdr:colOff>543560</xdr:colOff>
      <xdr:row>23</xdr:row>
      <xdr:rowOff>101600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76200</xdr:colOff>
      <xdr:row>0</xdr:row>
      <xdr:rowOff>60960</xdr:rowOff>
    </xdr:from>
    <xdr:to>
      <xdr:col>14</xdr:col>
      <xdr:colOff>502921</xdr:colOff>
      <xdr:row>11</xdr:row>
      <xdr:rowOff>40958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30392</xdr:colOff>
      <xdr:row>0</xdr:row>
      <xdr:rowOff>1</xdr:rowOff>
    </xdr:from>
    <xdr:to>
      <xdr:col>2</xdr:col>
      <xdr:colOff>92580</xdr:colOff>
      <xdr:row>5</xdr:row>
      <xdr:rowOff>7479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92" y="1"/>
          <a:ext cx="1130412" cy="933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203200</xdr:colOff>
      <xdr:row>180</xdr:row>
      <xdr:rowOff>98425</xdr:rowOff>
    </xdr:from>
    <xdr:to>
      <xdr:col>52</xdr:col>
      <xdr:colOff>419100</xdr:colOff>
      <xdr:row>195</xdr:row>
      <xdr:rowOff>79375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1360714</xdr:colOff>
      <xdr:row>9</xdr:row>
      <xdr:rowOff>40821</xdr:rowOff>
    </xdr:from>
    <xdr:ext cx="5354527" cy="544286"/>
    <xdr:pic>
      <xdr:nvPicPr>
        <xdr:cNvPr id="2" name="Imagem 1" descr="Recorte de Tela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006"/>
        <a:stretch/>
      </xdr:blipFill>
      <xdr:spPr>
        <a:xfrm>
          <a:off x="3105694" y="1686741"/>
          <a:ext cx="5354527" cy="544286"/>
        </a:xfrm>
        <a:prstGeom prst="rect">
          <a:avLst/>
        </a:prstGeom>
      </xdr:spPr>
    </xdr:pic>
    <xdr:clientData/>
  </xdr:oneCellAnchor>
  <xdr:oneCellAnchor>
    <xdr:from>
      <xdr:col>2</xdr:col>
      <xdr:colOff>58431</xdr:colOff>
      <xdr:row>15</xdr:row>
      <xdr:rowOff>116063</xdr:rowOff>
    </xdr:from>
    <xdr:ext cx="6438096" cy="409524"/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3411" y="2859263"/>
          <a:ext cx="6438096" cy="409524"/>
        </a:xfrm>
        <a:prstGeom prst="rect">
          <a:avLst/>
        </a:prstGeom>
      </xdr:spPr>
    </xdr:pic>
    <xdr:clientData/>
  </xdr:oneCellAnchor>
  <xdr:oneCellAnchor>
    <xdr:from>
      <xdr:col>2</xdr:col>
      <xdr:colOff>18409</xdr:colOff>
      <xdr:row>14</xdr:row>
      <xdr:rowOff>148880</xdr:rowOff>
    </xdr:from>
    <xdr:ext cx="6438096" cy="409524"/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63389" y="2709200"/>
          <a:ext cx="6438096" cy="409524"/>
        </a:xfrm>
        <a:prstGeom prst="rect">
          <a:avLst/>
        </a:prstGeom>
      </xdr:spPr>
    </xdr:pic>
    <xdr:clientData/>
  </xdr:oneCellAnchor>
  <xdr:oneCellAnchor>
    <xdr:from>
      <xdr:col>2</xdr:col>
      <xdr:colOff>58431</xdr:colOff>
      <xdr:row>13</xdr:row>
      <xdr:rowOff>132071</xdr:rowOff>
    </xdr:from>
    <xdr:ext cx="6438096" cy="409524"/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803411" y="2509511"/>
          <a:ext cx="6438096" cy="409524"/>
        </a:xfrm>
        <a:prstGeom prst="rect">
          <a:avLst/>
        </a:prstGeom>
      </xdr:spPr>
    </xdr:pic>
    <xdr:clientData/>
  </xdr:oneCellAnchor>
  <xdr:oneCellAnchor>
    <xdr:from>
      <xdr:col>2</xdr:col>
      <xdr:colOff>405812</xdr:colOff>
      <xdr:row>12</xdr:row>
      <xdr:rowOff>173693</xdr:rowOff>
    </xdr:from>
    <xdr:ext cx="6466667" cy="342857"/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150792" y="2368253"/>
          <a:ext cx="6466667" cy="342857"/>
        </a:xfrm>
        <a:prstGeom prst="rect">
          <a:avLst/>
        </a:prstGeom>
      </xdr:spPr>
    </xdr:pic>
    <xdr:clientData/>
  </xdr:oneCellAnchor>
  <xdr:oneCellAnchor>
    <xdr:from>
      <xdr:col>2</xdr:col>
      <xdr:colOff>58431</xdr:colOff>
      <xdr:row>11</xdr:row>
      <xdr:rowOff>134472</xdr:rowOff>
    </xdr:from>
    <xdr:ext cx="6438096" cy="438095"/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803411" y="2146152"/>
          <a:ext cx="6438096" cy="438095"/>
        </a:xfrm>
        <a:prstGeom prst="rect">
          <a:avLst/>
        </a:prstGeom>
      </xdr:spPr>
    </xdr:pic>
    <xdr:clientData/>
  </xdr:oneCellAnchor>
  <xdr:oneCellAnchor>
    <xdr:from>
      <xdr:col>2</xdr:col>
      <xdr:colOff>58431</xdr:colOff>
      <xdr:row>10</xdr:row>
      <xdr:rowOff>140075</xdr:rowOff>
    </xdr:from>
    <xdr:ext cx="6438096" cy="438095"/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803411" y="1968875"/>
          <a:ext cx="6438096" cy="43809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347382</xdr:colOff>
      <xdr:row>6</xdr:row>
      <xdr:rowOff>145677</xdr:rowOff>
    </xdr:from>
    <xdr:ext cx="6447619" cy="438095"/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092362" y="1242957"/>
          <a:ext cx="6447619" cy="438095"/>
        </a:xfrm>
        <a:prstGeom prst="rect">
          <a:avLst/>
        </a:prstGeom>
      </xdr:spPr>
    </xdr:pic>
    <xdr:clientData/>
  </xdr:oneCellAnchor>
  <xdr:oneCellAnchor>
    <xdr:from>
      <xdr:col>2</xdr:col>
      <xdr:colOff>347382</xdr:colOff>
      <xdr:row>5</xdr:row>
      <xdr:rowOff>156882</xdr:rowOff>
    </xdr:from>
    <xdr:ext cx="6447619" cy="438095"/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92362" y="1071282"/>
          <a:ext cx="6447619" cy="438095"/>
        </a:xfrm>
        <a:prstGeom prst="rect">
          <a:avLst/>
        </a:prstGeom>
      </xdr:spPr>
    </xdr:pic>
    <xdr:clientData/>
  </xdr:oneCellAnchor>
  <xdr:oneCellAnchor>
    <xdr:from>
      <xdr:col>2</xdr:col>
      <xdr:colOff>515472</xdr:colOff>
      <xdr:row>4</xdr:row>
      <xdr:rowOff>280146</xdr:rowOff>
    </xdr:from>
    <xdr:ext cx="6438096" cy="209524"/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260452" y="912606"/>
          <a:ext cx="6438096" cy="209524"/>
        </a:xfrm>
        <a:prstGeom prst="rect">
          <a:avLst/>
        </a:prstGeom>
      </xdr:spPr>
    </xdr:pic>
    <xdr:clientData/>
  </xdr:oneCellAnchor>
  <xdr:oneCellAnchor>
    <xdr:from>
      <xdr:col>2</xdr:col>
      <xdr:colOff>1026458</xdr:colOff>
      <xdr:row>10</xdr:row>
      <xdr:rowOff>94498</xdr:rowOff>
    </xdr:from>
    <xdr:ext cx="7209524" cy="542857"/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771438" y="1923298"/>
          <a:ext cx="7209524" cy="542857"/>
        </a:xfrm>
        <a:prstGeom prst="rect">
          <a:avLst/>
        </a:prstGeom>
      </xdr:spPr>
    </xdr:pic>
    <xdr:clientData/>
  </xdr:oneCellAnchor>
  <xdr:oneCellAnchor>
    <xdr:from>
      <xdr:col>2</xdr:col>
      <xdr:colOff>533328</xdr:colOff>
      <xdr:row>10</xdr:row>
      <xdr:rowOff>89649</xdr:rowOff>
    </xdr:from>
    <xdr:ext cx="8123810" cy="523810"/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278308" y="1918449"/>
          <a:ext cx="8123810" cy="523810"/>
        </a:xfrm>
        <a:prstGeom prst="rect">
          <a:avLst/>
        </a:prstGeom>
      </xdr:spPr>
    </xdr:pic>
    <xdr:clientData/>
  </xdr:oneCellAnchor>
  <xdr:oneCellAnchor>
    <xdr:from>
      <xdr:col>2</xdr:col>
      <xdr:colOff>347382</xdr:colOff>
      <xdr:row>7</xdr:row>
      <xdr:rowOff>112061</xdr:rowOff>
    </xdr:from>
    <xdr:ext cx="6701119" cy="448234"/>
    <xdr:pic>
      <xdr:nvPicPr>
        <xdr:cNvPr id="14" name="Imagem 13"/>
        <xdr:cNvPicPr>
          <a:picLocks noChangeAspect="1"/>
        </xdr:cNvPicPr>
      </xdr:nvPicPr>
      <xdr:blipFill rotWithShape="1">
        <a:blip xmlns:r="http://schemas.openxmlformats.org/officeDocument/2006/relationships" r:embed="rId13" cstate="print"/>
        <a:srcRect r="27448" b="19206"/>
        <a:stretch/>
      </xdr:blipFill>
      <xdr:spPr>
        <a:xfrm>
          <a:off x="2092362" y="1392221"/>
          <a:ext cx="6701119" cy="448234"/>
        </a:xfrm>
        <a:prstGeom prst="rect">
          <a:avLst/>
        </a:prstGeom>
      </xdr:spPr>
    </xdr:pic>
    <xdr:clientData/>
  </xdr:oneCellAnchor>
  <xdr:oneCellAnchor>
    <xdr:from>
      <xdr:col>2</xdr:col>
      <xdr:colOff>784408</xdr:colOff>
      <xdr:row>8</xdr:row>
      <xdr:rowOff>50611</xdr:rowOff>
    </xdr:from>
    <xdr:ext cx="6240558" cy="593544"/>
    <xdr:pic>
      <xdr:nvPicPr>
        <xdr:cNvPr id="15" name="Imagem 1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119"/>
        <a:stretch/>
      </xdr:blipFill>
      <xdr:spPr bwMode="auto">
        <a:xfrm>
          <a:off x="2529388" y="1513651"/>
          <a:ext cx="6240558" cy="593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784408</xdr:colOff>
      <xdr:row>8</xdr:row>
      <xdr:rowOff>50611</xdr:rowOff>
    </xdr:from>
    <xdr:ext cx="6240780" cy="594360"/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529388" y="1513651"/>
          <a:ext cx="6240780" cy="594360"/>
        </a:xfrm>
        <a:prstGeom prst="rect">
          <a:avLst/>
        </a:prstGeom>
      </xdr:spPr>
    </xdr:pic>
    <xdr:clientData/>
  </xdr:oneCellAnchor>
  <xdr:oneCellAnchor>
    <xdr:from>
      <xdr:col>5</xdr:col>
      <xdr:colOff>910899</xdr:colOff>
      <xdr:row>7</xdr:row>
      <xdr:rowOff>112057</xdr:rowOff>
    </xdr:from>
    <xdr:ext cx="6128356" cy="609600"/>
    <xdr:pic>
      <xdr:nvPicPr>
        <xdr:cNvPr id="17" name="Imagem 1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4879" y="1392217"/>
          <a:ext cx="6128356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910898</xdr:colOff>
      <xdr:row>6</xdr:row>
      <xdr:rowOff>143808</xdr:rowOff>
    </xdr:from>
    <xdr:ext cx="6128357" cy="590550"/>
    <xdr:pic>
      <xdr:nvPicPr>
        <xdr:cNvPr id="18" name="Imagem 1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4878" y="1241088"/>
          <a:ext cx="6128357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910898</xdr:colOff>
      <xdr:row>5</xdr:row>
      <xdr:rowOff>120151</xdr:rowOff>
    </xdr:from>
    <xdr:ext cx="6128357" cy="619125"/>
    <xdr:pic>
      <xdr:nvPicPr>
        <xdr:cNvPr id="19" name="Imagem 1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4878" y="1034551"/>
          <a:ext cx="6128357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910898</xdr:colOff>
      <xdr:row>4</xdr:row>
      <xdr:rowOff>229101</xdr:rowOff>
    </xdr:from>
    <xdr:ext cx="6128357" cy="371475"/>
    <xdr:pic>
      <xdr:nvPicPr>
        <xdr:cNvPr id="20" name="Imagem 1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4878" y="914901"/>
          <a:ext cx="6128357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2571750</xdr:colOff>
      <xdr:row>11</xdr:row>
      <xdr:rowOff>117036</xdr:rowOff>
    </xdr:from>
    <xdr:ext cx="3193676" cy="591670"/>
    <xdr:pic>
      <xdr:nvPicPr>
        <xdr:cNvPr id="21" name="Imagem 2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32" r="25694"/>
        <a:stretch/>
      </xdr:blipFill>
      <xdr:spPr bwMode="auto">
        <a:xfrm>
          <a:off x="15365730" y="2128716"/>
          <a:ext cx="3193676" cy="591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853888</xdr:colOff>
      <xdr:row>13</xdr:row>
      <xdr:rowOff>124979</xdr:rowOff>
    </xdr:from>
    <xdr:ext cx="6181725" cy="556372"/>
    <xdr:pic>
      <xdr:nvPicPr>
        <xdr:cNvPr id="22" name="Imagem 2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7868" y="2502419"/>
          <a:ext cx="6181725" cy="55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853888</xdr:colOff>
      <xdr:row>15</xdr:row>
      <xdr:rowOff>91284</xdr:rowOff>
    </xdr:from>
    <xdr:ext cx="6181725" cy="559173"/>
    <xdr:pic>
      <xdr:nvPicPr>
        <xdr:cNvPr id="23" name="Imagem 2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7868" y="2834484"/>
          <a:ext cx="6181725" cy="559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2095500</xdr:colOff>
      <xdr:row>10</xdr:row>
      <xdr:rowOff>123265</xdr:rowOff>
    </xdr:from>
    <xdr:ext cx="4146177" cy="595593"/>
    <xdr:pic>
      <xdr:nvPicPr>
        <xdr:cNvPr id="24" name="Imagem 2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25" r="22015"/>
        <a:stretch/>
      </xdr:blipFill>
      <xdr:spPr bwMode="auto">
        <a:xfrm>
          <a:off x="14889480" y="1952065"/>
          <a:ext cx="4146177" cy="595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638736</xdr:colOff>
      <xdr:row>12</xdr:row>
      <xdr:rowOff>100854</xdr:rowOff>
    </xdr:from>
    <xdr:ext cx="6400799" cy="614643"/>
    <xdr:pic>
      <xdr:nvPicPr>
        <xdr:cNvPr id="25" name="Imagem 2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7" r="3001"/>
        <a:stretch/>
      </xdr:blipFill>
      <xdr:spPr bwMode="auto">
        <a:xfrm>
          <a:off x="13432716" y="2295414"/>
          <a:ext cx="6400799" cy="614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1518397</xdr:colOff>
      <xdr:row>14</xdr:row>
      <xdr:rowOff>134470</xdr:rowOff>
    </xdr:from>
    <xdr:ext cx="5300383" cy="550769"/>
    <xdr:pic>
      <xdr:nvPicPr>
        <xdr:cNvPr id="26" name="Imagem 2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52" r="14587"/>
        <a:stretch/>
      </xdr:blipFill>
      <xdr:spPr bwMode="auto">
        <a:xfrm>
          <a:off x="14312377" y="2694790"/>
          <a:ext cx="5300383" cy="550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1165417</xdr:colOff>
      <xdr:row>8</xdr:row>
      <xdr:rowOff>43351</xdr:rowOff>
    </xdr:from>
    <xdr:ext cx="5870201" cy="596858"/>
    <xdr:pic>
      <xdr:nvPicPr>
        <xdr:cNvPr id="27" name="Imagem 2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446"/>
        <a:stretch/>
      </xdr:blipFill>
      <xdr:spPr bwMode="auto">
        <a:xfrm>
          <a:off x="13959397" y="1506391"/>
          <a:ext cx="5870201" cy="596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6465795</xdr:colOff>
      <xdr:row>1</xdr:row>
      <xdr:rowOff>224118</xdr:rowOff>
    </xdr:from>
    <xdr:ext cx="256894" cy="254238"/>
    <xdr:pic>
      <xdr:nvPicPr>
        <xdr:cNvPr id="28" name="Picture 1" descr="M:\IB\M&amp;A\5. Pastas Pessoais\Sano\Power Point Tools\Bandeiras\Redondas_3D_2\Midway Islands.pn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9259775" y="368898"/>
          <a:ext cx="256894" cy="254238"/>
        </a:xfrm>
        <a:prstGeom prst="rect">
          <a:avLst/>
        </a:prstGeom>
        <a:noFill/>
        <a:effectLst/>
      </xdr:spPr>
    </xdr:pic>
    <xdr:clientData/>
  </xdr:oneCellAnchor>
  <xdr:oneCellAnchor>
    <xdr:from>
      <xdr:col>5</xdr:col>
      <xdr:colOff>1292678</xdr:colOff>
      <xdr:row>9</xdr:row>
      <xdr:rowOff>40821</xdr:rowOff>
    </xdr:from>
    <xdr:ext cx="5238004" cy="612000"/>
    <xdr:pic>
      <xdr:nvPicPr>
        <xdr:cNvPr id="34" name="Imagem 33" descr="Recorte de Tela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6658" y="1686741"/>
          <a:ext cx="5238004" cy="61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08\dri$\05.%20Planos%20Estrat&#233;gicos%20e%20Plurianuais\2011\01.%20An&#225;lises\01.%20Valuation\20120216%20-%20Valuation%20Tupy%20(v12.265)%20-%20H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Remarks"/>
      <sheetName val="1) DCF"/>
      <sheetName val="1-TUP"/>
      <sheetName val="1a"/>
      <sheetName val="1-BLJ"/>
      <sheetName val="1-BLM"/>
      <sheetName val="1-PEC"/>
      <sheetName val="1-CON"/>
      <sheetName val="1-GRA"/>
      <sheetName val="1-PER"/>
      <sheetName val="1-USI"/>
      <sheetName val="1b"/>
      <sheetName val="2) P&amp;L"/>
      <sheetName val="2-TUP"/>
      <sheetName val="2a"/>
      <sheetName val="2-BLJ"/>
      <sheetName val="2-BLM"/>
      <sheetName val="2-PEC"/>
      <sheetName val="2-CON"/>
      <sheetName val="2-GRA"/>
      <sheetName val="2-PER"/>
      <sheetName val="2b"/>
      <sheetName val="2-USI"/>
      <sheetName val="2c"/>
      <sheetName val="3) CTS"/>
      <sheetName val="3-BLJ"/>
      <sheetName val="3-BLM"/>
      <sheetName val="3-PEC"/>
      <sheetName val="3-CON"/>
      <sheetName val="3-GRA"/>
      <sheetName val="3-PER"/>
      <sheetName val="3-USI"/>
      <sheetName val="4) DAT"/>
      <sheetName val="TAX"/>
      <sheetName val="WCP"/>
      <sheetName val="BLP"/>
      <sheetName val="CPX"/>
      <sheetName val="D&amp;A"/>
      <sheetName val="SLS"/>
      <sheetName val="CIG"/>
      <sheetName val="VAR"/>
      <sheetName val="CND"/>
      <sheetName val="5) ANA"/>
      <sheetName val="RLT"/>
      <sheetName val="IND"/>
      <sheetName val="LOG"/>
      <sheetName val="GRF"/>
      <sheetName val="AUX"/>
      <sheetName val="Premissas"/>
    </sheetNames>
    <sheetDataSet>
      <sheetData sheetId="0">
        <row r="1">
          <cell r="A1" t="str">
            <v>PRELIMINAR</v>
          </cell>
        </row>
      </sheetData>
      <sheetData sheetId="1">
        <row r="16">
          <cell r="R16">
            <v>0.04</v>
          </cell>
        </row>
      </sheetData>
      <sheetData sheetId="2"/>
      <sheetData sheetId="3">
        <row r="3">
          <cell r="O3" t="str">
            <v/>
          </cell>
        </row>
      </sheetData>
      <sheetData sheetId="4"/>
      <sheetData sheetId="5">
        <row r="19">
          <cell r="C19">
            <v>0</v>
          </cell>
        </row>
      </sheetData>
      <sheetData sheetId="6">
        <row r="19">
          <cell r="C19">
            <v>0</v>
          </cell>
        </row>
      </sheetData>
      <sheetData sheetId="7">
        <row r="19">
          <cell r="C19">
            <v>0</v>
          </cell>
        </row>
      </sheetData>
      <sheetData sheetId="8">
        <row r="19">
          <cell r="C19">
            <v>0</v>
          </cell>
        </row>
      </sheetData>
      <sheetData sheetId="9">
        <row r="19">
          <cell r="C19">
            <v>0</v>
          </cell>
        </row>
      </sheetData>
      <sheetData sheetId="10">
        <row r="19">
          <cell r="C19">
            <v>0</v>
          </cell>
        </row>
      </sheetData>
      <sheetData sheetId="11">
        <row r="19">
          <cell r="C19">
            <v>0</v>
          </cell>
        </row>
      </sheetData>
      <sheetData sheetId="12"/>
      <sheetData sheetId="13"/>
      <sheetData sheetId="14">
        <row r="2">
          <cell r="A2" t="str">
            <v>TUPY</v>
          </cell>
        </row>
      </sheetData>
      <sheetData sheetId="15"/>
      <sheetData sheetId="16">
        <row r="2">
          <cell r="A2" t="str">
            <v>BLOCOS JOINVILLE</v>
          </cell>
        </row>
      </sheetData>
      <sheetData sheetId="17">
        <row r="10">
          <cell r="C10">
            <v>38000.713678000007</v>
          </cell>
        </row>
      </sheetData>
      <sheetData sheetId="18">
        <row r="10">
          <cell r="C10">
            <v>68036.730095000006</v>
          </cell>
        </row>
      </sheetData>
      <sheetData sheetId="19">
        <row r="10">
          <cell r="C10">
            <v>5301.4718600000006</v>
          </cell>
        </row>
      </sheetData>
      <sheetData sheetId="20">
        <row r="10">
          <cell r="C10">
            <v>15898.455000000002</v>
          </cell>
        </row>
      </sheetData>
      <sheetData sheetId="21">
        <row r="10">
          <cell r="C10">
            <v>7713.1197500000007</v>
          </cell>
        </row>
      </sheetData>
      <sheetData sheetId="22"/>
      <sheetData sheetId="23">
        <row r="15">
          <cell r="C15">
            <v>81213.329399532478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57">
          <cell r="I57">
            <v>-91441.999098208456</v>
          </cell>
        </row>
      </sheetData>
      <sheetData sheetId="35">
        <row r="35">
          <cell r="H35">
            <v>-58187</v>
          </cell>
        </row>
      </sheetData>
      <sheetData sheetId="36"/>
      <sheetData sheetId="37">
        <row r="57">
          <cell r="H57">
            <v>-252343.83954154726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>
        <row r="3">
          <cell r="C3">
            <v>0</v>
          </cell>
        </row>
        <row r="9">
          <cell r="B9" t="str">
            <v>BLJ</v>
          </cell>
        </row>
        <row r="10">
          <cell r="B10" t="str">
            <v>BLM</v>
          </cell>
        </row>
        <row r="11">
          <cell r="B11" t="str">
            <v>PEC</v>
          </cell>
        </row>
        <row r="12">
          <cell r="B12" t="str">
            <v>CON</v>
          </cell>
        </row>
        <row r="13">
          <cell r="B13" t="str">
            <v>GRA</v>
          </cell>
        </row>
        <row r="14">
          <cell r="B14" t="str">
            <v>PER</v>
          </cell>
        </row>
        <row r="15">
          <cell r="B15" t="str">
            <v>USI</v>
          </cell>
        </row>
        <row r="16">
          <cell r="B16" t="str">
            <v>TUP</v>
          </cell>
        </row>
      </sheetData>
      <sheetData sheetId="4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4"/>
  <sheetViews>
    <sheetView showGridLines="0" zoomScale="110" zoomScaleNormal="110" workbookViewId="0">
      <selection activeCell="I17" sqref="I17"/>
    </sheetView>
  </sheetViews>
  <sheetFormatPr defaultRowHeight="14.4" x14ac:dyDescent="0.3"/>
  <cols>
    <col min="1" max="1" width="4.5546875" customWidth="1"/>
    <col min="2" max="2" width="11" bestFit="1" customWidth="1"/>
    <col min="3" max="3" width="10.33203125" customWidth="1"/>
    <col min="10" max="10" width="10.109375" customWidth="1"/>
  </cols>
  <sheetData>
    <row r="1" spans="2:20" x14ac:dyDescent="0.3">
      <c r="G1" s="178" t="s">
        <v>243</v>
      </c>
      <c r="H1" s="169">
        <v>12</v>
      </c>
    </row>
    <row r="2" spans="2:20" x14ac:dyDescent="0.3">
      <c r="G2" s="178" t="s">
        <v>244</v>
      </c>
      <c r="H2" s="168">
        <v>2019</v>
      </c>
    </row>
    <row r="3" spans="2:20" x14ac:dyDescent="0.3">
      <c r="G3" s="178" t="s">
        <v>515</v>
      </c>
      <c r="H3" s="192">
        <f>Modelo!N178</f>
        <v>50</v>
      </c>
    </row>
    <row r="4" spans="2:20" x14ac:dyDescent="0.3">
      <c r="G4" s="178" t="s">
        <v>287</v>
      </c>
      <c r="H4" s="193">
        <f>Valuation!D22</f>
        <v>30.483813870715789</v>
      </c>
    </row>
    <row r="5" spans="2:20" x14ac:dyDescent="0.3">
      <c r="G5" t="s">
        <v>242</v>
      </c>
      <c r="H5" s="205">
        <v>0.3</v>
      </c>
    </row>
    <row r="6" spans="2:20" x14ac:dyDescent="0.3">
      <c r="B6" s="178" t="s">
        <v>281</v>
      </c>
      <c r="C6" s="171" t="s">
        <v>505</v>
      </c>
      <c r="G6" s="178" t="s">
        <v>311</v>
      </c>
      <c r="H6" s="635">
        <f>H4/ÚltimoPreço-1</f>
        <v>1.5403178225596492</v>
      </c>
    </row>
    <row r="7" spans="2:20" x14ac:dyDescent="0.3">
      <c r="B7" s="178" t="s">
        <v>280</v>
      </c>
      <c r="C7" s="171" t="s">
        <v>506</v>
      </c>
    </row>
    <row r="10" spans="2:20" ht="15" thickBot="1" x14ac:dyDescent="0.35">
      <c r="E10" s="211" t="s">
        <v>264</v>
      </c>
      <c r="F10" s="210" t="s">
        <v>266</v>
      </c>
      <c r="G10">
        <f>IF($F$10="Base",1,IF($F$10="Pessimista",2,IF($F$10="Otimista",3,"erro")))</f>
        <v>1</v>
      </c>
    </row>
    <row r="11" spans="2:20" x14ac:dyDescent="0.3">
      <c r="B11" s="198"/>
      <c r="C11" s="199"/>
      <c r="D11" s="200"/>
      <c r="E11" s="195" t="s">
        <v>266</v>
      </c>
      <c r="F11" s="195" t="s">
        <v>267</v>
      </c>
      <c r="G11" s="195" t="s">
        <v>265</v>
      </c>
      <c r="H11" s="196" t="s">
        <v>269</v>
      </c>
    </row>
    <row r="12" spans="2:20" x14ac:dyDescent="0.3">
      <c r="B12" s="197"/>
      <c r="C12" s="167"/>
      <c r="D12" s="194" t="s">
        <v>513</v>
      </c>
      <c r="E12" s="212">
        <v>-0.18</v>
      </c>
      <c r="F12" s="213">
        <v>-0.2</v>
      </c>
      <c r="G12" s="213">
        <v>-0.16</v>
      </c>
      <c r="H12" s="217">
        <f>CHOOSE(Cenário,E12,F12,G12)</f>
        <v>-0.18</v>
      </c>
    </row>
    <row r="13" spans="2:20" x14ac:dyDescent="0.3">
      <c r="B13" s="197"/>
      <c r="C13" s="167"/>
      <c r="D13" s="194" t="s">
        <v>514</v>
      </c>
      <c r="E13" s="214">
        <v>-0.42</v>
      </c>
      <c r="F13" s="214">
        <v>-0.48</v>
      </c>
      <c r="G13" s="214">
        <v>-0.39</v>
      </c>
      <c r="H13" s="218">
        <f>CHOOSE(Cenário,E13,F13,G13)</f>
        <v>-0.42</v>
      </c>
    </row>
    <row r="14" spans="2:20" ht="15" thickBot="1" x14ac:dyDescent="0.35">
      <c r="B14" s="654" t="s">
        <v>268</v>
      </c>
      <c r="C14" s="655"/>
      <c r="D14" s="656"/>
      <c r="E14" s="215">
        <v>1</v>
      </c>
      <c r="F14" s="216">
        <v>0.5</v>
      </c>
      <c r="G14" s="216">
        <v>1.5</v>
      </c>
      <c r="H14" s="219">
        <f>CHOOSE(Cenário,E14,F14,G14)</f>
        <v>1</v>
      </c>
      <c r="P14" s="31" t="s">
        <v>518</v>
      </c>
      <c r="R14" t="s">
        <v>516</v>
      </c>
      <c r="S14" t="s">
        <v>517</v>
      </c>
      <c r="T14" t="s">
        <v>519</v>
      </c>
    </row>
    <row r="15" spans="2:20" x14ac:dyDescent="0.3">
      <c r="P15" s="65" t="s">
        <v>78</v>
      </c>
      <c r="R15" s="28">
        <f>Premissas!M186</f>
        <v>9.393321437675245E-2</v>
      </c>
      <c r="S15" s="652">
        <f>Premissas!BD186</f>
        <v>7.466722279840024E-2</v>
      </c>
      <c r="T15" s="28">
        <v>0.09</v>
      </c>
    </row>
    <row r="16" spans="2:20" x14ac:dyDescent="0.3">
      <c r="P16" s="65" t="s">
        <v>486</v>
      </c>
      <c r="R16" s="28"/>
      <c r="S16" s="652">
        <f>Premissas!BD187</f>
        <v>0.1502896147439243</v>
      </c>
      <c r="T16" s="28">
        <v>0.15</v>
      </c>
    </row>
    <row r="17" spans="2:20" x14ac:dyDescent="0.3">
      <c r="P17" s="634" t="s">
        <v>448</v>
      </c>
      <c r="R17" s="28">
        <f>Premissas!N188</f>
        <v>4.4684129429892222E-2</v>
      </c>
      <c r="S17" s="652">
        <f>Premissas!BD188</f>
        <v>0.12311321957927442</v>
      </c>
      <c r="T17" s="28">
        <v>0.12</v>
      </c>
    </row>
    <row r="18" spans="2:20" x14ac:dyDescent="0.3">
      <c r="B18" s="202" t="s">
        <v>284</v>
      </c>
      <c r="C18" s="202"/>
      <c r="D18" s="203">
        <v>2018</v>
      </c>
      <c r="E18" s="203">
        <v>2019</v>
      </c>
      <c r="F18" s="203">
        <v>2020</v>
      </c>
      <c r="G18" s="203">
        <v>2021</v>
      </c>
      <c r="H18" s="204">
        <v>2022</v>
      </c>
      <c r="P18" s="634" t="s">
        <v>487</v>
      </c>
      <c r="R18" s="28">
        <f>Premissas!M189</f>
        <v>0.14585188182921899</v>
      </c>
      <c r="S18" s="652">
        <f>Premissas!BD189</f>
        <v>0.15312428454502688</v>
      </c>
      <c r="T18" s="28">
        <v>0.16</v>
      </c>
    </row>
    <row r="19" spans="2:20" x14ac:dyDescent="0.3">
      <c r="B19" s="155" t="s">
        <v>86</v>
      </c>
      <c r="C19" s="155"/>
      <c r="D19" s="181">
        <f>Modelo!N78</f>
        <v>2255.319</v>
      </c>
      <c r="E19" s="181">
        <f>Modelo!O78</f>
        <v>2401.550365849745</v>
      </c>
      <c r="F19" s="181">
        <f>Modelo!P78</f>
        <v>2515.5207749701899</v>
      </c>
      <c r="G19" s="181">
        <f>Modelo!Q78</f>
        <v>2654.5264122566573</v>
      </c>
      <c r="H19" s="182">
        <f>Modelo!R78</f>
        <v>2802.7751898856236</v>
      </c>
    </row>
    <row r="20" spans="2:20" x14ac:dyDescent="0.3">
      <c r="B20" s="220" t="s">
        <v>89</v>
      </c>
      <c r="C20" s="220"/>
      <c r="D20" s="221">
        <f>Modelo!N116</f>
        <v>244.52400000000017</v>
      </c>
      <c r="E20" s="221">
        <f>Modelo!O116</f>
        <v>337.83138263281234</v>
      </c>
      <c r="F20" s="221">
        <f>Modelo!P116</f>
        <v>345.82306154437811</v>
      </c>
      <c r="G20" s="221">
        <f>Modelo!Q116</f>
        <v>367.13092994440473</v>
      </c>
      <c r="H20" s="222">
        <f>Modelo!R116</f>
        <v>393.18825984823377</v>
      </c>
    </row>
    <row r="21" spans="2:20" x14ac:dyDescent="0.3">
      <c r="B21" s="157" t="s">
        <v>159</v>
      </c>
      <c r="C21" s="157"/>
      <c r="D21" s="185">
        <f>Modelo!N93</f>
        <v>7.4830000000001817</v>
      </c>
      <c r="E21" s="185">
        <f>Modelo!O93</f>
        <v>87.513944052653954</v>
      </c>
      <c r="F21" s="185">
        <f>Modelo!P93</f>
        <v>102.36904771899879</v>
      </c>
      <c r="G21" s="185">
        <f>Modelo!Q93</f>
        <v>123.55907609009607</v>
      </c>
      <c r="H21" s="186">
        <f>Modelo!R93</f>
        <v>148.91671936906818</v>
      </c>
    </row>
    <row r="23" spans="2:20" x14ac:dyDescent="0.3">
      <c r="B23" s="202" t="s">
        <v>205</v>
      </c>
      <c r="C23" s="202"/>
      <c r="D23" s="203">
        <f>D$18</f>
        <v>2018</v>
      </c>
      <c r="E23" s="203">
        <f>E$18</f>
        <v>2019</v>
      </c>
      <c r="F23" s="203">
        <f>F$18</f>
        <v>2020</v>
      </c>
      <c r="G23" s="203">
        <f>G$18</f>
        <v>2021</v>
      </c>
      <c r="H23" s="204">
        <f>H$18</f>
        <v>2022</v>
      </c>
    </row>
    <row r="24" spans="2:20" x14ac:dyDescent="0.3">
      <c r="B24" s="155" t="s">
        <v>285</v>
      </c>
      <c r="C24" s="155"/>
      <c r="D24" s="102">
        <f>Modelo!N136</f>
        <v>2.5753458301401411E-2</v>
      </c>
      <c r="E24" s="102">
        <f>Modelo!O136</f>
        <v>6.4838440083085924E-2</v>
      </c>
      <c r="F24" s="102">
        <f>Modelo!P136</f>
        <v>4.7457013911144319E-2</v>
      </c>
      <c r="G24" s="102">
        <f>Modelo!Q136</f>
        <v>5.5259188741191956E-2</v>
      </c>
      <c r="H24" s="156">
        <f>Modelo!R136</f>
        <v>5.5847542877879075E-2</v>
      </c>
    </row>
    <row r="25" spans="2:20" x14ac:dyDescent="0.3">
      <c r="B25" s="220" t="s">
        <v>206</v>
      </c>
      <c r="C25" s="220"/>
      <c r="D25" s="223">
        <f>Modelo!N137</f>
        <v>3.5198938992042406E-2</v>
      </c>
      <c r="E25" s="223">
        <f>Modelo!O137</f>
        <v>2.1547821610829354E-2</v>
      </c>
      <c r="F25" s="223">
        <f>Modelo!P137</f>
        <v>5.0866214603250137E-2</v>
      </c>
      <c r="G25" s="223">
        <f>Modelo!Q137</f>
        <v>5.0864281418333768E-2</v>
      </c>
      <c r="H25" s="224">
        <f>Modelo!R137</f>
        <v>5.1494936472653574E-2</v>
      </c>
    </row>
    <row r="26" spans="2:20" x14ac:dyDescent="0.3">
      <c r="B26" s="157" t="s">
        <v>286</v>
      </c>
      <c r="C26" s="157"/>
      <c r="D26" s="158">
        <f>Modelo!N138</f>
        <v>-0.65394931557528224</v>
      </c>
      <c r="E26" s="158">
        <f>Modelo!O138</f>
        <v>10.695034618822909</v>
      </c>
      <c r="F26" s="158">
        <f>Modelo!P138</f>
        <v>0.16974556257465734</v>
      </c>
      <c r="G26" s="158">
        <f>Modelo!Q138</f>
        <v>0.20699643928762068</v>
      </c>
      <c r="H26" s="159">
        <f>Modelo!R138</f>
        <v>0.20522687674098483</v>
      </c>
    </row>
    <row r="28" spans="2:20" x14ac:dyDescent="0.3">
      <c r="B28" s="202" t="s">
        <v>226</v>
      </c>
      <c r="C28" s="202"/>
      <c r="D28" s="203">
        <f>D$18</f>
        <v>2018</v>
      </c>
      <c r="E28" s="203">
        <f>E$18</f>
        <v>2019</v>
      </c>
      <c r="F28" s="203">
        <f>F$18</f>
        <v>2020</v>
      </c>
      <c r="G28" s="203">
        <f>G$18</f>
        <v>2021</v>
      </c>
      <c r="H28" s="204">
        <f>H$18</f>
        <v>2022</v>
      </c>
    </row>
    <row r="29" spans="2:20" x14ac:dyDescent="0.3">
      <c r="B29" s="155" t="s">
        <v>227</v>
      </c>
      <c r="C29" s="155"/>
      <c r="D29" s="206">
        <f>Modelo!N166</f>
        <v>80.181745289320517</v>
      </c>
      <c r="E29" s="206">
        <f>Modelo!O166</f>
        <v>6.8560502728456836</v>
      </c>
      <c r="F29" s="206">
        <f>Modelo!P166</f>
        <v>5.8611466392360052</v>
      </c>
      <c r="G29" s="206">
        <f>Modelo!Q166</f>
        <v>4.8559767439705972</v>
      </c>
      <c r="H29" s="207">
        <f>Modelo!R166</f>
        <v>4.0290976227658382</v>
      </c>
    </row>
    <row r="30" spans="2:20" x14ac:dyDescent="0.3">
      <c r="B30" s="220" t="s">
        <v>228</v>
      </c>
      <c r="C30" s="220"/>
      <c r="D30" s="225">
        <f>Modelo!N167</f>
        <v>0.51697754249555383</v>
      </c>
      <c r="E30" s="225">
        <f>Modelo!O167</f>
        <v>0.48072842122021625</v>
      </c>
      <c r="F30" s="225">
        <f>Modelo!P167</f>
        <v>0.44428812355338443</v>
      </c>
      <c r="G30" s="225">
        <f>Modelo!Q167</f>
        <v>0.4070462230702489</v>
      </c>
      <c r="H30" s="226">
        <f>Modelo!R167</f>
        <v>0.36969697708687671</v>
      </c>
    </row>
    <row r="31" spans="2:20" x14ac:dyDescent="0.3">
      <c r="B31" s="155" t="s">
        <v>229</v>
      </c>
      <c r="C31" s="155"/>
      <c r="D31" s="206">
        <f>Modelo!N168</f>
        <v>0.26603775341758745</v>
      </c>
      <c r="E31" s="206">
        <f>Modelo!O168</f>
        <v>0.24983860781437364</v>
      </c>
      <c r="F31" s="206">
        <f>Modelo!P168</f>
        <v>0.23851919887527476</v>
      </c>
      <c r="G31" s="206">
        <f>Modelo!Q168</f>
        <v>0.22602901867151887</v>
      </c>
      <c r="H31" s="207">
        <f>Modelo!R168</f>
        <v>0.21407353760131043</v>
      </c>
    </row>
    <row r="32" spans="2:20" x14ac:dyDescent="0.3">
      <c r="B32" s="220" t="s">
        <v>230</v>
      </c>
      <c r="C32" s="220"/>
      <c r="D32" s="225">
        <f>Modelo!N169</f>
        <v>6.0969352701575152</v>
      </c>
      <c r="E32" s="225">
        <f>Modelo!O169</f>
        <v>4.2182144712337761</v>
      </c>
      <c r="F32" s="225">
        <f>Modelo!P169</f>
        <v>3.9882666405445586</v>
      </c>
      <c r="G32" s="225">
        <f>Modelo!Q169</f>
        <v>3.6121759644933293</v>
      </c>
      <c r="H32" s="226">
        <f>Modelo!R169</f>
        <v>3.1639264408918844</v>
      </c>
    </row>
    <row r="33" spans="2:8" x14ac:dyDescent="0.3">
      <c r="B33" s="155" t="s">
        <v>231</v>
      </c>
      <c r="C33" s="155"/>
      <c r="D33" s="206">
        <f>Modelo!N170</f>
        <v>8.7943123097614411</v>
      </c>
      <c r="E33" s="206">
        <f>Modelo!O170</f>
        <v>5.3932159828478898</v>
      </c>
      <c r="F33" s="206">
        <f>Modelo!P170</f>
        <v>5.0687670045401596</v>
      </c>
      <c r="G33" s="206">
        <f>Modelo!Q170</f>
        <v>4.5276529717604124</v>
      </c>
      <c r="H33" s="207">
        <f>Modelo!R170</f>
        <v>3.9117806845656466</v>
      </c>
    </row>
    <row r="34" spans="2:8" x14ac:dyDescent="0.3">
      <c r="B34" s="220" t="s">
        <v>232</v>
      </c>
      <c r="C34" s="220"/>
      <c r="D34" s="223">
        <f>Modelo!N171</f>
        <v>0</v>
      </c>
      <c r="E34" s="223">
        <f>Modelo!O171</f>
        <v>0</v>
      </c>
      <c r="F34" s="223">
        <f>Modelo!P171</f>
        <v>0</v>
      </c>
      <c r="G34" s="223">
        <f>Modelo!Q171</f>
        <v>0</v>
      </c>
      <c r="H34" s="224">
        <f>Modelo!R171</f>
        <v>0</v>
      </c>
    </row>
    <row r="35" spans="2:8" x14ac:dyDescent="0.3">
      <c r="B35" s="155" t="s">
        <v>234</v>
      </c>
      <c r="C35" s="155"/>
      <c r="D35" s="102">
        <f>Modelo!N172</f>
        <v>-6.5853333333333056E-2</v>
      </c>
      <c r="E35" s="102">
        <f>Modelo!O172</f>
        <v>8.765930185447128E-2</v>
      </c>
      <c r="F35" s="102">
        <f>Modelo!P172</f>
        <v>7.7522198803433848E-2</v>
      </c>
      <c r="G35" s="102">
        <f>Modelo!Q172</f>
        <v>9.0330767753275587E-2</v>
      </c>
      <c r="H35" s="156">
        <f>Modelo!R172</f>
        <v>0.13902656269940403</v>
      </c>
    </row>
    <row r="36" spans="2:8" x14ac:dyDescent="0.3">
      <c r="B36" s="220" t="s">
        <v>235</v>
      </c>
      <c r="C36" s="220"/>
      <c r="D36" s="223">
        <f>Modelo!N173</f>
        <v>0.11956894302366383</v>
      </c>
      <c r="E36" s="223">
        <f>Modelo!O173</f>
        <v>0.14592791699941388</v>
      </c>
      <c r="F36" s="223">
        <f>Modelo!P173</f>
        <v>0.1387641396216443</v>
      </c>
      <c r="G36" s="223">
        <f>Modelo!Q173</f>
        <v>0.14591364657018818</v>
      </c>
      <c r="H36" s="224">
        <f>Modelo!R173</f>
        <v>0.17372431448270509</v>
      </c>
    </row>
    <row r="37" spans="2:8" x14ac:dyDescent="0.3">
      <c r="B37" s="157" t="s">
        <v>283</v>
      </c>
      <c r="C37" s="157"/>
      <c r="D37" s="208">
        <f>Modelo!N174</f>
        <v>3.5256680355463803E-2</v>
      </c>
      <c r="E37" s="208">
        <f>Modelo!O174</f>
        <v>3.2515106864368891E-2</v>
      </c>
      <c r="F37" s="208">
        <f>Modelo!P174</f>
        <v>0.61858977899987944</v>
      </c>
      <c r="G37" s="208">
        <f>Modelo!Q174</f>
        <v>0.65485916811959743</v>
      </c>
      <c r="H37" s="209">
        <f>Modelo!R174</f>
        <v>1.0888568506137564</v>
      </c>
    </row>
    <row r="39" spans="2:8" x14ac:dyDescent="0.3">
      <c r="B39" s="202" t="s">
        <v>221</v>
      </c>
      <c r="C39" s="202"/>
      <c r="D39" s="203">
        <f>D$18</f>
        <v>2018</v>
      </c>
      <c r="E39" s="203">
        <f>E$18</f>
        <v>2019</v>
      </c>
      <c r="F39" s="203">
        <f>F$18</f>
        <v>2020</v>
      </c>
      <c r="G39" s="203">
        <f>G$18</f>
        <v>2021</v>
      </c>
      <c r="H39" s="204">
        <f>H$18</f>
        <v>2022</v>
      </c>
    </row>
    <row r="40" spans="2:8" x14ac:dyDescent="0.3">
      <c r="B40" s="155" t="s">
        <v>222</v>
      </c>
      <c r="C40" s="155"/>
      <c r="D40" s="102">
        <f>Modelo!N148</f>
        <v>6.4785102283496775E-3</v>
      </c>
      <c r="E40" s="102">
        <f>Modelo!O148</f>
        <v>7.2664938556314784E-2</v>
      </c>
      <c r="F40" s="102">
        <f>Modelo!P148</f>
        <v>7.8788423564360402E-2</v>
      </c>
      <c r="G40" s="102">
        <f>Modelo!Q148</f>
        <v>8.7490656592996041E-2</v>
      </c>
      <c r="H40" s="156">
        <f>Modelo!R148</f>
        <v>9.6168839265839537E-2</v>
      </c>
    </row>
    <row r="41" spans="2:8" x14ac:dyDescent="0.3">
      <c r="B41" s="220" t="s">
        <v>223</v>
      </c>
      <c r="C41" s="220"/>
      <c r="D41" s="223">
        <f>Modelo!N149</f>
        <v>2.6434625084386198E-3</v>
      </c>
      <c r="E41" s="223">
        <f>Modelo!O149</f>
        <v>2.9412559121046681E-2</v>
      </c>
      <c r="F41" s="223">
        <f>Modelo!P149</f>
        <v>3.3331883636609647E-2</v>
      </c>
      <c r="G41" s="223">
        <f>Modelo!Q149</f>
        <v>3.8602197082292559E-2</v>
      </c>
      <c r="H41" s="224">
        <f>Modelo!R149</f>
        <v>4.4491086045619292E-2</v>
      </c>
    </row>
    <row r="42" spans="2:8" x14ac:dyDescent="0.3">
      <c r="B42" s="155" t="s">
        <v>224</v>
      </c>
      <c r="C42" s="155"/>
      <c r="D42" s="102">
        <f>Modelo!N150</f>
        <v>7.5349214644061149E-2</v>
      </c>
      <c r="E42" s="102">
        <f>Modelo!O150</f>
        <v>0.11596063617250162</v>
      </c>
      <c r="F42" s="102">
        <f>Modelo!P150</f>
        <v>0.11538930138535301</v>
      </c>
      <c r="G42" s="102">
        <f>Modelo!Q150</f>
        <v>0.11918611269936434</v>
      </c>
      <c r="H42" s="156">
        <f>Modelo!R150</f>
        <v>0.12464199818387754</v>
      </c>
    </row>
    <row r="43" spans="2:8" x14ac:dyDescent="0.3">
      <c r="B43" s="220" t="s">
        <v>225</v>
      </c>
      <c r="C43" s="220"/>
      <c r="D43" s="223">
        <f>Modelo!N151</f>
        <v>6.6067812223206443E-2</v>
      </c>
      <c r="E43" s="223">
        <f>Modelo!O151</f>
        <v>0.10183148149286871</v>
      </c>
      <c r="F43" s="223">
        <f>Modelo!P151</f>
        <v>0.10156347553229622</v>
      </c>
      <c r="G43" s="223">
        <f>Modelo!Q151</f>
        <v>0.10518487913903013</v>
      </c>
      <c r="H43" s="224">
        <f>Modelo!R151</f>
        <v>0.1102564935634934</v>
      </c>
    </row>
    <row r="44" spans="2:8" x14ac:dyDescent="0.3">
      <c r="B44" s="187" t="s">
        <v>270</v>
      </c>
      <c r="C44" s="187"/>
      <c r="D44" s="158">
        <f>Modelo!N152</f>
        <v>5.784563908553951E-2</v>
      </c>
      <c r="E44" s="158">
        <f>Modelo!O152</f>
        <v>8.9473894146263569E-2</v>
      </c>
      <c r="F44" s="158">
        <f>Modelo!P152</f>
        <v>8.9720267329901821E-2</v>
      </c>
      <c r="G44" s="158">
        <f>Modelo!Q152</f>
        <v>9.3503991656040286E-2</v>
      </c>
      <c r="H44" s="159">
        <f>Modelo!R152</f>
        <v>9.8556819482509453E-2</v>
      </c>
    </row>
  </sheetData>
  <mergeCells count="1">
    <mergeCell ref="B14:D14"/>
  </mergeCells>
  <dataValidations count="1">
    <dataValidation type="list" allowBlank="1" showInputMessage="1" showErrorMessage="1" errorTitle="Opção inválida!" error="Escolha entre &quot;otimista&quot;,&quot;Base&quot; ou &quot;pessimista&quot;" sqref="F10">
      <formula1>$E$11:$G$11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3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23" sqref="N23"/>
    </sheetView>
  </sheetViews>
  <sheetFormatPr defaultRowHeight="14.4" x14ac:dyDescent="0.3"/>
  <cols>
    <col min="1" max="1" width="3.33203125" customWidth="1"/>
    <col min="2" max="2" width="44.109375" customWidth="1"/>
    <col min="3" max="3" width="8.88671875" customWidth="1"/>
    <col min="4" max="6" width="10.5546875" bestFit="1" customWidth="1"/>
    <col min="14" max="14" width="8.88671875" customWidth="1"/>
  </cols>
  <sheetData>
    <row r="1" spans="1:54" x14ac:dyDescent="0.3">
      <c r="A1" s="5"/>
      <c r="B1" s="5"/>
      <c r="C1" s="5"/>
      <c r="D1" s="5">
        <v>2008</v>
      </c>
      <c r="E1" s="5">
        <v>2009</v>
      </c>
      <c r="F1" s="5">
        <v>2010</v>
      </c>
      <c r="G1" s="5">
        <v>2011</v>
      </c>
      <c r="H1" s="5">
        <v>2012</v>
      </c>
      <c r="I1" s="5">
        <v>2013</v>
      </c>
      <c r="J1" s="5">
        <v>2014</v>
      </c>
      <c r="K1" s="5">
        <v>2015</v>
      </c>
      <c r="L1" s="5">
        <v>2016</v>
      </c>
      <c r="M1" s="5">
        <v>2017</v>
      </c>
      <c r="N1" s="5">
        <v>2018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13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</row>
    <row r="2" spans="1:54" x14ac:dyDescent="0.3">
      <c r="A2" s="5"/>
      <c r="B2" s="5" t="s">
        <v>503</v>
      </c>
      <c r="C2" s="5"/>
      <c r="D2" s="5"/>
      <c r="E2" s="5"/>
      <c r="F2" s="5"/>
      <c r="G2" s="5">
        <v>143647</v>
      </c>
      <c r="H2" s="5">
        <v>200000</v>
      </c>
      <c r="I2" s="5">
        <v>200000</v>
      </c>
      <c r="J2" s="5">
        <v>200000</v>
      </c>
      <c r="K2" s="5">
        <v>50000</v>
      </c>
      <c r="L2" s="5">
        <v>50000</v>
      </c>
      <c r="M2" s="5">
        <v>50000</v>
      </c>
      <c r="N2" s="5">
        <v>50000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13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</row>
    <row r="3" spans="1:54" x14ac:dyDescent="0.3">
      <c r="A3" s="5"/>
      <c r="B3" s="5" t="s">
        <v>504</v>
      </c>
      <c r="C3" s="5"/>
      <c r="D3" s="5"/>
      <c r="E3" s="5"/>
      <c r="F3" s="5"/>
      <c r="G3" s="5">
        <v>12.47</v>
      </c>
      <c r="H3" s="5">
        <v>11.64</v>
      </c>
      <c r="I3" s="5">
        <v>7.12</v>
      </c>
      <c r="J3" s="5">
        <v>2.56</v>
      </c>
      <c r="K3" s="5">
        <v>2.89</v>
      </c>
      <c r="L3" s="5">
        <v>4.25</v>
      </c>
      <c r="M3" s="5">
        <v>10.81</v>
      </c>
      <c r="N3" s="5">
        <v>6.9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13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4" spans="1:54" ht="18" x14ac:dyDescent="0.35">
      <c r="A4" s="11"/>
      <c r="B4" s="4"/>
      <c r="C4" s="4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5"/>
      <c r="BB4" s="5"/>
    </row>
    <row r="5" spans="1:54" x14ac:dyDescent="0.3">
      <c r="A5" s="10"/>
      <c r="B5" s="4"/>
      <c r="C5" s="4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13"/>
      <c r="AR5" s="7"/>
      <c r="AS5" s="7"/>
      <c r="AT5" s="7"/>
      <c r="AU5" s="7"/>
      <c r="AV5" s="7"/>
      <c r="AW5" s="7"/>
      <c r="AX5" s="7"/>
      <c r="AY5" s="7"/>
      <c r="AZ5" s="7"/>
      <c r="BA5" s="5"/>
      <c r="BB5" s="5"/>
    </row>
    <row r="6" spans="1:54" x14ac:dyDescent="0.3">
      <c r="A6" s="8"/>
      <c r="B6" s="4"/>
      <c r="C6" s="4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4"/>
      <c r="AR6" s="9"/>
      <c r="AS6" s="9"/>
      <c r="AT6" s="9"/>
      <c r="AU6" s="9"/>
      <c r="AV6" s="9"/>
      <c r="AW6" s="9"/>
      <c r="AX6" s="9"/>
      <c r="AY6" s="9"/>
      <c r="AZ6" s="9"/>
      <c r="BA6" s="5"/>
      <c r="BB6" s="5"/>
    </row>
    <row r="8" spans="1:54" x14ac:dyDescent="0.3">
      <c r="B8" s="657" t="s">
        <v>312</v>
      </c>
      <c r="G8" s="658">
        <v>40908</v>
      </c>
      <c r="H8" s="660">
        <v>2012</v>
      </c>
      <c r="I8" s="660">
        <v>2013</v>
      </c>
      <c r="J8" s="660">
        <v>2014</v>
      </c>
      <c r="K8" s="493">
        <v>2015</v>
      </c>
      <c r="L8" s="493">
        <v>2016</v>
      </c>
      <c r="M8" s="493">
        <v>2017</v>
      </c>
      <c r="N8" s="494" t="s">
        <v>313</v>
      </c>
    </row>
    <row r="9" spans="1:54" x14ac:dyDescent="0.3">
      <c r="B9" s="657"/>
      <c r="G9" s="659"/>
      <c r="H9" s="661"/>
      <c r="I9" s="661"/>
      <c r="J9" s="661"/>
      <c r="K9" s="495"/>
      <c r="L9" s="495"/>
      <c r="M9" s="495"/>
      <c r="N9" s="496"/>
    </row>
    <row r="10" spans="1:54" x14ac:dyDescent="0.3">
      <c r="B10" s="292" t="s">
        <v>314</v>
      </c>
      <c r="G10" s="293">
        <v>1772</v>
      </c>
      <c r="H10" s="294">
        <v>2088.3000000000002</v>
      </c>
      <c r="I10" s="294">
        <v>2518.8000000000002</v>
      </c>
      <c r="J10" s="294">
        <v>2573.6999999999998</v>
      </c>
      <c r="K10" s="293">
        <v>2707.3090000000002</v>
      </c>
      <c r="L10" s="293">
        <v>2817.9110000000001</v>
      </c>
      <c r="M10" s="293">
        <v>2687.2339999999999</v>
      </c>
      <c r="N10" s="295">
        <v>2714.8799999999997</v>
      </c>
    </row>
    <row r="11" spans="1:54" x14ac:dyDescent="0.3">
      <c r="B11" s="296" t="s">
        <v>315</v>
      </c>
      <c r="G11" s="297">
        <v>-364.2</v>
      </c>
      <c r="H11" s="298">
        <v>-405.4</v>
      </c>
      <c r="I11" s="298">
        <v>-475.8</v>
      </c>
      <c r="J11" s="298">
        <v>-481.7</v>
      </c>
      <c r="K11" s="297">
        <v>-440.2140000000004</v>
      </c>
      <c r="L11" s="297">
        <v>-506.63999999999987</v>
      </c>
      <c r="M11" s="297">
        <v>-488.53899999999976</v>
      </c>
      <c r="N11" s="297">
        <v>-459.56099999999958</v>
      </c>
    </row>
    <row r="12" spans="1:54" x14ac:dyDescent="0.3">
      <c r="B12" s="292" t="s">
        <v>316</v>
      </c>
      <c r="G12" s="293">
        <v>1407.8</v>
      </c>
      <c r="H12" s="294">
        <v>1682.9</v>
      </c>
      <c r="I12" s="294">
        <v>2043.0000000000002</v>
      </c>
      <c r="J12" s="294">
        <v>2092</v>
      </c>
      <c r="K12" s="293">
        <v>2267.0949999999998</v>
      </c>
      <c r="L12" s="293">
        <v>2311.2710000000002</v>
      </c>
      <c r="M12" s="293">
        <v>2198.6950000000002</v>
      </c>
      <c r="N12" s="295">
        <v>2255.3190000000004</v>
      </c>
    </row>
    <row r="13" spans="1:54" x14ac:dyDescent="0.3">
      <c r="B13" s="299" t="s">
        <v>317</v>
      </c>
      <c r="G13" s="300">
        <v>-1062.8999999999999</v>
      </c>
      <c r="H13" s="301">
        <v>-1280.9000000000001</v>
      </c>
      <c r="I13" s="301">
        <v>-1561.3</v>
      </c>
      <c r="J13" s="301">
        <v>-1542.3</v>
      </c>
      <c r="K13" s="300">
        <v>-1657.135</v>
      </c>
      <c r="L13" s="300">
        <v>-1692.3009999999999</v>
      </c>
      <c r="M13" s="300">
        <v>-1621.136</v>
      </c>
      <c r="N13" s="302">
        <v>-1678.1669999999999</v>
      </c>
    </row>
    <row r="14" spans="1:54" x14ac:dyDescent="0.3">
      <c r="B14" s="303" t="s">
        <v>318</v>
      </c>
      <c r="G14" s="304">
        <v>-654.5</v>
      </c>
      <c r="H14" s="305">
        <v>-805.9</v>
      </c>
      <c r="I14" s="305">
        <v>-997.9</v>
      </c>
      <c r="J14" s="305">
        <v>-956.1</v>
      </c>
      <c r="K14" s="304">
        <v>-1044.8</v>
      </c>
      <c r="L14" s="304">
        <v>-1065.7</v>
      </c>
      <c r="M14" s="304">
        <v>-979.1</v>
      </c>
      <c r="N14" s="306">
        <v>-1033.6000000000001</v>
      </c>
    </row>
    <row r="15" spans="1:54" x14ac:dyDescent="0.3">
      <c r="B15" s="303" t="s">
        <v>319</v>
      </c>
      <c r="G15" s="304">
        <v>-336.3</v>
      </c>
      <c r="H15" s="305">
        <v>-405.3</v>
      </c>
      <c r="I15" s="305">
        <v>-493.2</v>
      </c>
      <c r="J15" s="305">
        <v>-506.9</v>
      </c>
      <c r="K15" s="304">
        <v>-539.79999999999995</v>
      </c>
      <c r="L15" s="304">
        <v>-554.9</v>
      </c>
      <c r="M15" s="304">
        <v>-574.20000000000005</v>
      </c>
      <c r="N15" s="306">
        <v>-575.5</v>
      </c>
    </row>
    <row r="16" spans="1:54" x14ac:dyDescent="0.3">
      <c r="B16" s="303" t="s">
        <v>320</v>
      </c>
      <c r="G16" s="304">
        <v>-72.099999999999994</v>
      </c>
      <c r="H16" s="305">
        <v>-69.7</v>
      </c>
      <c r="I16" s="305">
        <v>-70.2</v>
      </c>
      <c r="J16" s="305">
        <v>-79.3</v>
      </c>
      <c r="K16" s="304">
        <v>-72.400000000000006</v>
      </c>
      <c r="L16" s="304">
        <v>-71.7</v>
      </c>
      <c r="M16" s="304">
        <v>-67.8</v>
      </c>
      <c r="N16" s="306">
        <v>-69</v>
      </c>
    </row>
    <row r="17" spans="2:14" x14ac:dyDescent="0.3">
      <c r="B17" s="292" t="s">
        <v>87</v>
      </c>
      <c r="G17" s="293">
        <v>344.90000000000009</v>
      </c>
      <c r="H17" s="294">
        <v>402</v>
      </c>
      <c r="I17" s="294">
        <v>481.8</v>
      </c>
      <c r="J17" s="294">
        <v>549.70000000000005</v>
      </c>
      <c r="K17" s="293">
        <v>609.95999999999981</v>
      </c>
      <c r="L17" s="293">
        <v>618.97000000000025</v>
      </c>
      <c r="M17" s="293">
        <v>577.5590000000002</v>
      </c>
      <c r="N17" s="295">
        <v>577.15200000000016</v>
      </c>
    </row>
    <row r="18" spans="2:14" x14ac:dyDescent="0.3">
      <c r="B18" s="307" t="s">
        <v>96</v>
      </c>
      <c r="G18" s="308">
        <v>0.2449921863901123</v>
      </c>
      <c r="H18" s="309">
        <v>0.23887337334363301</v>
      </c>
      <c r="I18" s="309">
        <v>0.2358296622613803</v>
      </c>
      <c r="J18" s="309">
        <v>0.26276290630975147</v>
      </c>
      <c r="K18" s="308">
        <v>0.26904915762241982</v>
      </c>
      <c r="L18" s="308">
        <v>0.26780503021930369</v>
      </c>
      <c r="M18" s="308">
        <v>0.26268263674588799</v>
      </c>
      <c r="N18" s="310">
        <v>0.25590703576744578</v>
      </c>
    </row>
    <row r="19" spans="2:14" x14ac:dyDescent="0.3">
      <c r="B19" s="311" t="s">
        <v>321</v>
      </c>
      <c r="G19" s="304">
        <v>-282.59999999999997</v>
      </c>
      <c r="H19" s="305">
        <v>-288.3</v>
      </c>
      <c r="I19" s="305">
        <v>-418.2</v>
      </c>
      <c r="J19" s="305">
        <v>-446</v>
      </c>
      <c r="K19" s="304">
        <v>-455.62300000000005</v>
      </c>
      <c r="L19" s="304">
        <v>-430.89099999999996</v>
      </c>
      <c r="M19" s="304">
        <v>-396.66399999999999</v>
      </c>
      <c r="N19" s="306">
        <v>-407.57899999999995</v>
      </c>
    </row>
    <row r="20" spans="2:14" x14ac:dyDescent="0.3">
      <c r="B20" s="312" t="s">
        <v>322</v>
      </c>
      <c r="G20" s="304">
        <v>-179.9</v>
      </c>
      <c r="H20" s="305">
        <v>-243.3</v>
      </c>
      <c r="I20" s="305">
        <v>-299.89999999999998</v>
      </c>
      <c r="J20" s="305">
        <v>-303.89999999999998</v>
      </c>
      <c r="K20" s="304">
        <v>-294.79500000000002</v>
      </c>
      <c r="L20" s="304">
        <v>-280.66399999999999</v>
      </c>
      <c r="M20" s="304">
        <v>-272.81599999999997</v>
      </c>
      <c r="N20" s="306">
        <v>-274.69499999999999</v>
      </c>
    </row>
    <row r="21" spans="2:14" x14ac:dyDescent="0.3">
      <c r="B21" s="312" t="s">
        <v>323</v>
      </c>
      <c r="G21" s="304">
        <v>-102.5</v>
      </c>
      <c r="H21" s="305">
        <v>-111</v>
      </c>
      <c r="I21" s="305">
        <v>-125.6</v>
      </c>
      <c r="J21" s="305">
        <v>-133.5</v>
      </c>
      <c r="K21" s="304">
        <v>-148.72200000000001</v>
      </c>
      <c r="L21" s="304">
        <v>-145.386</v>
      </c>
      <c r="M21" s="304">
        <v>-142.44400000000002</v>
      </c>
      <c r="N21" s="306">
        <v>-152.19400000000002</v>
      </c>
    </row>
    <row r="22" spans="2:14" x14ac:dyDescent="0.3">
      <c r="B22" s="312" t="s">
        <v>324</v>
      </c>
      <c r="G22" s="304">
        <v>-0.2</v>
      </c>
      <c r="H22" s="305">
        <v>66</v>
      </c>
      <c r="I22" s="305">
        <v>7.3</v>
      </c>
      <c r="J22" s="305">
        <v>-8.6</v>
      </c>
      <c r="K22" s="304">
        <v>-12.106</v>
      </c>
      <c r="L22" s="304">
        <v>-4.8410000000000002</v>
      </c>
      <c r="M22" s="304">
        <v>18.596</v>
      </c>
      <c r="N22" s="306">
        <v>19.309999999999999</v>
      </c>
    </row>
    <row r="23" spans="2:14" x14ac:dyDescent="0.3">
      <c r="B23" s="313" t="s">
        <v>325</v>
      </c>
      <c r="G23" s="304"/>
      <c r="H23" s="305"/>
      <c r="I23" s="305"/>
      <c r="J23" s="305"/>
      <c r="K23" s="304"/>
      <c r="L23" s="304">
        <v>-19.14</v>
      </c>
      <c r="M23" s="304">
        <v>0</v>
      </c>
      <c r="N23" s="306">
        <v>0</v>
      </c>
    </row>
    <row r="24" spans="2:14" x14ac:dyDescent="0.3">
      <c r="B24" s="292" t="s">
        <v>326</v>
      </c>
      <c r="G24" s="314">
        <v>62.300000000000125</v>
      </c>
      <c r="H24" s="294">
        <v>113.69999999999999</v>
      </c>
      <c r="I24" s="294">
        <v>63.600000000000023</v>
      </c>
      <c r="J24" s="294">
        <v>103.70000000000005</v>
      </c>
      <c r="K24" s="293">
        <v>154.33699999999976</v>
      </c>
      <c r="L24" s="293">
        <v>168.93900000000031</v>
      </c>
      <c r="M24" s="293">
        <v>180.89500000000021</v>
      </c>
      <c r="N24" s="295">
        <v>169.57300000000018</v>
      </c>
    </row>
    <row r="25" spans="2:14" x14ac:dyDescent="0.3">
      <c r="B25" s="315" t="s">
        <v>151</v>
      </c>
      <c r="G25" s="300">
        <v>-107.39999999999999</v>
      </c>
      <c r="H25" s="301">
        <v>-119.8</v>
      </c>
      <c r="I25" s="301">
        <v>-113.10000000000001</v>
      </c>
      <c r="J25" s="301">
        <v>-140.1</v>
      </c>
      <c r="K25" s="300">
        <v>-118.767</v>
      </c>
      <c r="L25" s="300">
        <v>-233.53299999999999</v>
      </c>
      <c r="M25" s="300">
        <v>-185.23600000000002</v>
      </c>
      <c r="N25" s="302">
        <v>-217.77099999999999</v>
      </c>
    </row>
    <row r="26" spans="2:14" x14ac:dyDescent="0.3">
      <c r="B26" s="316" t="s">
        <v>327</v>
      </c>
      <c r="G26" s="304">
        <v>-72.599999999999994</v>
      </c>
      <c r="H26" s="305">
        <v>-80.599999999999994</v>
      </c>
      <c r="I26" s="305">
        <v>-79</v>
      </c>
      <c r="J26" s="305">
        <v>-110.3</v>
      </c>
      <c r="K26" s="304">
        <v>-150.739</v>
      </c>
      <c r="L26" s="304">
        <v>-171.39599999999999</v>
      </c>
      <c r="M26" s="304">
        <v>-142.93100000000001</v>
      </c>
      <c r="N26" s="306">
        <v>-129.17999999999998</v>
      </c>
    </row>
    <row r="27" spans="2:14" x14ac:dyDescent="0.3">
      <c r="B27" s="316" t="s">
        <v>328</v>
      </c>
      <c r="G27" s="304">
        <v>-45</v>
      </c>
      <c r="H27" s="305">
        <v>-51</v>
      </c>
      <c r="I27" s="305">
        <v>-56</v>
      </c>
      <c r="J27" s="305">
        <v>-58.6</v>
      </c>
      <c r="K27" s="304">
        <v>-63.54</v>
      </c>
      <c r="L27" s="304">
        <v>-60.963999999999999</v>
      </c>
      <c r="M27" s="304">
        <v>-59.600999999999999</v>
      </c>
      <c r="N27" s="306">
        <v>-52.18</v>
      </c>
    </row>
    <row r="28" spans="2:14" x14ac:dyDescent="0.3">
      <c r="B28" s="316" t="s">
        <v>152</v>
      </c>
      <c r="G28" s="304">
        <v>26.7</v>
      </c>
      <c r="H28" s="305">
        <v>17.5</v>
      </c>
      <c r="I28" s="305">
        <v>8.3000000000000007</v>
      </c>
      <c r="J28" s="305">
        <v>16.3</v>
      </c>
      <c r="K28" s="304">
        <v>25.81</v>
      </c>
      <c r="L28" s="304">
        <v>22.766999999999999</v>
      </c>
      <c r="M28" s="304">
        <v>26.959</v>
      </c>
      <c r="N28" s="306">
        <v>27.284999999999997</v>
      </c>
    </row>
    <row r="29" spans="2:14" x14ac:dyDescent="0.3">
      <c r="B29" s="316" t="s">
        <v>329</v>
      </c>
      <c r="G29" s="304">
        <v>-16.5</v>
      </c>
      <c r="H29" s="305">
        <v>-5.7</v>
      </c>
      <c r="I29" s="305">
        <v>13.6</v>
      </c>
      <c r="J29" s="305">
        <v>12.5</v>
      </c>
      <c r="K29" s="304">
        <v>69.701999999999998</v>
      </c>
      <c r="L29" s="304">
        <v>-23.94</v>
      </c>
      <c r="M29" s="304">
        <v>-9.6630000000000003</v>
      </c>
      <c r="N29" s="306">
        <v>-63.695999999999998</v>
      </c>
    </row>
    <row r="30" spans="2:14" x14ac:dyDescent="0.3">
      <c r="B30" s="292" t="s">
        <v>330</v>
      </c>
      <c r="G30" s="314">
        <v>-45.099999999999866</v>
      </c>
      <c r="H30" s="317">
        <v>-6.1000000000000085</v>
      </c>
      <c r="I30" s="317">
        <v>-49.499999999999986</v>
      </c>
      <c r="J30" s="317">
        <v>-36.399999999999949</v>
      </c>
      <c r="K30" s="314">
        <v>35.569999999999766</v>
      </c>
      <c r="L30" s="314">
        <v>-64.593999999999696</v>
      </c>
      <c r="M30" s="314">
        <v>-4.3409999999998092</v>
      </c>
      <c r="N30" s="318">
        <v>-48.197999999999823</v>
      </c>
    </row>
    <row r="31" spans="2:14" x14ac:dyDescent="0.3">
      <c r="B31" s="316" t="s">
        <v>331</v>
      </c>
      <c r="G31" s="304">
        <v>-23.7</v>
      </c>
      <c r="H31" s="305">
        <v>-3.8</v>
      </c>
      <c r="I31" s="305">
        <v>-3.4</v>
      </c>
      <c r="J31" s="305">
        <v>3.3</v>
      </c>
      <c r="K31" s="304">
        <v>-8.34</v>
      </c>
      <c r="L31" s="304">
        <v>2.3290000000000002</v>
      </c>
      <c r="M31" s="304">
        <v>-1.4930000000000001</v>
      </c>
      <c r="N31" s="319">
        <v>-3.891</v>
      </c>
    </row>
    <row r="32" spans="2:14" x14ac:dyDescent="0.3">
      <c r="B32" s="316" t="s">
        <v>332</v>
      </c>
      <c r="G32" s="297">
        <v>-68.7</v>
      </c>
      <c r="H32" s="298">
        <v>1.1000000000000001</v>
      </c>
      <c r="I32" s="298">
        <v>0.2</v>
      </c>
      <c r="J32" s="298">
        <v>4</v>
      </c>
      <c r="K32" s="297">
        <v>-4.6529999999999996</v>
      </c>
      <c r="L32" s="297">
        <v>55.923999999999999</v>
      </c>
      <c r="M32" s="297">
        <v>27.457999999999998</v>
      </c>
      <c r="N32" s="319">
        <v>59.620999999999995</v>
      </c>
    </row>
    <row r="33" spans="2:14" x14ac:dyDescent="0.3">
      <c r="B33" s="292" t="s">
        <v>333</v>
      </c>
      <c r="G33" s="314">
        <v>-137.49999999999989</v>
      </c>
      <c r="H33" s="317">
        <v>-8.8000000000000096</v>
      </c>
      <c r="I33" s="317">
        <v>-52.699999999999982</v>
      </c>
      <c r="J33" s="317">
        <v>-29.099999999999952</v>
      </c>
      <c r="K33" s="314">
        <v>22.576999999999767</v>
      </c>
      <c r="L33" s="314">
        <v>-6.3409999999996955</v>
      </c>
      <c r="M33" s="314">
        <v>21.624000000000187</v>
      </c>
      <c r="N33" s="318">
        <v>7.532000000000175</v>
      </c>
    </row>
    <row r="34" spans="2:14" x14ac:dyDescent="0.3">
      <c r="B34" s="299" t="s">
        <v>334</v>
      </c>
      <c r="G34" s="300">
        <v>-269.7</v>
      </c>
      <c r="H34" s="301">
        <v>-135.4</v>
      </c>
      <c r="I34" s="301">
        <v>0</v>
      </c>
      <c r="J34" s="301">
        <v>0</v>
      </c>
      <c r="K34" s="300">
        <v>0</v>
      </c>
      <c r="L34" s="300"/>
      <c r="M34" s="300"/>
      <c r="N34" s="302">
        <v>0</v>
      </c>
    </row>
    <row r="35" spans="2:14" x14ac:dyDescent="0.3">
      <c r="B35" s="292" t="s">
        <v>335</v>
      </c>
      <c r="G35" s="320">
        <v>-407.19999999999987</v>
      </c>
      <c r="H35" s="321">
        <v>-144.20000000000002</v>
      </c>
      <c r="I35" s="321">
        <v>-52.699999999999982</v>
      </c>
      <c r="J35" s="321">
        <v>-29.099999999999952</v>
      </c>
      <c r="K35" s="320">
        <v>22.576999999999767</v>
      </c>
      <c r="L35" s="320">
        <v>-6.3409999999996955</v>
      </c>
      <c r="M35" s="320">
        <v>21.624000000000187</v>
      </c>
      <c r="N35" s="318">
        <v>7.532000000000175</v>
      </c>
    </row>
    <row r="36" spans="2:14" x14ac:dyDescent="0.3">
      <c r="B36" s="299"/>
      <c r="G36" s="322"/>
      <c r="H36" s="322"/>
      <c r="I36" s="322"/>
      <c r="J36" s="322"/>
      <c r="K36" s="322"/>
      <c r="L36" s="322"/>
      <c r="M36" s="322"/>
      <c r="N36" s="322">
        <v>0</v>
      </c>
    </row>
    <row r="37" spans="2:14" x14ac:dyDescent="0.3">
      <c r="B37" s="657" t="s">
        <v>336</v>
      </c>
      <c r="G37" s="658">
        <v>40908</v>
      </c>
      <c r="H37" s="660">
        <v>2012</v>
      </c>
      <c r="I37" s="660">
        <v>2013</v>
      </c>
      <c r="J37" s="660">
        <v>2014</v>
      </c>
      <c r="K37" s="497">
        <v>2015</v>
      </c>
      <c r="L37" s="493">
        <v>2016</v>
      </c>
      <c r="M37" s="493">
        <v>2017</v>
      </c>
      <c r="N37" s="498" t="s">
        <v>313</v>
      </c>
    </row>
    <row r="38" spans="2:14" x14ac:dyDescent="0.3">
      <c r="B38" s="657"/>
      <c r="G38" s="659"/>
      <c r="H38" s="661"/>
      <c r="I38" s="661"/>
      <c r="J38" s="661"/>
      <c r="K38" s="499"/>
      <c r="L38" s="495"/>
      <c r="M38" s="495"/>
      <c r="N38" s="498">
        <v>0</v>
      </c>
    </row>
    <row r="39" spans="2:14" x14ac:dyDescent="0.3">
      <c r="B39" s="292" t="s">
        <v>0</v>
      </c>
      <c r="G39" s="323">
        <v>-407.19999999999987</v>
      </c>
      <c r="H39" s="317">
        <v>-144.20000000000002</v>
      </c>
      <c r="I39" s="317">
        <v>-52.699999999999982</v>
      </c>
      <c r="J39" s="317">
        <v>-29.099999999999952</v>
      </c>
      <c r="K39" s="317">
        <v>22.576999999999767</v>
      </c>
      <c r="L39" s="314">
        <v>-6.3409999999996955</v>
      </c>
      <c r="M39" s="314">
        <v>21.624000000000187</v>
      </c>
      <c r="N39" s="324">
        <v>7.5320000000001608</v>
      </c>
    </row>
    <row r="40" spans="2:14" x14ac:dyDescent="0.3">
      <c r="B40" s="316" t="s">
        <v>337</v>
      </c>
      <c r="G40" s="305">
        <v>92.4</v>
      </c>
      <c r="H40" s="305">
        <v>2.6999999999999997</v>
      </c>
      <c r="I40" s="305">
        <v>3.1999999999999997</v>
      </c>
      <c r="J40" s="305">
        <v>-7.3</v>
      </c>
      <c r="K40" s="305">
        <v>12.992999999999999</v>
      </c>
      <c r="L40" s="304">
        <v>-58.253</v>
      </c>
      <c r="M40" s="304">
        <v>-25.965</v>
      </c>
      <c r="N40" s="306">
        <v>-55.730000000000004</v>
      </c>
    </row>
    <row r="41" spans="2:14" x14ac:dyDescent="0.3">
      <c r="B41" s="316" t="s">
        <v>338</v>
      </c>
      <c r="G41" s="305">
        <v>107.39999999999999</v>
      </c>
      <c r="H41" s="305">
        <v>119.8</v>
      </c>
      <c r="I41" s="305">
        <v>113.10000000000001</v>
      </c>
      <c r="J41" s="305">
        <v>140.1</v>
      </c>
      <c r="K41" s="305">
        <v>118.767</v>
      </c>
      <c r="L41" s="304">
        <v>233.53299999999999</v>
      </c>
      <c r="M41" s="304">
        <v>185.23600000000002</v>
      </c>
      <c r="N41" s="306">
        <v>217.77099999999999</v>
      </c>
    </row>
    <row r="42" spans="2:14" x14ac:dyDescent="0.3">
      <c r="B42" s="316" t="s">
        <v>339</v>
      </c>
      <c r="G42" s="305">
        <v>100.5</v>
      </c>
      <c r="H42" s="305">
        <v>94</v>
      </c>
      <c r="I42" s="305">
        <v>91.5</v>
      </c>
      <c r="J42" s="305">
        <v>86</v>
      </c>
      <c r="K42" s="305">
        <v>78.686999999999998</v>
      </c>
      <c r="L42" s="304">
        <v>77.661000000000001</v>
      </c>
      <c r="M42" s="304">
        <v>73.709999999999994</v>
      </c>
      <c r="N42" s="306">
        <v>75.028999999999996</v>
      </c>
    </row>
    <row r="43" spans="2:14" x14ac:dyDescent="0.3">
      <c r="B43" s="292" t="s">
        <v>89</v>
      </c>
      <c r="G43" s="317">
        <v>-106.89999999999986</v>
      </c>
      <c r="H43" s="317">
        <v>72.299999999999969</v>
      </c>
      <c r="I43" s="317">
        <v>155.10000000000002</v>
      </c>
      <c r="J43" s="317">
        <v>189.70000000000005</v>
      </c>
      <c r="K43" s="317">
        <v>233.02399999999977</v>
      </c>
      <c r="L43" s="314">
        <v>246.60000000000031</v>
      </c>
      <c r="M43" s="314">
        <v>254.60500000000019</v>
      </c>
      <c r="N43" s="324">
        <v>244.60200000000015</v>
      </c>
    </row>
    <row r="44" spans="2:14" x14ac:dyDescent="0.3">
      <c r="B44" s="312" t="s">
        <v>340</v>
      </c>
      <c r="G44" s="298">
        <v>0</v>
      </c>
      <c r="H44" s="298">
        <v>-75.7</v>
      </c>
      <c r="I44" s="298">
        <v>0</v>
      </c>
      <c r="J44" s="298">
        <v>0</v>
      </c>
      <c r="K44" s="298">
        <v>0</v>
      </c>
      <c r="L44" s="297">
        <v>19.14</v>
      </c>
      <c r="M44" s="297">
        <v>0</v>
      </c>
      <c r="N44" s="319">
        <v>0</v>
      </c>
    </row>
    <row r="45" spans="2:14" x14ac:dyDescent="0.3">
      <c r="B45" s="292" t="s">
        <v>341</v>
      </c>
      <c r="G45" s="317">
        <v>-106.89999999999986</v>
      </c>
      <c r="H45" s="317">
        <v>-3.4000000000000341</v>
      </c>
      <c r="I45" s="317">
        <v>155.10000000000002</v>
      </c>
      <c r="J45" s="317">
        <v>189.70000000000005</v>
      </c>
      <c r="K45" s="317">
        <v>233.02399999999977</v>
      </c>
      <c r="L45" s="314">
        <v>265.74000000000029</v>
      </c>
      <c r="M45" s="314">
        <v>254.60500000000019</v>
      </c>
      <c r="N45" s="318">
        <v>244.60200000000015</v>
      </c>
    </row>
    <row r="46" spans="2:14" x14ac:dyDescent="0.3">
      <c r="B46" s="316" t="s">
        <v>342</v>
      </c>
      <c r="G46" s="305">
        <v>269.7</v>
      </c>
      <c r="H46" s="305">
        <v>135.4</v>
      </c>
      <c r="I46" s="305">
        <v>0</v>
      </c>
      <c r="J46" s="305">
        <v>0</v>
      </c>
      <c r="K46" s="305">
        <v>0</v>
      </c>
      <c r="L46" s="304">
        <v>0</v>
      </c>
      <c r="M46" s="304">
        <v>0</v>
      </c>
      <c r="N46" s="306">
        <v>0</v>
      </c>
    </row>
    <row r="47" spans="2:14" x14ac:dyDescent="0.3">
      <c r="B47" s="316" t="s">
        <v>343</v>
      </c>
      <c r="G47" s="305">
        <v>-22.5</v>
      </c>
      <c r="H47" s="305">
        <v>-11.7</v>
      </c>
      <c r="I47" s="305">
        <v>0</v>
      </c>
      <c r="J47" s="305">
        <v>0</v>
      </c>
      <c r="K47" s="305">
        <v>0</v>
      </c>
      <c r="L47" s="304">
        <v>0</v>
      </c>
      <c r="M47" s="304">
        <v>0</v>
      </c>
      <c r="N47" s="306">
        <v>0</v>
      </c>
    </row>
    <row r="48" spans="2:14" x14ac:dyDescent="0.3">
      <c r="B48" s="292" t="s">
        <v>344</v>
      </c>
      <c r="G48" s="317">
        <v>140.30000000000013</v>
      </c>
      <c r="H48" s="317">
        <v>120.29999999999997</v>
      </c>
      <c r="I48" s="317">
        <v>155.10000000000002</v>
      </c>
      <c r="J48" s="317">
        <v>189.70000000000005</v>
      </c>
      <c r="K48" s="317">
        <v>233.02399999999977</v>
      </c>
      <c r="L48" s="314">
        <v>265.74000000000029</v>
      </c>
      <c r="M48" s="314">
        <v>254.60500000000019</v>
      </c>
      <c r="N48" s="318">
        <v>244.60200000000015</v>
      </c>
    </row>
    <row r="49" spans="2:14" x14ac:dyDescent="0.3">
      <c r="B49" s="325" t="s">
        <v>345</v>
      </c>
      <c r="G49" s="326">
        <v>9.9659042477624749E-2</v>
      </c>
      <c r="H49" s="326">
        <v>7.1483748291639407E-2</v>
      </c>
      <c r="I49" s="326">
        <v>7.5917767988252574E-2</v>
      </c>
      <c r="J49" s="326">
        <v>9.0678776290630994E-2</v>
      </c>
      <c r="K49" s="326">
        <v>0.10278528248705934</v>
      </c>
      <c r="L49" s="327">
        <v>0.11497569951771137</v>
      </c>
      <c r="M49" s="327">
        <v>0.11579823486204324</v>
      </c>
      <c r="N49" s="328">
        <v>0.10845561093574793</v>
      </c>
    </row>
    <row r="50" spans="2:14" x14ac:dyDescent="0.3">
      <c r="B50" s="329"/>
      <c r="G50" s="330"/>
      <c r="H50" s="330"/>
      <c r="I50" s="330"/>
      <c r="J50" s="330"/>
      <c r="K50" s="330"/>
      <c r="L50" s="331"/>
      <c r="M50" s="331"/>
      <c r="N50" s="331"/>
    </row>
    <row r="51" spans="2:14" x14ac:dyDescent="0.3">
      <c r="B51" s="329"/>
      <c r="G51" s="330"/>
      <c r="H51" s="330"/>
      <c r="I51" s="330"/>
      <c r="J51" s="330"/>
      <c r="K51" s="330"/>
      <c r="L51" s="331"/>
      <c r="M51" s="331"/>
      <c r="N51" s="331"/>
    </row>
    <row r="52" spans="2:14" x14ac:dyDescent="0.3">
      <c r="B52" s="332"/>
      <c r="G52" s="332"/>
      <c r="H52" s="332"/>
      <c r="I52" s="332"/>
      <c r="J52" s="332"/>
      <c r="K52" s="332"/>
      <c r="L52" s="331"/>
      <c r="M52" s="331"/>
      <c r="N52" s="331"/>
    </row>
    <row r="53" spans="2:14" x14ac:dyDescent="0.3">
      <c r="B53" s="332"/>
      <c r="G53" s="332"/>
      <c r="H53" s="332"/>
      <c r="I53" s="332"/>
      <c r="J53" s="332"/>
      <c r="K53" s="332"/>
      <c r="L53" s="331"/>
      <c r="M53" s="331"/>
      <c r="N53" s="331"/>
    </row>
    <row r="54" spans="2:14" x14ac:dyDescent="0.3">
      <c r="B54" s="657" t="s">
        <v>346</v>
      </c>
      <c r="G54" s="662" t="s">
        <v>347</v>
      </c>
      <c r="H54" s="662" t="s">
        <v>348</v>
      </c>
      <c r="I54" s="662" t="s">
        <v>349</v>
      </c>
      <c r="J54" s="662" t="s">
        <v>350</v>
      </c>
      <c r="K54" s="498" t="s">
        <v>351</v>
      </c>
      <c r="L54" s="498" t="s">
        <v>352</v>
      </c>
      <c r="M54" s="498" t="s">
        <v>353</v>
      </c>
      <c r="N54" s="498" t="s">
        <v>313</v>
      </c>
    </row>
    <row r="55" spans="2:14" x14ac:dyDescent="0.3">
      <c r="B55" s="657"/>
      <c r="G55" s="663"/>
      <c r="H55" s="663"/>
      <c r="I55" s="663"/>
      <c r="J55" s="663"/>
      <c r="K55" s="500"/>
      <c r="L55" s="500"/>
      <c r="M55" s="500"/>
      <c r="N55" s="500"/>
    </row>
    <row r="56" spans="2:14" x14ac:dyDescent="0.3">
      <c r="B56" s="292" t="s">
        <v>354</v>
      </c>
      <c r="G56" s="295">
        <v>1421.8000000000002</v>
      </c>
      <c r="H56" s="295">
        <v>1265.8</v>
      </c>
      <c r="I56" s="295">
        <v>1266.2</v>
      </c>
      <c r="J56" s="295">
        <v>1360.2550000000001</v>
      </c>
      <c r="K56" s="295">
        <v>1453.2260000000001</v>
      </c>
      <c r="L56" s="295">
        <v>1360.4940000000001</v>
      </c>
      <c r="M56" s="295">
        <v>1344.5550000000001</v>
      </c>
      <c r="N56" s="295">
        <v>1450.8910000000001</v>
      </c>
    </row>
    <row r="57" spans="2:14" x14ac:dyDescent="0.3">
      <c r="B57" s="333" t="s">
        <v>355</v>
      </c>
      <c r="G57" s="334">
        <v>146.6</v>
      </c>
      <c r="H57" s="335">
        <v>109.3</v>
      </c>
      <c r="I57" s="335">
        <v>81.599999999999994</v>
      </c>
      <c r="J57" s="335">
        <v>129.57</v>
      </c>
      <c r="K57" s="335">
        <v>149.92500000000001</v>
      </c>
      <c r="L57" s="335">
        <v>160.36000000000001</v>
      </c>
      <c r="M57" s="335">
        <v>155.44200000000001</v>
      </c>
      <c r="N57" s="335">
        <v>135.37700000000001</v>
      </c>
    </row>
    <row r="58" spans="2:14" x14ac:dyDescent="0.3">
      <c r="B58" s="333" t="s">
        <v>356</v>
      </c>
      <c r="G58" s="334">
        <v>0</v>
      </c>
      <c r="H58" s="335">
        <v>1.6</v>
      </c>
      <c r="I58" s="335">
        <v>1.2</v>
      </c>
      <c r="J58" s="335">
        <v>1.36</v>
      </c>
      <c r="K58" s="335">
        <v>2</v>
      </c>
      <c r="L58" s="335">
        <v>18.207999999999998</v>
      </c>
      <c r="M58" s="335">
        <v>35.162999999999997</v>
      </c>
      <c r="N58" s="335">
        <v>64.271000000000001</v>
      </c>
    </row>
    <row r="59" spans="2:14" x14ac:dyDescent="0.3">
      <c r="B59" s="333" t="s">
        <v>357</v>
      </c>
      <c r="G59" s="334">
        <v>0</v>
      </c>
      <c r="H59" s="334">
        <v>0</v>
      </c>
      <c r="I59" s="334">
        <v>0</v>
      </c>
      <c r="J59" s="334">
        <v>0</v>
      </c>
      <c r="K59" s="335">
        <v>19.882000000000001</v>
      </c>
      <c r="L59" s="335"/>
      <c r="M59" s="334"/>
      <c r="N59" s="334">
        <v>18.853999999999999</v>
      </c>
    </row>
    <row r="60" spans="2:14" x14ac:dyDescent="0.3">
      <c r="B60" s="333" t="s">
        <v>358</v>
      </c>
      <c r="G60" s="334">
        <v>448.3</v>
      </c>
      <c r="H60" s="335">
        <v>451.7</v>
      </c>
      <c r="I60" s="335">
        <v>513.29999999999995</v>
      </c>
      <c r="J60" s="335">
        <v>522.48900000000003</v>
      </c>
      <c r="K60" s="335">
        <v>508.82600000000002</v>
      </c>
      <c r="L60" s="335">
        <v>493.20800000000003</v>
      </c>
      <c r="M60" s="335">
        <v>497.64699999999999</v>
      </c>
      <c r="N60" s="335">
        <v>551.14</v>
      </c>
    </row>
    <row r="61" spans="2:14" x14ac:dyDescent="0.3">
      <c r="B61" s="333" t="s">
        <v>75</v>
      </c>
      <c r="G61" s="334">
        <v>698.5</v>
      </c>
      <c r="H61" s="335">
        <v>588.5</v>
      </c>
      <c r="I61" s="335">
        <v>559</v>
      </c>
      <c r="J61" s="335">
        <v>589.56600000000003</v>
      </c>
      <c r="K61" s="335">
        <v>657.99199999999996</v>
      </c>
      <c r="L61" s="335">
        <v>560.23500000000001</v>
      </c>
      <c r="M61" s="335">
        <v>538.17499999999995</v>
      </c>
      <c r="N61" s="335">
        <v>572.62099999999998</v>
      </c>
    </row>
    <row r="62" spans="2:14" x14ac:dyDescent="0.3">
      <c r="B62" s="333" t="s">
        <v>359</v>
      </c>
      <c r="G62" s="334">
        <v>67.7</v>
      </c>
      <c r="H62" s="335">
        <v>57.4</v>
      </c>
      <c r="I62" s="335">
        <v>50.7</v>
      </c>
      <c r="J62" s="335">
        <v>46.667000000000002</v>
      </c>
      <c r="K62" s="335">
        <v>39.478999999999999</v>
      </c>
      <c r="L62" s="335">
        <v>35.630000000000003</v>
      </c>
      <c r="M62" s="335">
        <v>37.158999999999999</v>
      </c>
      <c r="N62" s="335">
        <v>37.511000000000003</v>
      </c>
    </row>
    <row r="63" spans="2:14" x14ac:dyDescent="0.3">
      <c r="B63" s="333" t="s">
        <v>360</v>
      </c>
      <c r="G63" s="334">
        <v>32.799999999999997</v>
      </c>
      <c r="H63" s="335">
        <v>32.200000000000003</v>
      </c>
      <c r="I63" s="335">
        <v>28.5</v>
      </c>
      <c r="J63" s="335">
        <v>47.354999999999997</v>
      </c>
      <c r="K63" s="335">
        <v>31.420999999999999</v>
      </c>
      <c r="L63" s="335">
        <v>35.853000000000002</v>
      </c>
      <c r="M63" s="335">
        <v>28.661999999999999</v>
      </c>
      <c r="N63" s="335">
        <v>16.38</v>
      </c>
    </row>
    <row r="64" spans="2:14" x14ac:dyDescent="0.3">
      <c r="B64" s="333" t="s">
        <v>361</v>
      </c>
      <c r="G64" s="334"/>
      <c r="H64" s="335"/>
      <c r="I64" s="335"/>
      <c r="J64" s="335"/>
      <c r="K64" s="335">
        <v>8.3179999999999996</v>
      </c>
      <c r="L64" s="335"/>
      <c r="M64" s="335"/>
      <c r="N64" s="335">
        <v>0</v>
      </c>
    </row>
    <row r="65" spans="2:14" x14ac:dyDescent="0.3">
      <c r="B65" s="333" t="s">
        <v>362</v>
      </c>
      <c r="G65" s="334">
        <v>11.2</v>
      </c>
      <c r="H65" s="335">
        <v>0</v>
      </c>
      <c r="I65" s="335">
        <v>0</v>
      </c>
      <c r="J65" s="335">
        <v>0</v>
      </c>
      <c r="K65" s="335">
        <v>0</v>
      </c>
      <c r="L65" s="335"/>
      <c r="M65" s="335"/>
      <c r="N65" s="335">
        <v>0</v>
      </c>
    </row>
    <row r="66" spans="2:14" x14ac:dyDescent="0.3">
      <c r="B66" s="333" t="s">
        <v>363</v>
      </c>
      <c r="G66" s="336">
        <v>16.7</v>
      </c>
      <c r="H66" s="337">
        <v>25.1</v>
      </c>
      <c r="I66" s="337">
        <v>31.9</v>
      </c>
      <c r="J66" s="335">
        <v>23.248000000000001</v>
      </c>
      <c r="K66" s="335">
        <v>35.383000000000003</v>
      </c>
      <c r="L66" s="335">
        <v>57</v>
      </c>
      <c r="M66" s="335">
        <v>52.307000000000002</v>
      </c>
      <c r="N66" s="335">
        <v>54.737000000000002</v>
      </c>
    </row>
    <row r="67" spans="2:14" x14ac:dyDescent="0.3">
      <c r="B67" s="292" t="s">
        <v>364</v>
      </c>
      <c r="G67" s="295">
        <v>1257.5999999999999</v>
      </c>
      <c r="H67" s="295">
        <v>1202.2</v>
      </c>
      <c r="I67" s="295">
        <v>1176.8</v>
      </c>
      <c r="J67" s="295">
        <v>1108.3159999999998</v>
      </c>
      <c r="K67" s="295">
        <v>1145.1100000000001</v>
      </c>
      <c r="L67" s="295">
        <v>1269.1789999999999</v>
      </c>
      <c r="M67" s="295">
        <v>1376.8629999999998</v>
      </c>
      <c r="N67" s="295">
        <v>1489.2050000000002</v>
      </c>
    </row>
    <row r="68" spans="2:14" x14ac:dyDescent="0.3">
      <c r="B68" s="338" t="s">
        <v>365</v>
      </c>
      <c r="G68" s="339">
        <v>163.79999999999998</v>
      </c>
      <c r="H68" s="339">
        <v>135</v>
      </c>
      <c r="I68" s="339">
        <v>143.79999999999998</v>
      </c>
      <c r="J68" s="339">
        <v>139.51399999999998</v>
      </c>
      <c r="K68" s="339">
        <v>229.13800000000001</v>
      </c>
      <c r="L68" s="339">
        <v>403.94599999999997</v>
      </c>
      <c r="M68" s="339">
        <v>381.73399999999998</v>
      </c>
      <c r="N68" s="339">
        <v>496.76400000000007</v>
      </c>
    </row>
    <row r="69" spans="2:14" x14ac:dyDescent="0.3">
      <c r="B69" s="333" t="s">
        <v>358</v>
      </c>
      <c r="G69" s="340">
        <v>1.5</v>
      </c>
      <c r="H69" s="341">
        <v>0</v>
      </c>
      <c r="I69" s="341">
        <v>0</v>
      </c>
      <c r="J69" s="341">
        <v>0</v>
      </c>
      <c r="K69" s="341"/>
      <c r="L69" s="341"/>
      <c r="M69" s="341"/>
      <c r="N69" s="341">
        <v>0</v>
      </c>
    </row>
    <row r="70" spans="2:14" x14ac:dyDescent="0.3">
      <c r="B70" s="342" t="s">
        <v>356</v>
      </c>
      <c r="G70" s="340"/>
      <c r="H70" s="341"/>
      <c r="I70" s="341"/>
      <c r="J70" s="341"/>
      <c r="K70" s="341"/>
      <c r="L70" s="341">
        <v>62.057000000000002</v>
      </c>
      <c r="M70" s="341">
        <v>63.819000000000003</v>
      </c>
      <c r="N70" s="341">
        <v>77.998000000000005</v>
      </c>
    </row>
    <row r="71" spans="2:14" x14ac:dyDescent="0.3">
      <c r="B71" s="333" t="s">
        <v>359</v>
      </c>
      <c r="G71" s="340">
        <v>0.4</v>
      </c>
      <c r="H71" s="341">
        <v>0</v>
      </c>
      <c r="I71" s="341">
        <v>0</v>
      </c>
      <c r="J71" s="341">
        <v>0</v>
      </c>
      <c r="K71" s="341"/>
      <c r="L71" s="341"/>
      <c r="M71" s="341"/>
      <c r="N71" s="341">
        <v>0</v>
      </c>
    </row>
    <row r="72" spans="2:14" x14ac:dyDescent="0.3">
      <c r="B72" s="333" t="s">
        <v>366</v>
      </c>
      <c r="G72" s="340"/>
      <c r="H72" s="341"/>
      <c r="I72" s="341"/>
      <c r="J72" s="341"/>
      <c r="K72" s="341"/>
      <c r="L72" s="341">
        <v>24.288</v>
      </c>
      <c r="M72" s="341">
        <v>37.387999999999998</v>
      </c>
      <c r="N72" s="341">
        <v>42.37</v>
      </c>
    </row>
    <row r="73" spans="2:14" x14ac:dyDescent="0.3">
      <c r="B73" s="333" t="s">
        <v>361</v>
      </c>
      <c r="G73" s="340"/>
      <c r="H73" s="341"/>
      <c r="I73" s="341"/>
      <c r="J73" s="341"/>
      <c r="K73" s="341">
        <v>40.899000000000001</v>
      </c>
      <c r="L73" s="341">
        <v>54.88</v>
      </c>
      <c r="M73" s="341">
        <v>54.587000000000003</v>
      </c>
      <c r="N73" s="341">
        <v>59.488999999999997</v>
      </c>
    </row>
    <row r="74" spans="2:14" x14ac:dyDescent="0.3">
      <c r="B74" s="333" t="s">
        <v>50</v>
      </c>
      <c r="G74" s="336">
        <v>0</v>
      </c>
      <c r="H74" s="337">
        <v>0.2</v>
      </c>
      <c r="I74" s="341">
        <v>0</v>
      </c>
      <c r="J74" s="337">
        <v>7.5350000000000001</v>
      </c>
      <c r="K74" s="337">
        <v>23.503</v>
      </c>
      <c r="L74" s="337">
        <v>37.554000000000002</v>
      </c>
      <c r="M74" s="337">
        <v>39.710999999999999</v>
      </c>
      <c r="N74" s="337">
        <v>46.640999999999998</v>
      </c>
    </row>
    <row r="75" spans="2:14" x14ac:dyDescent="0.3">
      <c r="B75" s="333" t="s">
        <v>360</v>
      </c>
      <c r="G75" s="336">
        <v>34.1</v>
      </c>
      <c r="H75" s="337">
        <v>6.3</v>
      </c>
      <c r="I75" s="337">
        <v>5.8</v>
      </c>
      <c r="J75" s="337">
        <v>4.5949999999999998</v>
      </c>
      <c r="K75" s="337">
        <v>3.5859999999999999</v>
      </c>
      <c r="L75" s="337">
        <v>9.2710000000000008</v>
      </c>
      <c r="M75" s="337">
        <v>14.895</v>
      </c>
      <c r="N75" s="337">
        <v>30.277999999999999</v>
      </c>
    </row>
    <row r="76" spans="2:14" x14ac:dyDescent="0.3">
      <c r="B76" s="333" t="s">
        <v>367</v>
      </c>
      <c r="G76" s="336">
        <v>55.5</v>
      </c>
      <c r="H76" s="337">
        <v>56.7</v>
      </c>
      <c r="I76" s="337">
        <v>56.8</v>
      </c>
      <c r="J76" s="337">
        <v>62.512</v>
      </c>
      <c r="K76" s="337">
        <v>58.298000000000002</v>
      </c>
      <c r="L76" s="337">
        <v>113.38800000000001</v>
      </c>
      <c r="M76" s="337">
        <v>89.356999999999999</v>
      </c>
      <c r="N76" s="337">
        <v>154.99600000000001</v>
      </c>
    </row>
    <row r="77" spans="2:14" x14ac:dyDescent="0.3">
      <c r="B77" s="333" t="s">
        <v>368</v>
      </c>
      <c r="G77" s="340">
        <v>50.4</v>
      </c>
      <c r="H77" s="337">
        <v>40.6</v>
      </c>
      <c r="I77" s="337">
        <v>58.3</v>
      </c>
      <c r="J77" s="337">
        <v>40.527000000000001</v>
      </c>
      <c r="K77" s="337">
        <v>59.131999999999998</v>
      </c>
      <c r="L77" s="337">
        <v>49.234999999999999</v>
      </c>
      <c r="M77" s="337">
        <v>33.731000000000002</v>
      </c>
      <c r="N77" s="337">
        <v>39.165999999999997</v>
      </c>
    </row>
    <row r="78" spans="2:14" x14ac:dyDescent="0.3">
      <c r="B78" s="333" t="s">
        <v>369</v>
      </c>
      <c r="G78" s="336">
        <v>15.7</v>
      </c>
      <c r="H78" s="337">
        <v>15.2</v>
      </c>
      <c r="I78" s="337">
        <v>16.2</v>
      </c>
      <c r="J78" s="337">
        <v>17.495000000000001</v>
      </c>
      <c r="K78" s="337">
        <v>20.486000000000001</v>
      </c>
      <c r="L78" s="337">
        <v>19.170999999999999</v>
      </c>
      <c r="M78" s="337">
        <v>13.678000000000001</v>
      </c>
      <c r="N78" s="337">
        <v>12.622</v>
      </c>
    </row>
    <row r="79" spans="2:14" x14ac:dyDescent="0.3">
      <c r="B79" s="333" t="s">
        <v>23</v>
      </c>
      <c r="G79" s="336">
        <v>6.2</v>
      </c>
      <c r="H79" s="337">
        <v>16</v>
      </c>
      <c r="I79" s="337">
        <v>6.7</v>
      </c>
      <c r="J79" s="337">
        <v>6.85</v>
      </c>
      <c r="K79" s="337">
        <v>23.234000000000002</v>
      </c>
      <c r="L79" s="337">
        <v>34.101999999999997</v>
      </c>
      <c r="M79" s="337">
        <v>34.567999999999998</v>
      </c>
      <c r="N79" s="337">
        <v>33.204000000000001</v>
      </c>
    </row>
    <row r="80" spans="2:14" x14ac:dyDescent="0.3">
      <c r="B80" s="338" t="s">
        <v>370</v>
      </c>
      <c r="G80" s="343">
        <v>1093.8</v>
      </c>
      <c r="H80" s="343">
        <v>1067.2</v>
      </c>
      <c r="I80" s="343">
        <v>1033</v>
      </c>
      <c r="J80" s="343">
        <v>968.80199999999991</v>
      </c>
      <c r="K80" s="343">
        <v>915.97200000000009</v>
      </c>
      <c r="L80" s="343">
        <v>865.23299999999995</v>
      </c>
      <c r="M80" s="343">
        <v>995.12899999999991</v>
      </c>
      <c r="N80" s="343">
        <v>992.44100000000003</v>
      </c>
    </row>
    <row r="81" spans="2:14" x14ac:dyDescent="0.3">
      <c r="B81" s="333" t="s">
        <v>371</v>
      </c>
      <c r="G81" s="334">
        <v>0</v>
      </c>
      <c r="H81" s="335">
        <v>2.5</v>
      </c>
      <c r="I81" s="335">
        <v>2.2000000000000002</v>
      </c>
      <c r="J81" s="335">
        <v>1.968</v>
      </c>
      <c r="K81" s="335">
        <v>3.8969999999999998</v>
      </c>
      <c r="L81" s="335"/>
      <c r="M81" s="335"/>
      <c r="N81" s="335"/>
    </row>
    <row r="82" spans="2:14" x14ac:dyDescent="0.3">
      <c r="B82" s="333" t="s">
        <v>372</v>
      </c>
      <c r="G82" s="334"/>
      <c r="H82" s="335"/>
      <c r="I82" s="335"/>
      <c r="J82" s="335"/>
      <c r="K82" s="335"/>
      <c r="L82" s="335"/>
      <c r="M82" s="335">
        <v>211.17599999999999</v>
      </c>
      <c r="N82" s="337">
        <v>226.982</v>
      </c>
    </row>
    <row r="83" spans="2:14" x14ac:dyDescent="0.3">
      <c r="B83" s="333" t="s">
        <v>120</v>
      </c>
      <c r="G83" s="336">
        <v>980</v>
      </c>
      <c r="H83" s="337">
        <v>950.7</v>
      </c>
      <c r="I83" s="337">
        <v>911.1</v>
      </c>
      <c r="J83" s="337">
        <v>847.26</v>
      </c>
      <c r="K83" s="337">
        <v>784.89300000000003</v>
      </c>
      <c r="L83" s="337">
        <v>749.26599999999996</v>
      </c>
      <c r="M83" s="337">
        <v>669.16499999999996</v>
      </c>
      <c r="N83" s="337">
        <v>646.85</v>
      </c>
    </row>
    <row r="84" spans="2:14" x14ac:dyDescent="0.3">
      <c r="B84" s="333" t="s">
        <v>41</v>
      </c>
      <c r="G84" s="334">
        <v>113.8</v>
      </c>
      <c r="H84" s="335">
        <v>114</v>
      </c>
      <c r="I84" s="335">
        <v>119.7</v>
      </c>
      <c r="J84" s="335">
        <v>119.574</v>
      </c>
      <c r="K84" s="335">
        <v>127.182</v>
      </c>
      <c r="L84" s="335">
        <v>115.967</v>
      </c>
      <c r="M84" s="335">
        <v>114.788</v>
      </c>
      <c r="N84" s="335">
        <v>118.60899999999999</v>
      </c>
    </row>
    <row r="85" spans="2:14" x14ac:dyDescent="0.3">
      <c r="B85" s="292" t="s">
        <v>373</v>
      </c>
      <c r="G85" s="344">
        <v>2679.4</v>
      </c>
      <c r="H85" s="344">
        <v>2468</v>
      </c>
      <c r="I85" s="344">
        <v>2443</v>
      </c>
      <c r="J85" s="344">
        <v>2468.5709999999999</v>
      </c>
      <c r="K85" s="344">
        <v>2598.3360000000002</v>
      </c>
      <c r="L85" s="344">
        <v>2629.6729999999998</v>
      </c>
      <c r="M85" s="344">
        <v>2721.4179999999997</v>
      </c>
      <c r="N85" s="344">
        <v>2940.0960000000005</v>
      </c>
    </row>
    <row r="86" spans="2:14" x14ac:dyDescent="0.3">
      <c r="B86" s="345"/>
      <c r="G86" s="346"/>
      <c r="H86" s="346"/>
      <c r="I86" s="346"/>
      <c r="J86" s="346"/>
      <c r="K86" s="346"/>
      <c r="L86" s="346"/>
      <c r="M86" s="346"/>
      <c r="N86" s="346">
        <v>0</v>
      </c>
    </row>
    <row r="87" spans="2:14" x14ac:dyDescent="0.3">
      <c r="B87" s="657" t="s">
        <v>374</v>
      </c>
      <c r="G87" s="664" t="s">
        <v>347</v>
      </c>
      <c r="H87" s="664" t="s">
        <v>348</v>
      </c>
      <c r="I87" s="664" t="s">
        <v>349</v>
      </c>
      <c r="J87" s="664" t="s">
        <v>350</v>
      </c>
      <c r="K87" s="498" t="s">
        <v>351</v>
      </c>
      <c r="L87" s="498" t="s">
        <v>352</v>
      </c>
      <c r="M87" s="501" t="s">
        <v>353</v>
      </c>
      <c r="N87" s="501" t="s">
        <v>375</v>
      </c>
    </row>
    <row r="88" spans="2:14" x14ac:dyDescent="0.3">
      <c r="B88" s="657"/>
      <c r="G88" s="664"/>
      <c r="H88" s="664"/>
      <c r="I88" s="664"/>
      <c r="J88" s="664"/>
      <c r="K88" s="500"/>
      <c r="L88" s="500"/>
      <c r="M88" s="501"/>
      <c r="N88" s="501">
        <v>0</v>
      </c>
    </row>
    <row r="89" spans="2:14" x14ac:dyDescent="0.3">
      <c r="B89" s="292" t="s">
        <v>354</v>
      </c>
      <c r="G89" s="295">
        <v>739.5999999999998</v>
      </c>
      <c r="H89" s="295">
        <v>727.72500000000002</v>
      </c>
      <c r="I89" s="295">
        <v>854.80000000000007</v>
      </c>
      <c r="J89" s="295">
        <v>716.2</v>
      </c>
      <c r="K89" s="295">
        <v>850.69599999999991</v>
      </c>
      <c r="L89" s="295">
        <v>816.55099999999982</v>
      </c>
      <c r="M89" s="295">
        <v>762.88099999999997</v>
      </c>
      <c r="N89" s="295">
        <v>840.83699999999999</v>
      </c>
    </row>
    <row r="90" spans="2:14" x14ac:dyDescent="0.3">
      <c r="B90" s="333" t="s">
        <v>376</v>
      </c>
      <c r="G90" s="334">
        <v>337.7</v>
      </c>
      <c r="H90" s="335">
        <v>375.798</v>
      </c>
      <c r="I90" s="335">
        <v>497</v>
      </c>
      <c r="J90" s="335">
        <v>403.7</v>
      </c>
      <c r="K90" s="335">
        <v>396.74700000000001</v>
      </c>
      <c r="L90" s="335">
        <v>383.58800000000002</v>
      </c>
      <c r="M90" s="335">
        <v>444.86099999999999</v>
      </c>
      <c r="N90" s="335">
        <v>392.62400000000002</v>
      </c>
    </row>
    <row r="91" spans="2:14" x14ac:dyDescent="0.3">
      <c r="B91" s="333" t="s">
        <v>48</v>
      </c>
      <c r="G91" s="334">
        <v>25.4</v>
      </c>
      <c r="H91" s="335">
        <v>11.891999999999999</v>
      </c>
      <c r="I91" s="335">
        <v>0</v>
      </c>
      <c r="J91" s="335">
        <v>1.7</v>
      </c>
      <c r="K91" s="335">
        <v>134.48400000000001</v>
      </c>
      <c r="L91" s="335">
        <v>134.99299999999999</v>
      </c>
      <c r="M91" s="335">
        <v>11.952</v>
      </c>
      <c r="N91" s="335">
        <v>67.323999999999998</v>
      </c>
    </row>
    <row r="92" spans="2:14" x14ac:dyDescent="0.3">
      <c r="B92" s="333" t="s">
        <v>357</v>
      </c>
      <c r="G92" s="334">
        <v>0</v>
      </c>
      <c r="H92" s="334">
        <v>0</v>
      </c>
      <c r="I92" s="334">
        <v>0</v>
      </c>
      <c r="J92" s="334">
        <v>0</v>
      </c>
      <c r="K92" s="335">
        <v>0</v>
      </c>
      <c r="L92" s="335"/>
      <c r="M92" s="334"/>
      <c r="N92" s="334">
        <v>0</v>
      </c>
    </row>
    <row r="93" spans="2:14" x14ac:dyDescent="0.3">
      <c r="B93" s="333" t="s">
        <v>44</v>
      </c>
      <c r="G93" s="336">
        <v>213</v>
      </c>
      <c r="H93" s="335">
        <v>186.488</v>
      </c>
      <c r="I93" s="335">
        <v>194</v>
      </c>
      <c r="J93" s="335">
        <v>167.1</v>
      </c>
      <c r="K93" s="335">
        <v>152.15600000000001</v>
      </c>
      <c r="L93" s="335">
        <v>144.04</v>
      </c>
      <c r="M93" s="335">
        <v>163.26499999999999</v>
      </c>
      <c r="N93" s="335">
        <v>195.72</v>
      </c>
    </row>
    <row r="94" spans="2:14" x14ac:dyDescent="0.3">
      <c r="B94" s="333" t="s">
        <v>377</v>
      </c>
      <c r="G94" s="334">
        <v>14.3</v>
      </c>
      <c r="H94" s="335">
        <v>12.47</v>
      </c>
      <c r="I94" s="335">
        <v>11.5</v>
      </c>
      <c r="J94" s="335">
        <v>12.1</v>
      </c>
      <c r="K94" s="335">
        <v>17.298999999999999</v>
      </c>
      <c r="L94" s="335">
        <v>13.935</v>
      </c>
      <c r="M94" s="335">
        <v>13.553000000000001</v>
      </c>
      <c r="N94" s="335">
        <v>20.327999999999999</v>
      </c>
    </row>
    <row r="95" spans="2:14" x14ac:dyDescent="0.3">
      <c r="B95" s="333" t="s">
        <v>378</v>
      </c>
      <c r="G95" s="334">
        <v>49.5</v>
      </c>
      <c r="H95" s="335">
        <v>46.63</v>
      </c>
      <c r="I95" s="335">
        <v>53.7</v>
      </c>
      <c r="J95" s="335">
        <v>51.6</v>
      </c>
      <c r="K95" s="335">
        <v>55.082999999999998</v>
      </c>
      <c r="L95" s="335">
        <v>54.454000000000001</v>
      </c>
      <c r="M95" s="335">
        <v>59.691000000000003</v>
      </c>
      <c r="N95" s="335">
        <v>78.947000000000003</v>
      </c>
    </row>
    <row r="96" spans="2:14" x14ac:dyDescent="0.3">
      <c r="B96" s="333" t="s">
        <v>362</v>
      </c>
      <c r="G96" s="334">
        <v>18</v>
      </c>
      <c r="H96" s="335">
        <v>0</v>
      </c>
      <c r="I96" s="335">
        <v>0</v>
      </c>
      <c r="J96" s="335">
        <v>0</v>
      </c>
      <c r="K96" s="335">
        <v>0</v>
      </c>
      <c r="L96" s="335"/>
      <c r="M96" s="335"/>
      <c r="N96" s="335">
        <v>0</v>
      </c>
    </row>
    <row r="97" spans="2:14" x14ac:dyDescent="0.3">
      <c r="B97" s="333" t="s">
        <v>379</v>
      </c>
      <c r="G97" s="334">
        <v>20</v>
      </c>
      <c r="H97" s="335">
        <v>0</v>
      </c>
      <c r="I97" s="335">
        <v>0</v>
      </c>
      <c r="J97" s="335">
        <v>0</v>
      </c>
      <c r="K97" s="335">
        <v>0</v>
      </c>
      <c r="L97" s="335"/>
      <c r="M97" s="335"/>
      <c r="N97" s="335">
        <v>0</v>
      </c>
    </row>
    <row r="98" spans="2:14" x14ac:dyDescent="0.3">
      <c r="B98" s="333" t="s">
        <v>380</v>
      </c>
      <c r="G98" s="334">
        <v>4.0999999999999996</v>
      </c>
      <c r="H98" s="335">
        <v>13.115</v>
      </c>
      <c r="I98" s="335">
        <v>16</v>
      </c>
      <c r="J98" s="335">
        <v>16.600000000000001</v>
      </c>
      <c r="K98" s="335">
        <v>18.337</v>
      </c>
      <c r="L98" s="335">
        <v>17.617000000000001</v>
      </c>
      <c r="M98" s="335">
        <v>19.472999999999999</v>
      </c>
      <c r="N98" s="335">
        <v>19.844999999999999</v>
      </c>
    </row>
    <row r="99" spans="2:14" x14ac:dyDescent="0.3">
      <c r="B99" s="333" t="s">
        <v>381</v>
      </c>
      <c r="G99" s="334">
        <v>5.3</v>
      </c>
      <c r="H99" s="335">
        <v>13.736000000000001</v>
      </c>
      <c r="I99" s="335">
        <v>10</v>
      </c>
      <c r="J99" s="335">
        <v>4.3</v>
      </c>
      <c r="K99" s="335">
        <v>7.048</v>
      </c>
      <c r="L99" s="335">
        <v>6.3040000000000003</v>
      </c>
      <c r="M99" s="335">
        <v>7.202</v>
      </c>
      <c r="N99" s="335">
        <v>8.7170000000000005</v>
      </c>
    </row>
    <row r="100" spans="2:14" x14ac:dyDescent="0.3">
      <c r="B100" s="333" t="s">
        <v>382</v>
      </c>
      <c r="G100" s="336">
        <v>52.3</v>
      </c>
      <c r="H100" s="337">
        <v>67.596000000000004</v>
      </c>
      <c r="I100" s="337">
        <v>72.599999999999994</v>
      </c>
      <c r="J100" s="335">
        <v>59.1</v>
      </c>
      <c r="K100" s="335">
        <v>69.542000000000002</v>
      </c>
      <c r="L100" s="335">
        <v>61.62</v>
      </c>
      <c r="M100" s="335">
        <v>42.884</v>
      </c>
      <c r="N100" s="335">
        <v>57.332000000000001</v>
      </c>
    </row>
    <row r="101" spans="2:14" x14ac:dyDescent="0.3">
      <c r="B101" s="292" t="s">
        <v>364</v>
      </c>
      <c r="G101" s="344">
        <v>733.3</v>
      </c>
      <c r="H101" s="344">
        <v>522.71600000000001</v>
      </c>
      <c r="I101" s="344">
        <v>436.3</v>
      </c>
      <c r="J101" s="344">
        <v>666.6</v>
      </c>
      <c r="K101" s="344">
        <v>668.67200000000003</v>
      </c>
      <c r="L101" s="344">
        <v>785.31799999999998</v>
      </c>
      <c r="M101" s="344">
        <v>809.03000000000009</v>
      </c>
      <c r="N101" s="344">
        <v>938.66700000000003</v>
      </c>
    </row>
    <row r="102" spans="2:14" x14ac:dyDescent="0.3">
      <c r="B102" s="333" t="s">
        <v>376</v>
      </c>
      <c r="G102" s="334">
        <v>519.9</v>
      </c>
      <c r="H102" s="335">
        <v>328.01600000000002</v>
      </c>
      <c r="I102" s="335">
        <v>251.6</v>
      </c>
      <c r="J102" s="335">
        <v>191.5</v>
      </c>
      <c r="K102" s="335">
        <v>292.97500000000002</v>
      </c>
      <c r="L102" s="335">
        <v>580.69299999999998</v>
      </c>
      <c r="M102" s="335">
        <v>582.17999999999995</v>
      </c>
      <c r="N102" s="335">
        <v>620.79300000000001</v>
      </c>
    </row>
    <row r="103" spans="2:14" x14ac:dyDescent="0.3">
      <c r="B103" s="333" t="s">
        <v>48</v>
      </c>
      <c r="G103" s="334">
        <v>5.3</v>
      </c>
      <c r="H103" s="335">
        <v>0</v>
      </c>
      <c r="I103" s="335">
        <v>0</v>
      </c>
      <c r="J103" s="335">
        <v>263.7</v>
      </c>
      <c r="K103" s="335">
        <v>133.84800000000001</v>
      </c>
      <c r="L103" s="335">
        <v>0</v>
      </c>
      <c r="M103" s="335">
        <v>36.643000000000001</v>
      </c>
      <c r="N103" s="335">
        <v>106.60599999999999</v>
      </c>
    </row>
    <row r="104" spans="2:14" x14ac:dyDescent="0.3">
      <c r="B104" s="333" t="s">
        <v>381</v>
      </c>
      <c r="G104" s="334">
        <v>8.6999999999999993</v>
      </c>
      <c r="H104" s="335">
        <v>11.724</v>
      </c>
      <c r="I104" s="335">
        <v>11.9</v>
      </c>
      <c r="J104" s="335">
        <v>12.8</v>
      </c>
      <c r="K104" s="335">
        <v>20.606999999999999</v>
      </c>
      <c r="L104" s="335">
        <v>15.462999999999999</v>
      </c>
      <c r="M104" s="335">
        <v>13.816000000000001</v>
      </c>
      <c r="N104" s="335">
        <v>15.898</v>
      </c>
    </row>
    <row r="105" spans="2:14" x14ac:dyDescent="0.3">
      <c r="B105" s="333" t="s">
        <v>380</v>
      </c>
      <c r="G105" s="334">
        <v>68.8</v>
      </c>
      <c r="H105" s="335">
        <v>49.859000000000002</v>
      </c>
      <c r="I105" s="335">
        <v>48.6</v>
      </c>
      <c r="J105" s="335">
        <v>47.9</v>
      </c>
      <c r="K105" s="335">
        <v>49.043999999999997</v>
      </c>
      <c r="L105" s="335">
        <v>48.744</v>
      </c>
      <c r="M105" s="335">
        <v>42.783999999999999</v>
      </c>
      <c r="N105" s="335">
        <v>43.881</v>
      </c>
    </row>
    <row r="106" spans="2:14" x14ac:dyDescent="0.3">
      <c r="B106" s="333" t="s">
        <v>50</v>
      </c>
      <c r="G106" s="334">
        <v>17.7</v>
      </c>
      <c r="H106" s="335">
        <v>0</v>
      </c>
      <c r="I106" s="335">
        <v>1.1000000000000001</v>
      </c>
      <c r="J106" s="335">
        <v>8</v>
      </c>
      <c r="K106" s="335">
        <v>8.4000000000000005E-2</v>
      </c>
      <c r="L106" s="335">
        <v>0</v>
      </c>
      <c r="M106" s="335"/>
      <c r="N106" s="335">
        <v>0.06</v>
      </c>
    </row>
    <row r="107" spans="2:14" x14ac:dyDescent="0.3">
      <c r="B107" s="333" t="s">
        <v>383</v>
      </c>
      <c r="G107" s="334">
        <v>77.5</v>
      </c>
      <c r="H107" s="335">
        <v>86.765000000000001</v>
      </c>
      <c r="I107" s="335">
        <v>80.2</v>
      </c>
      <c r="J107" s="335">
        <v>101.1</v>
      </c>
      <c r="K107" s="335">
        <v>131.72900000000001</v>
      </c>
      <c r="L107" s="335">
        <v>106.01</v>
      </c>
      <c r="M107" s="335">
        <v>95.536000000000001</v>
      </c>
      <c r="N107" s="335">
        <v>109.575</v>
      </c>
    </row>
    <row r="108" spans="2:14" x14ac:dyDescent="0.3">
      <c r="B108" s="333" t="s">
        <v>384</v>
      </c>
      <c r="G108" s="336">
        <v>16.3</v>
      </c>
      <c r="H108" s="335">
        <v>18.859000000000002</v>
      </c>
      <c r="I108" s="335">
        <v>17.899999999999999</v>
      </c>
      <c r="J108" s="335">
        <v>22</v>
      </c>
      <c r="K108" s="335">
        <v>23.295999999999999</v>
      </c>
      <c r="L108" s="335">
        <v>21.835999999999999</v>
      </c>
      <c r="M108" s="335">
        <v>18.61</v>
      </c>
      <c r="N108" s="335">
        <v>13.015000000000001</v>
      </c>
    </row>
    <row r="109" spans="2:14" x14ac:dyDescent="0.3">
      <c r="B109" s="333" t="s">
        <v>385</v>
      </c>
      <c r="G109" s="336"/>
      <c r="H109" s="335"/>
      <c r="I109" s="335"/>
      <c r="J109" s="335"/>
      <c r="K109" s="335"/>
      <c r="L109" s="335"/>
      <c r="M109" s="335">
        <v>4.2869999999999999</v>
      </c>
      <c r="N109" s="337">
        <v>4.2869999999999999</v>
      </c>
    </row>
    <row r="110" spans="2:14" x14ac:dyDescent="0.3">
      <c r="B110" s="333" t="s">
        <v>386</v>
      </c>
      <c r="G110" s="334">
        <v>19.100000000000001</v>
      </c>
      <c r="H110" s="335">
        <v>27.492999999999999</v>
      </c>
      <c r="I110" s="335">
        <v>25</v>
      </c>
      <c r="J110" s="335">
        <v>19.600000000000001</v>
      </c>
      <c r="K110" s="335">
        <v>17.088999999999999</v>
      </c>
      <c r="L110" s="335">
        <v>12.571999999999999</v>
      </c>
      <c r="M110" s="335">
        <v>15.173999999999999</v>
      </c>
      <c r="N110" s="335">
        <v>24.552</v>
      </c>
    </row>
    <row r="111" spans="2:14" x14ac:dyDescent="0.3">
      <c r="B111" s="292" t="s">
        <v>62</v>
      </c>
      <c r="G111" s="344">
        <v>1206.5000000000002</v>
      </c>
      <c r="H111" s="344">
        <v>1217.4730000000004</v>
      </c>
      <c r="I111" s="344">
        <v>1151.8999999999999</v>
      </c>
      <c r="J111" s="344">
        <v>1085.8</v>
      </c>
      <c r="K111" s="344">
        <v>1078.9680000000003</v>
      </c>
      <c r="L111" s="344">
        <v>1027.8040000000003</v>
      </c>
      <c r="M111" s="344">
        <v>1149.5070000000001</v>
      </c>
      <c r="N111" s="344">
        <v>1160.5920000000001</v>
      </c>
    </row>
    <row r="112" spans="2:14" x14ac:dyDescent="0.3">
      <c r="B112" s="333" t="s">
        <v>387</v>
      </c>
      <c r="G112" s="335">
        <v>1691.2</v>
      </c>
      <c r="H112" s="335">
        <v>1860.2650000000001</v>
      </c>
      <c r="I112" s="335">
        <v>1860.3</v>
      </c>
      <c r="J112" s="335">
        <v>1860.3</v>
      </c>
      <c r="K112" s="335">
        <v>1860.2650000000001</v>
      </c>
      <c r="L112" s="335">
        <v>1860.2650000000001</v>
      </c>
      <c r="M112" s="335">
        <v>1860.2650000000001</v>
      </c>
      <c r="N112" s="335">
        <v>1860.2650000000001</v>
      </c>
    </row>
    <row r="113" spans="2:14" x14ac:dyDescent="0.3">
      <c r="B113" s="333" t="s">
        <v>388</v>
      </c>
      <c r="G113" s="335">
        <v>79.400000000000006</v>
      </c>
      <c r="H113" s="335">
        <v>79.381</v>
      </c>
      <c r="I113" s="335">
        <v>79.400000000000006</v>
      </c>
      <c r="J113" s="335">
        <v>79.400000000000006</v>
      </c>
      <c r="K113" s="335">
        <v>79.381</v>
      </c>
      <c r="L113" s="335">
        <v>79.381</v>
      </c>
      <c r="M113" s="335">
        <v>79.381</v>
      </c>
      <c r="N113" s="335">
        <v>79.381</v>
      </c>
    </row>
    <row r="114" spans="2:14" x14ac:dyDescent="0.3">
      <c r="B114" s="333" t="s">
        <v>69</v>
      </c>
      <c r="G114" s="335">
        <v>0</v>
      </c>
      <c r="H114" s="347">
        <v>-34.1</v>
      </c>
      <c r="I114" s="347">
        <v>-21.9</v>
      </c>
      <c r="J114" s="347">
        <v>-40.4</v>
      </c>
      <c r="K114" s="347">
        <v>-33.479999999999997</v>
      </c>
      <c r="L114" s="347">
        <v>-36.664000000000001</v>
      </c>
      <c r="M114" s="347">
        <v>82.435000000000002</v>
      </c>
      <c r="N114" s="347">
        <v>82.435000000000002</v>
      </c>
    </row>
    <row r="115" spans="2:14" x14ac:dyDescent="0.3">
      <c r="B115" s="333" t="s">
        <v>389</v>
      </c>
      <c r="G115" s="347">
        <v>-149.19999999999999</v>
      </c>
      <c r="H115" s="347">
        <v>-168.42500000000001</v>
      </c>
      <c r="I115" s="347">
        <v>-190</v>
      </c>
      <c r="J115" s="347">
        <v>-209.2</v>
      </c>
      <c r="K115" s="347">
        <v>-248.11600000000001</v>
      </c>
      <c r="L115" s="347">
        <v>-271.08999999999997</v>
      </c>
      <c r="M115" s="347">
        <v>-274.173</v>
      </c>
      <c r="N115" s="347">
        <v>-255.727</v>
      </c>
    </row>
    <row r="116" spans="2:14" x14ac:dyDescent="0.3">
      <c r="B116" s="333" t="s">
        <v>71</v>
      </c>
      <c r="G116" s="335">
        <v>25.2</v>
      </c>
      <c r="H116" s="335">
        <v>25.17</v>
      </c>
      <c r="I116" s="335">
        <v>25.2</v>
      </c>
      <c r="J116" s="335">
        <v>25.2</v>
      </c>
      <c r="K116" s="335">
        <v>25.17</v>
      </c>
      <c r="L116" s="335">
        <v>25.17</v>
      </c>
      <c r="M116" s="335">
        <v>25.17</v>
      </c>
      <c r="N116" s="335">
        <v>25.17</v>
      </c>
    </row>
    <row r="117" spans="2:14" x14ac:dyDescent="0.3">
      <c r="B117" s="333" t="s">
        <v>390</v>
      </c>
      <c r="G117" s="348">
        <v>-448.9</v>
      </c>
      <c r="H117" s="348">
        <v>-551.70000000000005</v>
      </c>
      <c r="I117" s="348">
        <v>-608.9</v>
      </c>
      <c r="J117" s="348">
        <v>-637.20000000000005</v>
      </c>
      <c r="K117" s="348">
        <v>-614.72</v>
      </c>
      <c r="L117" s="348">
        <v>-633.92600000000004</v>
      </c>
      <c r="M117" s="348">
        <v>-623.57100000000003</v>
      </c>
      <c r="N117" s="348">
        <v>-630.93200000000002</v>
      </c>
    </row>
    <row r="118" spans="2:14" x14ac:dyDescent="0.3">
      <c r="B118" s="333" t="s">
        <v>391</v>
      </c>
      <c r="G118" s="335">
        <v>8.8000000000000007</v>
      </c>
      <c r="H118" s="335">
        <v>6.8819999999999997</v>
      </c>
      <c r="I118" s="335">
        <v>7.8</v>
      </c>
      <c r="J118" s="335">
        <v>7.7</v>
      </c>
      <c r="K118" s="335">
        <v>10.468</v>
      </c>
      <c r="L118" s="335">
        <v>4.6680000000000001</v>
      </c>
      <c r="M118" s="335">
        <v>0</v>
      </c>
      <c r="N118" s="335">
        <v>0</v>
      </c>
    </row>
    <row r="119" spans="2:14" x14ac:dyDescent="0.3">
      <c r="B119" s="292" t="s">
        <v>392</v>
      </c>
      <c r="G119" s="344">
        <v>2679.3999999999996</v>
      </c>
      <c r="H119" s="344">
        <v>2467.9140000000007</v>
      </c>
      <c r="I119" s="344">
        <v>2443</v>
      </c>
      <c r="J119" s="344">
        <v>2468.6000000000004</v>
      </c>
      <c r="K119" s="344">
        <v>2598.3360000000002</v>
      </c>
      <c r="L119" s="344">
        <v>2629.6729999999998</v>
      </c>
      <c r="M119" s="344">
        <v>2721.4180000000001</v>
      </c>
      <c r="N119" s="344">
        <v>2940.096</v>
      </c>
    </row>
    <row r="123" spans="2:14" x14ac:dyDescent="0.3">
      <c r="B123" s="657" t="s">
        <v>393</v>
      </c>
      <c r="G123" s="665">
        <v>40908</v>
      </c>
      <c r="H123" s="660">
        <v>2012</v>
      </c>
      <c r="I123" s="660">
        <v>2013</v>
      </c>
      <c r="J123" s="660">
        <v>2014</v>
      </c>
      <c r="K123" s="493">
        <v>2015</v>
      </c>
      <c r="L123" s="493">
        <v>2016</v>
      </c>
      <c r="M123" s="493">
        <v>2017</v>
      </c>
      <c r="N123" s="502" t="s">
        <v>313</v>
      </c>
    </row>
    <row r="124" spans="2:14" x14ac:dyDescent="0.3">
      <c r="B124" s="657"/>
      <c r="G124" s="666"/>
      <c r="H124" s="661"/>
      <c r="I124" s="661"/>
      <c r="J124" s="661"/>
      <c r="K124" s="495"/>
      <c r="L124" s="495"/>
      <c r="M124" s="503"/>
      <c r="N124" s="502"/>
    </row>
    <row r="125" spans="2:14" x14ac:dyDescent="0.3">
      <c r="B125" s="349" t="s">
        <v>394</v>
      </c>
      <c r="G125" s="350"/>
      <c r="H125" s="350"/>
      <c r="I125" s="350"/>
      <c r="J125" s="350"/>
      <c r="K125" s="351"/>
      <c r="L125" s="351"/>
      <c r="M125" s="352"/>
      <c r="N125" s="353"/>
    </row>
    <row r="126" spans="2:14" x14ac:dyDescent="0.3">
      <c r="B126" s="354" t="s">
        <v>395</v>
      </c>
      <c r="G126" s="355">
        <v>-407.19999999999987</v>
      </c>
      <c r="H126" s="355">
        <v>-144.20000000000002</v>
      </c>
      <c r="I126" s="355">
        <v>-52.7</v>
      </c>
      <c r="J126" s="355">
        <v>-29.105</v>
      </c>
      <c r="K126" s="356">
        <v>22.577000000000002</v>
      </c>
      <c r="L126" s="356">
        <v>-6.3410000000000002</v>
      </c>
      <c r="M126" s="356">
        <v>21.623999999999999</v>
      </c>
      <c r="N126" s="357">
        <v>7.5319999999999991</v>
      </c>
    </row>
    <row r="127" spans="2:14" x14ac:dyDescent="0.3">
      <c r="B127" s="358" t="s">
        <v>396</v>
      </c>
      <c r="G127" s="359"/>
      <c r="H127" s="359"/>
      <c r="I127" s="359"/>
      <c r="J127" s="359"/>
      <c r="K127" s="360"/>
      <c r="L127" s="360"/>
      <c r="M127" s="360"/>
      <c r="N127" s="361"/>
    </row>
    <row r="128" spans="2:14" x14ac:dyDescent="0.3">
      <c r="B128" s="333" t="s">
        <v>397</v>
      </c>
      <c r="G128" s="362">
        <v>100.5</v>
      </c>
      <c r="H128" s="362">
        <v>94</v>
      </c>
      <c r="I128" s="362">
        <v>91.5</v>
      </c>
      <c r="J128" s="362">
        <v>85.995000000000005</v>
      </c>
      <c r="K128" s="363">
        <v>78.686999999999998</v>
      </c>
      <c r="L128" s="363">
        <v>77.661000000000001</v>
      </c>
      <c r="M128" s="363">
        <v>73.709999999999994</v>
      </c>
      <c r="N128" s="347">
        <v>75.028999999999996</v>
      </c>
    </row>
    <row r="129" spans="2:14" x14ac:dyDescent="0.3">
      <c r="B129" s="333" t="s">
        <v>380</v>
      </c>
      <c r="G129" s="364">
        <v>0</v>
      </c>
      <c r="H129" s="364">
        <v>0</v>
      </c>
      <c r="I129" s="364">
        <v>0</v>
      </c>
      <c r="J129" s="364">
        <v>0</v>
      </c>
      <c r="K129" s="365">
        <v>0</v>
      </c>
      <c r="L129" s="365"/>
      <c r="M129" s="365"/>
      <c r="N129" s="347">
        <v>0</v>
      </c>
    </row>
    <row r="130" spans="2:14" x14ac:dyDescent="0.3">
      <c r="B130" s="333" t="s">
        <v>325</v>
      </c>
      <c r="G130" s="364"/>
      <c r="H130" s="364"/>
      <c r="I130" s="364"/>
      <c r="J130" s="364"/>
      <c r="K130" s="365"/>
      <c r="L130" s="363">
        <v>19.14</v>
      </c>
      <c r="M130" s="363"/>
      <c r="N130" s="347">
        <v>0</v>
      </c>
    </row>
    <row r="131" spans="2:14" x14ac:dyDescent="0.3">
      <c r="B131" s="333" t="s">
        <v>398</v>
      </c>
      <c r="G131" s="362">
        <v>92.5</v>
      </c>
      <c r="H131" s="362">
        <v>2.8</v>
      </c>
      <c r="I131" s="362">
        <v>3.2</v>
      </c>
      <c r="J131" s="362">
        <v>-7.3250000000000002</v>
      </c>
      <c r="K131" s="363">
        <v>12.993</v>
      </c>
      <c r="L131" s="363">
        <v>-58.253</v>
      </c>
      <c r="M131" s="363">
        <v>-25.965</v>
      </c>
      <c r="N131" s="347">
        <v>-55.730000000000004</v>
      </c>
    </row>
    <row r="132" spans="2:14" x14ac:dyDescent="0.3">
      <c r="B132" s="333" t="s">
        <v>399</v>
      </c>
      <c r="G132" s="362">
        <v>-0.4</v>
      </c>
      <c r="H132" s="362">
        <v>-83.9</v>
      </c>
      <c r="I132" s="362">
        <v>14.5</v>
      </c>
      <c r="J132" s="362">
        <v>15.756</v>
      </c>
      <c r="K132" s="363">
        <v>-25.248000000000001</v>
      </c>
      <c r="L132" s="363">
        <v>-5.5359999999999996</v>
      </c>
      <c r="M132" s="363">
        <v>-16.652999999999999</v>
      </c>
      <c r="N132" s="347">
        <v>-12.165999999999999</v>
      </c>
    </row>
    <row r="133" spans="2:14" x14ac:dyDescent="0.3">
      <c r="B133" s="333" t="s">
        <v>400</v>
      </c>
      <c r="G133" s="362">
        <v>59.9</v>
      </c>
      <c r="H133" s="362">
        <v>7.6</v>
      </c>
      <c r="I133" s="362">
        <v>-24.7</v>
      </c>
      <c r="J133" s="362">
        <v>-1.181</v>
      </c>
      <c r="K133" s="365">
        <v>0</v>
      </c>
      <c r="L133" s="365"/>
      <c r="M133" s="365"/>
      <c r="N133" s="347">
        <v>0</v>
      </c>
    </row>
    <row r="134" spans="2:14" x14ac:dyDescent="0.3">
      <c r="B134" s="333" t="s">
        <v>401</v>
      </c>
      <c r="G134" s="362"/>
      <c r="H134" s="362"/>
      <c r="I134" s="362"/>
      <c r="J134" s="362"/>
      <c r="K134" s="365"/>
      <c r="L134" s="365"/>
      <c r="M134" s="365"/>
      <c r="N134" s="366">
        <v>0</v>
      </c>
    </row>
    <row r="135" spans="2:14" x14ac:dyDescent="0.3">
      <c r="B135" s="333" t="s">
        <v>402</v>
      </c>
      <c r="G135" s="362"/>
      <c r="H135" s="362"/>
      <c r="I135" s="362"/>
      <c r="J135" s="362"/>
      <c r="K135" s="365"/>
      <c r="L135" s="367">
        <v>-0.21099999999999999</v>
      </c>
      <c r="M135" s="367">
        <v>0.28899999999999998</v>
      </c>
      <c r="N135" s="347">
        <v>3.7849999999999997</v>
      </c>
    </row>
    <row r="136" spans="2:14" x14ac:dyDescent="0.3">
      <c r="B136" s="333" t="s">
        <v>403</v>
      </c>
      <c r="G136" s="362">
        <v>60.6</v>
      </c>
      <c r="H136" s="368">
        <v>21.6</v>
      </c>
      <c r="I136" s="362">
        <v>-10.4</v>
      </c>
      <c r="J136" s="362">
        <v>-10.196</v>
      </c>
      <c r="K136" s="363">
        <v>-34.912999999999997</v>
      </c>
      <c r="L136" s="363">
        <v>20.001000000000001</v>
      </c>
      <c r="M136" s="363">
        <v>9.3710000000000004</v>
      </c>
      <c r="N136" s="347">
        <v>63.403999999999996</v>
      </c>
    </row>
    <row r="137" spans="2:14" x14ac:dyDescent="0.3">
      <c r="B137" s="333" t="s">
        <v>404</v>
      </c>
      <c r="G137" s="362">
        <v>60</v>
      </c>
      <c r="H137" s="362">
        <v>53.8</v>
      </c>
      <c r="I137" s="362">
        <v>60.2</v>
      </c>
      <c r="J137" s="362">
        <v>88.343000000000004</v>
      </c>
      <c r="K137" s="363">
        <v>113.117</v>
      </c>
      <c r="L137" s="363">
        <v>194.07599999999999</v>
      </c>
      <c r="M137" s="363">
        <v>156.36500000000001</v>
      </c>
      <c r="N137" s="347">
        <v>119.253</v>
      </c>
    </row>
    <row r="138" spans="2:14" x14ac:dyDescent="0.3">
      <c r="B138" s="333" t="s">
        <v>405</v>
      </c>
      <c r="G138" s="362">
        <v>4.3</v>
      </c>
      <c r="H138" s="368">
        <v>17.8</v>
      </c>
      <c r="I138" s="368">
        <v>0</v>
      </c>
      <c r="J138" s="368">
        <v>0</v>
      </c>
      <c r="K138" s="369"/>
      <c r="L138" s="369">
        <v>9.3059999999999992</v>
      </c>
      <c r="M138" s="369">
        <v>2.6389999999999998</v>
      </c>
      <c r="N138" s="347">
        <v>2.6389999999999998</v>
      </c>
    </row>
    <row r="139" spans="2:14" x14ac:dyDescent="0.3">
      <c r="B139" s="358"/>
      <c r="G139" s="359"/>
      <c r="H139" s="359"/>
      <c r="I139" s="359"/>
      <c r="J139" s="359"/>
      <c r="K139" s="360"/>
      <c r="L139" s="360"/>
      <c r="M139" s="360"/>
      <c r="N139" s="347">
        <v>0</v>
      </c>
    </row>
    <row r="140" spans="2:14" x14ac:dyDescent="0.3">
      <c r="B140" s="370" t="s">
        <v>406</v>
      </c>
      <c r="G140" s="359"/>
      <c r="H140" s="359"/>
      <c r="I140" s="359"/>
      <c r="J140" s="359"/>
      <c r="K140" s="360"/>
      <c r="L140" s="371"/>
      <c r="M140" s="371"/>
      <c r="N140" s="347">
        <v>0</v>
      </c>
    </row>
    <row r="141" spans="2:14" x14ac:dyDescent="0.3">
      <c r="B141" s="333" t="s">
        <v>356</v>
      </c>
      <c r="G141" s="364">
        <v>0</v>
      </c>
      <c r="H141" s="362">
        <v>-1.5</v>
      </c>
      <c r="I141" s="362">
        <v>0.4</v>
      </c>
      <c r="J141" s="362">
        <v>-0.16800000000000001</v>
      </c>
      <c r="K141" s="363">
        <v>-0.64</v>
      </c>
      <c r="L141" s="363">
        <v>-76.177000000000007</v>
      </c>
      <c r="M141" s="363">
        <v>-8.6940000000000008</v>
      </c>
      <c r="N141" s="347">
        <v>-14.908999999999999</v>
      </c>
    </row>
    <row r="142" spans="2:14" x14ac:dyDescent="0.3">
      <c r="B142" s="333" t="s">
        <v>357</v>
      </c>
      <c r="G142" s="364"/>
      <c r="H142" s="362"/>
      <c r="I142" s="362"/>
      <c r="J142" s="362"/>
      <c r="K142" s="363"/>
      <c r="L142" s="363"/>
      <c r="M142" s="363"/>
      <c r="N142" s="347">
        <v>-18.853999999999999</v>
      </c>
    </row>
    <row r="143" spans="2:14" x14ac:dyDescent="0.3">
      <c r="B143" s="333" t="s">
        <v>358</v>
      </c>
      <c r="G143" s="362">
        <v>64.5</v>
      </c>
      <c r="H143" s="362">
        <v>-10.5</v>
      </c>
      <c r="I143" s="362">
        <v>-61.6</v>
      </c>
      <c r="J143" s="362">
        <v>-9.1829999999999998</v>
      </c>
      <c r="K143" s="363">
        <v>13.663</v>
      </c>
      <c r="L143" s="363">
        <v>-89.412000000000006</v>
      </c>
      <c r="M143" s="363">
        <v>-24.12</v>
      </c>
      <c r="N143" s="347">
        <v>-30.342000000000009</v>
      </c>
    </row>
    <row r="144" spans="2:14" x14ac:dyDescent="0.3">
      <c r="B144" s="333" t="s">
        <v>75</v>
      </c>
      <c r="G144" s="362">
        <v>-153.9</v>
      </c>
      <c r="H144" s="362">
        <v>110</v>
      </c>
      <c r="I144" s="362">
        <v>29.5</v>
      </c>
      <c r="J144" s="362">
        <v>-30.576000000000001</v>
      </c>
      <c r="K144" s="363">
        <v>-68.426000000000002</v>
      </c>
      <c r="L144" s="363">
        <v>53.801000000000002</v>
      </c>
      <c r="M144" s="363">
        <v>17.609000000000002</v>
      </c>
      <c r="N144" s="347">
        <v>-20.22</v>
      </c>
    </row>
    <row r="145" spans="2:14" x14ac:dyDescent="0.3">
      <c r="B145" s="333" t="s">
        <v>359</v>
      </c>
      <c r="G145" s="362">
        <v>-3.5</v>
      </c>
      <c r="H145" s="362">
        <v>10.3</v>
      </c>
      <c r="I145" s="362">
        <v>6.7</v>
      </c>
      <c r="J145" s="362">
        <v>4.03</v>
      </c>
      <c r="K145" s="363">
        <v>7.1879999999999997</v>
      </c>
      <c r="L145" s="363">
        <v>2.641</v>
      </c>
      <c r="M145" s="363">
        <v>-1.611</v>
      </c>
      <c r="N145" s="347">
        <v>2.194</v>
      </c>
    </row>
    <row r="146" spans="2:14" x14ac:dyDescent="0.3">
      <c r="B146" s="333" t="s">
        <v>44</v>
      </c>
      <c r="G146" s="362">
        <v>20.7</v>
      </c>
      <c r="H146" s="362">
        <v>-26.5</v>
      </c>
      <c r="I146" s="362">
        <v>7.5</v>
      </c>
      <c r="J146" s="362">
        <v>-26.869</v>
      </c>
      <c r="K146" s="363">
        <v>-14.939</v>
      </c>
      <c r="L146" s="363">
        <v>43.006</v>
      </c>
      <c r="M146" s="363">
        <v>21.565000000000001</v>
      </c>
      <c r="N146" s="347">
        <v>39.407000000000004</v>
      </c>
    </row>
    <row r="147" spans="2:14" x14ac:dyDescent="0.3">
      <c r="B147" s="333" t="s">
        <v>377</v>
      </c>
      <c r="G147" s="362"/>
      <c r="H147" s="362"/>
      <c r="I147" s="362"/>
      <c r="J147" s="362"/>
      <c r="K147" s="363"/>
      <c r="L147" s="363"/>
      <c r="M147" s="363"/>
      <c r="N147" s="347">
        <v>0</v>
      </c>
    </row>
    <row r="148" spans="2:14" x14ac:dyDescent="0.3">
      <c r="B148" s="333" t="s">
        <v>23</v>
      </c>
      <c r="G148" s="362">
        <v>-26.9</v>
      </c>
      <c r="H148" s="362">
        <v>-32.200000000000003</v>
      </c>
      <c r="I148" s="362">
        <v>-14.5</v>
      </c>
      <c r="J148" s="362">
        <v>-49.924999999999997</v>
      </c>
      <c r="K148" s="363">
        <v>-24.486000000000001</v>
      </c>
      <c r="L148" s="363">
        <v>-42.901000000000003</v>
      </c>
      <c r="M148" s="363">
        <v>-40.655000000000001</v>
      </c>
      <c r="N148" s="347">
        <v>-23.587000000000003</v>
      </c>
    </row>
    <row r="149" spans="2:14" x14ac:dyDescent="0.3">
      <c r="B149" s="358"/>
      <c r="G149" s="359"/>
      <c r="H149" s="359"/>
      <c r="I149" s="359"/>
      <c r="J149" s="359"/>
      <c r="K149" s="360"/>
      <c r="L149" s="360"/>
      <c r="M149" s="360"/>
      <c r="N149" s="347">
        <v>0</v>
      </c>
    </row>
    <row r="150" spans="2:14" x14ac:dyDescent="0.3">
      <c r="B150" s="354" t="s">
        <v>407</v>
      </c>
      <c r="G150" s="355">
        <v>-128.89999999999989</v>
      </c>
      <c r="H150" s="355">
        <v>19.099999999999966</v>
      </c>
      <c r="I150" s="355">
        <v>49.5</v>
      </c>
      <c r="J150" s="355">
        <v>29.596</v>
      </c>
      <c r="K150" s="356">
        <v>79.573000000000022</v>
      </c>
      <c r="L150" s="356">
        <v>140.80099999999999</v>
      </c>
      <c r="M150" s="356">
        <v>185.47400000000002</v>
      </c>
      <c r="N150" s="357">
        <v>137.43500000000003</v>
      </c>
    </row>
    <row r="151" spans="2:14" x14ac:dyDescent="0.3">
      <c r="B151" s="358"/>
      <c r="G151" s="359"/>
      <c r="H151" s="359"/>
      <c r="I151" s="359"/>
      <c r="J151" s="359"/>
      <c r="K151" s="360"/>
      <c r="L151" s="360"/>
      <c r="M151" s="360"/>
      <c r="N151" s="347">
        <v>0</v>
      </c>
    </row>
    <row r="152" spans="2:14" x14ac:dyDescent="0.3">
      <c r="B152" s="333" t="s">
        <v>408</v>
      </c>
      <c r="G152" s="362">
        <v>-36.6</v>
      </c>
      <c r="H152" s="362">
        <v>-72.3</v>
      </c>
      <c r="I152" s="362">
        <v>-48.7</v>
      </c>
      <c r="J152" s="362">
        <v>-66.156999999999996</v>
      </c>
      <c r="K152" s="363">
        <v>-152.58199999999999</v>
      </c>
      <c r="L152" s="363">
        <v>-139.06800000000001</v>
      </c>
      <c r="M152" s="363">
        <v>-125.324</v>
      </c>
      <c r="N152" s="347">
        <v>-99.676999999999992</v>
      </c>
    </row>
    <row r="153" spans="2:14" x14ac:dyDescent="0.3">
      <c r="B153" s="333" t="s">
        <v>76</v>
      </c>
      <c r="G153" s="362">
        <v>-24.1</v>
      </c>
      <c r="H153" s="362">
        <v>-3</v>
      </c>
      <c r="I153" s="362">
        <v>-3.4</v>
      </c>
      <c r="J153" s="362">
        <v>1.139</v>
      </c>
      <c r="K153" s="363">
        <v>-5.891</v>
      </c>
      <c r="L153" s="363">
        <v>-1.49</v>
      </c>
      <c r="M153" s="363">
        <v>-6.1509999999999998</v>
      </c>
      <c r="N153" s="347">
        <v>-2.613</v>
      </c>
    </row>
    <row r="154" spans="2:14" x14ac:dyDescent="0.3">
      <c r="B154" s="358"/>
      <c r="G154" s="359"/>
      <c r="H154" s="359"/>
      <c r="I154" s="359"/>
      <c r="J154" s="359"/>
      <c r="K154" s="360"/>
      <c r="L154" s="360"/>
      <c r="M154" s="360"/>
      <c r="N154" s="347">
        <v>0</v>
      </c>
    </row>
    <row r="155" spans="2:14" x14ac:dyDescent="0.3">
      <c r="B155" s="354" t="s">
        <v>409</v>
      </c>
      <c r="G155" s="355">
        <v>-189.59999999999988</v>
      </c>
      <c r="H155" s="355">
        <v>-56.200000000000031</v>
      </c>
      <c r="I155" s="355">
        <v>-2.7</v>
      </c>
      <c r="J155" s="355">
        <v>-35.421999999999997</v>
      </c>
      <c r="K155" s="356">
        <v>-78.899999999999977</v>
      </c>
      <c r="L155" s="356">
        <v>0.24299999999997568</v>
      </c>
      <c r="M155" s="356">
        <v>53.999000000000024</v>
      </c>
      <c r="N155" s="357">
        <v>35.145000000000032</v>
      </c>
    </row>
    <row r="156" spans="2:14" x14ac:dyDescent="0.3">
      <c r="B156" s="372" t="s">
        <v>410</v>
      </c>
      <c r="G156" s="350"/>
      <c r="H156" s="350"/>
      <c r="I156" s="350"/>
      <c r="J156" s="350"/>
      <c r="K156" s="351"/>
      <c r="L156" s="351"/>
      <c r="M156" s="351"/>
      <c r="N156" s="347">
        <v>0</v>
      </c>
    </row>
    <row r="157" spans="2:14" x14ac:dyDescent="0.3">
      <c r="B157" s="370" t="s">
        <v>411</v>
      </c>
      <c r="G157" s="359"/>
      <c r="H157" s="359"/>
      <c r="I157" s="359"/>
      <c r="J157" s="359"/>
      <c r="K157" s="360"/>
      <c r="L157" s="360"/>
      <c r="M157" s="360"/>
      <c r="N157" s="347">
        <v>0</v>
      </c>
    </row>
    <row r="158" spans="2:14" x14ac:dyDescent="0.3">
      <c r="B158" s="333" t="s">
        <v>412</v>
      </c>
      <c r="G158" s="373">
        <v>-10.199999999999999</v>
      </c>
      <c r="H158" s="373">
        <v>-2.5</v>
      </c>
      <c r="I158" s="373">
        <v>0</v>
      </c>
      <c r="J158" s="373">
        <v>0</v>
      </c>
      <c r="K158" s="374">
        <v>0</v>
      </c>
      <c r="L158" s="374"/>
      <c r="M158" s="374"/>
      <c r="N158" s="347">
        <v>0</v>
      </c>
    </row>
    <row r="159" spans="2:14" x14ac:dyDescent="0.3">
      <c r="B159" s="333" t="s">
        <v>413</v>
      </c>
      <c r="G159" s="373"/>
      <c r="H159" s="373">
        <v>0</v>
      </c>
      <c r="I159" s="373">
        <v>0</v>
      </c>
      <c r="J159" s="373">
        <v>0</v>
      </c>
      <c r="K159" s="374">
        <v>-2</v>
      </c>
      <c r="L159" s="374"/>
      <c r="M159" s="374">
        <v>-15.916</v>
      </c>
      <c r="N159" s="347">
        <v>-17.158000000000001</v>
      </c>
    </row>
    <row r="160" spans="2:14" x14ac:dyDescent="0.3">
      <c r="B160" s="333" t="s">
        <v>414</v>
      </c>
      <c r="G160" s="362">
        <v>-74.3</v>
      </c>
      <c r="H160" s="362">
        <v>-60</v>
      </c>
      <c r="I160" s="362">
        <v>-56.7</v>
      </c>
      <c r="J160" s="362">
        <v>-55.05</v>
      </c>
      <c r="K160" s="363">
        <v>-42.179000000000002</v>
      </c>
      <c r="L160" s="363">
        <v>-73.716999999999999</v>
      </c>
      <c r="M160" s="363">
        <v>-55.307000000000002</v>
      </c>
      <c r="N160" s="347">
        <v>-60.646999999999998</v>
      </c>
    </row>
    <row r="161" spans="2:14" x14ac:dyDescent="0.3">
      <c r="B161" s="333" t="s">
        <v>415</v>
      </c>
      <c r="G161" s="362">
        <v>-38.200000000000003</v>
      </c>
      <c r="H161" s="362">
        <v>-2.5</v>
      </c>
      <c r="I161" s="362">
        <v>-2.5</v>
      </c>
      <c r="J161" s="362">
        <v>-0.22</v>
      </c>
      <c r="K161" s="363">
        <v>-5.0000000000000001E-3</v>
      </c>
      <c r="L161" s="363">
        <v>-1.3380000000000001</v>
      </c>
      <c r="M161" s="363">
        <v>-3.1440000000000001</v>
      </c>
      <c r="N161" s="347">
        <v>-5.2210000000000001</v>
      </c>
    </row>
    <row r="162" spans="2:14" x14ac:dyDescent="0.3">
      <c r="B162" s="333" t="s">
        <v>416</v>
      </c>
      <c r="G162" s="362">
        <v>13.8</v>
      </c>
      <c r="H162" s="362">
        <v>100.4</v>
      </c>
      <c r="I162" s="362">
        <v>7.6</v>
      </c>
      <c r="J162" s="362">
        <v>39.244999999999997</v>
      </c>
      <c r="K162" s="363">
        <v>6.9640000000000004</v>
      </c>
      <c r="L162" s="363">
        <v>1.3440000000000001</v>
      </c>
      <c r="M162" s="363">
        <v>41.82</v>
      </c>
      <c r="N162" s="347">
        <v>35.521000000000001</v>
      </c>
    </row>
    <row r="163" spans="2:14" x14ac:dyDescent="0.3">
      <c r="B163" s="333" t="s">
        <v>362</v>
      </c>
      <c r="G163" s="362">
        <v>-19.899999999999999</v>
      </c>
      <c r="H163" s="362">
        <v>14.3</v>
      </c>
      <c r="I163" s="364">
        <v>0</v>
      </c>
      <c r="J163" s="364">
        <v>0</v>
      </c>
      <c r="K163" s="365"/>
      <c r="L163" s="365"/>
      <c r="M163" s="365"/>
      <c r="N163" s="347">
        <v>0</v>
      </c>
    </row>
    <row r="164" spans="2:14" x14ac:dyDescent="0.3">
      <c r="B164" s="333" t="s">
        <v>417</v>
      </c>
      <c r="G164" s="362">
        <v>19.2</v>
      </c>
      <c r="H164" s="362">
        <v>-8.6</v>
      </c>
      <c r="I164" s="362">
        <v>9.9</v>
      </c>
      <c r="J164" s="362">
        <v>2.036</v>
      </c>
      <c r="K164" s="363">
        <v>17.152000000000001</v>
      </c>
      <c r="L164" s="363">
        <v>-47.322000000000003</v>
      </c>
      <c r="M164" s="363">
        <v>-3.4049999999999998</v>
      </c>
      <c r="N164" s="347">
        <v>-37.915999999999997</v>
      </c>
    </row>
    <row r="165" spans="2:14" x14ac:dyDescent="0.3">
      <c r="B165" s="358"/>
      <c r="G165" s="359"/>
      <c r="H165" s="359"/>
      <c r="I165" s="359"/>
      <c r="J165" s="359"/>
      <c r="K165" s="360"/>
      <c r="L165" s="360"/>
      <c r="M165" s="360"/>
      <c r="N165" s="347">
        <v>0</v>
      </c>
    </row>
    <row r="166" spans="2:14" x14ac:dyDescent="0.3">
      <c r="B166" s="354" t="s">
        <v>418</v>
      </c>
      <c r="G166" s="355">
        <v>-109.60000000000001</v>
      </c>
      <c r="H166" s="355">
        <v>41.1</v>
      </c>
      <c r="I166" s="355">
        <v>-41.7</v>
      </c>
      <c r="J166" s="355">
        <v>-13.989000000000001</v>
      </c>
      <c r="K166" s="356">
        <v>-20.068000000000005</v>
      </c>
      <c r="L166" s="356">
        <v>-121.033</v>
      </c>
      <c r="M166" s="356">
        <v>-35.952000000000005</v>
      </c>
      <c r="N166" s="357">
        <v>-85.421000000000006</v>
      </c>
    </row>
    <row r="167" spans="2:14" x14ac:dyDescent="0.3">
      <c r="B167" s="358"/>
      <c r="G167" s="359"/>
      <c r="H167" s="359"/>
      <c r="I167" s="359"/>
      <c r="J167" s="359"/>
      <c r="K167" s="360"/>
      <c r="L167" s="360"/>
      <c r="M167" s="360"/>
      <c r="N167" s="361">
        <v>0</v>
      </c>
    </row>
    <row r="168" spans="2:14" x14ac:dyDescent="0.3">
      <c r="B168" s="370" t="s">
        <v>419</v>
      </c>
      <c r="G168" s="350"/>
      <c r="H168" s="350"/>
      <c r="I168" s="350"/>
      <c r="J168" s="350"/>
      <c r="K168" s="351"/>
      <c r="L168" s="351"/>
      <c r="M168" s="351"/>
      <c r="N168" s="375">
        <v>0</v>
      </c>
    </row>
    <row r="169" spans="2:14" x14ac:dyDescent="0.3">
      <c r="B169" s="333" t="s">
        <v>420</v>
      </c>
      <c r="G169" s="359">
        <v>0</v>
      </c>
      <c r="H169" s="373">
        <v>189.4</v>
      </c>
      <c r="I169" s="373">
        <v>0</v>
      </c>
      <c r="J169" s="373">
        <v>0</v>
      </c>
      <c r="K169" s="374">
        <v>0</v>
      </c>
      <c r="L169" s="374"/>
      <c r="M169" s="374"/>
      <c r="N169" s="376">
        <v>0</v>
      </c>
    </row>
    <row r="170" spans="2:14" x14ac:dyDescent="0.3">
      <c r="B170" s="333" t="s">
        <v>421</v>
      </c>
      <c r="G170" s="359">
        <v>0</v>
      </c>
      <c r="H170" s="373">
        <v>-15</v>
      </c>
      <c r="I170" s="373">
        <v>0</v>
      </c>
      <c r="J170" s="373">
        <v>0</v>
      </c>
      <c r="K170" s="374">
        <v>0</v>
      </c>
      <c r="L170" s="374"/>
      <c r="M170" s="374"/>
      <c r="N170" s="376">
        <v>0</v>
      </c>
    </row>
    <row r="171" spans="2:14" x14ac:dyDescent="0.3">
      <c r="B171" s="333" t="s">
        <v>422</v>
      </c>
      <c r="G171" s="377">
        <v>856.2</v>
      </c>
      <c r="H171" s="377">
        <v>330.1</v>
      </c>
      <c r="I171" s="377">
        <v>232.9</v>
      </c>
      <c r="J171" s="377">
        <v>323.3</v>
      </c>
      <c r="K171" s="378">
        <v>728.42899999999997</v>
      </c>
      <c r="L171" s="378">
        <v>910.44299999999998</v>
      </c>
      <c r="M171" s="378">
        <v>840.86900000000003</v>
      </c>
      <c r="N171" s="348">
        <v>895.77700000000004</v>
      </c>
    </row>
    <row r="172" spans="2:14" x14ac:dyDescent="0.3">
      <c r="B172" s="333" t="s">
        <v>423</v>
      </c>
      <c r="G172" s="379">
        <v>0</v>
      </c>
      <c r="H172" s="379">
        <v>0</v>
      </c>
      <c r="I172" s="379">
        <v>0</v>
      </c>
      <c r="J172" s="380">
        <v>270</v>
      </c>
      <c r="K172" s="381">
        <v>0</v>
      </c>
      <c r="L172" s="381"/>
      <c r="M172" s="381"/>
      <c r="N172" s="382">
        <v>0</v>
      </c>
    </row>
    <row r="173" spans="2:14" x14ac:dyDescent="0.3">
      <c r="B173" s="333" t="s">
        <v>424</v>
      </c>
      <c r="G173" s="377">
        <v>-553.20000000000005</v>
      </c>
      <c r="H173" s="377">
        <v>-526.6</v>
      </c>
      <c r="I173" s="377">
        <v>-215.2</v>
      </c>
      <c r="J173" s="377">
        <v>-496.2</v>
      </c>
      <c r="K173" s="378">
        <v>-616.05999999999995</v>
      </c>
      <c r="L173" s="378">
        <v>-769.13900000000001</v>
      </c>
      <c r="M173" s="378">
        <v>-860.25199999999995</v>
      </c>
      <c r="N173" s="348">
        <v>-834.61099999999999</v>
      </c>
    </row>
    <row r="174" spans="2:14" x14ac:dyDescent="0.3">
      <c r="B174" s="383" t="s">
        <v>425</v>
      </c>
      <c r="G174" s="377">
        <v>-0.4</v>
      </c>
      <c r="H174" s="380">
        <v>0</v>
      </c>
      <c r="I174" s="380">
        <v>0</v>
      </c>
      <c r="J174" s="380">
        <v>0</v>
      </c>
      <c r="K174" s="381">
        <v>0</v>
      </c>
      <c r="L174" s="381"/>
      <c r="M174" s="381"/>
      <c r="N174" s="335">
        <v>0</v>
      </c>
    </row>
    <row r="175" spans="2:14" x14ac:dyDescent="0.3">
      <c r="B175" s="384" t="s">
        <v>426</v>
      </c>
      <c r="G175" s="379">
        <v>0</v>
      </c>
      <c r="H175" s="380">
        <v>0</v>
      </c>
      <c r="I175" s="377">
        <v>-4.0999999999999996</v>
      </c>
      <c r="J175" s="380">
        <v>0</v>
      </c>
      <c r="K175" s="381">
        <v>0</v>
      </c>
      <c r="L175" s="381"/>
      <c r="M175" s="381"/>
      <c r="N175" s="335">
        <v>0</v>
      </c>
    </row>
    <row r="176" spans="2:14" x14ac:dyDescent="0.3">
      <c r="B176" s="358"/>
      <c r="G176" s="359"/>
      <c r="H176" s="359"/>
      <c r="I176" s="359"/>
      <c r="J176" s="380">
        <v>0</v>
      </c>
      <c r="K176" s="381">
        <v>0</v>
      </c>
      <c r="L176" s="381">
        <v>0</v>
      </c>
      <c r="M176" s="381">
        <v>0</v>
      </c>
      <c r="N176" s="361">
        <v>0</v>
      </c>
    </row>
    <row r="177" spans="2:14" x14ac:dyDescent="0.3">
      <c r="B177" s="354" t="s">
        <v>427</v>
      </c>
      <c r="G177" s="355">
        <v>302.60000000000002</v>
      </c>
      <c r="H177" s="355">
        <v>-22.100000000000023</v>
      </c>
      <c r="I177" s="355">
        <v>13.6</v>
      </c>
      <c r="J177" s="355">
        <v>97</v>
      </c>
      <c r="K177" s="356">
        <v>112.36900000000003</v>
      </c>
      <c r="L177" s="356">
        <v>141.30399999999997</v>
      </c>
      <c r="M177" s="356">
        <v>-19.382999999999925</v>
      </c>
      <c r="N177" s="357">
        <v>61.166000000000054</v>
      </c>
    </row>
    <row r="178" spans="2:14" x14ac:dyDescent="0.3">
      <c r="B178" s="358"/>
      <c r="G178" s="359"/>
      <c r="H178" s="359"/>
      <c r="I178" s="359"/>
      <c r="J178" s="359"/>
      <c r="K178" s="360"/>
      <c r="L178" s="360"/>
      <c r="M178" s="360"/>
      <c r="N178" s="361">
        <v>0</v>
      </c>
    </row>
    <row r="179" spans="2:14" x14ac:dyDescent="0.3">
      <c r="B179" s="349" t="s">
        <v>428</v>
      </c>
      <c r="G179" s="362">
        <v>1.9</v>
      </c>
      <c r="H179" s="362">
        <v>-0.1</v>
      </c>
      <c r="I179" s="362">
        <v>3.1</v>
      </c>
      <c r="J179" s="362">
        <v>0.4</v>
      </c>
      <c r="K179" s="363">
        <v>6.9539999999999997</v>
      </c>
      <c r="L179" s="363">
        <v>-10.079000000000001</v>
      </c>
      <c r="M179" s="363">
        <v>-3.5920000000000001</v>
      </c>
      <c r="N179" s="347">
        <v>4.375</v>
      </c>
    </row>
    <row r="180" spans="2:14" x14ac:dyDescent="0.3">
      <c r="B180" s="358"/>
      <c r="G180" s="359"/>
      <c r="H180" s="359"/>
      <c r="I180" s="359"/>
      <c r="J180" s="359"/>
      <c r="K180" s="360"/>
      <c r="L180" s="360"/>
      <c r="M180" s="360"/>
      <c r="N180" s="361">
        <v>0</v>
      </c>
    </row>
    <row r="181" spans="2:14" x14ac:dyDescent="0.3">
      <c r="B181" s="354" t="s">
        <v>429</v>
      </c>
      <c r="G181" s="355">
        <v>5.3000000000000966</v>
      </c>
      <c r="H181" s="355">
        <v>-37.300000000000054</v>
      </c>
      <c r="I181" s="355">
        <v>-27.7</v>
      </c>
      <c r="J181" s="355">
        <v>48</v>
      </c>
      <c r="K181" s="356">
        <v>20.35500000000004</v>
      </c>
      <c r="L181" s="356">
        <v>10.434999999999953</v>
      </c>
      <c r="M181" s="356">
        <v>-4.9279999999999067</v>
      </c>
      <c r="N181" s="357">
        <v>15.265000000000075</v>
      </c>
    </row>
    <row r="182" spans="2:14" x14ac:dyDescent="0.3">
      <c r="B182" s="358"/>
      <c r="G182" s="359"/>
      <c r="H182" s="359"/>
      <c r="I182" s="359"/>
      <c r="J182" s="359"/>
      <c r="K182" s="360"/>
      <c r="L182" s="360"/>
      <c r="M182" s="360"/>
      <c r="N182" s="361">
        <v>0</v>
      </c>
    </row>
    <row r="183" spans="2:14" x14ac:dyDescent="0.3">
      <c r="B183" s="370" t="s">
        <v>430</v>
      </c>
      <c r="G183" s="350"/>
      <c r="H183" s="350"/>
      <c r="I183" s="350"/>
      <c r="J183" s="350"/>
      <c r="K183" s="351"/>
      <c r="L183" s="351"/>
      <c r="M183" s="351"/>
      <c r="N183" s="375">
        <v>0</v>
      </c>
    </row>
    <row r="184" spans="2:14" x14ac:dyDescent="0.3">
      <c r="B184" s="333" t="s">
        <v>431</v>
      </c>
      <c r="G184" s="362">
        <v>141.30000000000001</v>
      </c>
      <c r="H184" s="377">
        <v>146.6</v>
      </c>
      <c r="I184" s="377">
        <v>109.3</v>
      </c>
      <c r="J184" s="377">
        <v>81.599999999999994</v>
      </c>
      <c r="K184" s="378">
        <v>129.57</v>
      </c>
      <c r="L184" s="378">
        <v>149.92500000000001</v>
      </c>
      <c r="M184" s="378">
        <v>160.35999999999996</v>
      </c>
      <c r="N184" s="348">
        <v>538.41500000000008</v>
      </c>
    </row>
    <row r="185" spans="2:14" x14ac:dyDescent="0.3">
      <c r="B185" s="333" t="s">
        <v>432</v>
      </c>
      <c r="G185" s="362">
        <v>146.6</v>
      </c>
      <c r="H185" s="377">
        <v>109.3</v>
      </c>
      <c r="I185" s="377">
        <v>81.599999999999994</v>
      </c>
      <c r="J185" s="377">
        <v>129.6</v>
      </c>
      <c r="K185" s="378">
        <v>149.92500000000001</v>
      </c>
      <c r="L185" s="378">
        <v>160.35999999999996</v>
      </c>
      <c r="M185" s="378">
        <v>155.43200000000004</v>
      </c>
      <c r="N185" s="348">
        <v>553.68000000000018</v>
      </c>
    </row>
    <row r="186" spans="2:14" x14ac:dyDescent="0.3">
      <c r="B186" s="358"/>
      <c r="G186" s="385"/>
      <c r="H186" s="385"/>
      <c r="I186" s="385"/>
      <c r="J186" s="385"/>
      <c r="K186" s="386"/>
      <c r="L186" s="386"/>
      <c r="M186" s="386"/>
      <c r="N186" s="387">
        <v>0</v>
      </c>
    </row>
    <row r="187" spans="2:14" x14ac:dyDescent="0.3">
      <c r="B187" s="354" t="s">
        <v>429</v>
      </c>
      <c r="G187" s="388">
        <v>5.2999999999999829</v>
      </c>
      <c r="H187" s="388">
        <v>-37.299999999999997</v>
      </c>
      <c r="I187" s="388">
        <v>-27.700000000000003</v>
      </c>
      <c r="J187" s="388">
        <v>48</v>
      </c>
      <c r="K187" s="389">
        <v>20.355000000000018</v>
      </c>
      <c r="L187" s="389">
        <v>10.434999999999945</v>
      </c>
      <c r="M187" s="389">
        <v>-4.927999999999912</v>
      </c>
      <c r="N187" s="357">
        <v>15.265000000000086</v>
      </c>
    </row>
    <row r="192" spans="2:14" x14ac:dyDescent="0.3">
      <c r="B192" s="667" t="s">
        <v>433</v>
      </c>
      <c r="G192" s="665">
        <v>40908</v>
      </c>
      <c r="H192" s="660">
        <v>2012</v>
      </c>
      <c r="I192" s="660">
        <v>2013</v>
      </c>
      <c r="J192" s="660">
        <v>2014</v>
      </c>
      <c r="K192" s="497">
        <v>2015</v>
      </c>
      <c r="L192" s="497">
        <v>2016</v>
      </c>
      <c r="M192" s="497">
        <v>2017</v>
      </c>
      <c r="N192" s="504" t="s">
        <v>313</v>
      </c>
    </row>
    <row r="193" spans="2:14" x14ac:dyDescent="0.3">
      <c r="B193" s="667"/>
      <c r="G193" s="666"/>
      <c r="H193" s="661"/>
      <c r="I193" s="661"/>
      <c r="J193" s="661"/>
      <c r="K193" s="499"/>
      <c r="L193" s="499"/>
      <c r="M193" s="499"/>
      <c r="N193" s="504"/>
    </row>
    <row r="194" spans="2:14" x14ac:dyDescent="0.3">
      <c r="B194" s="390" t="s">
        <v>434</v>
      </c>
      <c r="G194" s="391">
        <v>193</v>
      </c>
      <c r="H194" s="391">
        <v>231</v>
      </c>
      <c r="I194" s="391">
        <v>241</v>
      </c>
      <c r="J194" s="391">
        <v>239</v>
      </c>
      <c r="K194" s="391">
        <v>229</v>
      </c>
      <c r="L194" s="391">
        <v>223</v>
      </c>
      <c r="M194" s="391">
        <v>231</v>
      </c>
      <c r="N194" s="392">
        <v>232</v>
      </c>
    </row>
    <row r="195" spans="2:14" x14ac:dyDescent="0.3">
      <c r="B195" s="393" t="s">
        <v>435</v>
      </c>
      <c r="G195" s="394">
        <v>78</v>
      </c>
      <c r="H195" s="394">
        <v>103</v>
      </c>
      <c r="I195" s="394">
        <v>118</v>
      </c>
      <c r="J195" s="394">
        <v>112</v>
      </c>
      <c r="K195" s="394">
        <v>92</v>
      </c>
      <c r="L195" s="394">
        <v>78</v>
      </c>
      <c r="M195" s="394">
        <v>71</v>
      </c>
      <c r="N195" s="395">
        <v>69</v>
      </c>
    </row>
    <row r="196" spans="2:14" x14ac:dyDescent="0.3">
      <c r="B196" s="393" t="s">
        <v>436</v>
      </c>
      <c r="G196" s="394">
        <v>115</v>
      </c>
      <c r="H196" s="394">
        <v>128</v>
      </c>
      <c r="I196" s="394">
        <v>123</v>
      </c>
      <c r="J196" s="394">
        <v>127</v>
      </c>
      <c r="K196" s="394">
        <v>137</v>
      </c>
      <c r="L196" s="394">
        <v>145</v>
      </c>
      <c r="M196" s="394">
        <v>160</v>
      </c>
      <c r="N196" s="395">
        <v>163</v>
      </c>
    </row>
    <row r="197" spans="2:14" x14ac:dyDescent="0.3">
      <c r="B197" s="396" t="s">
        <v>437</v>
      </c>
      <c r="G197" s="397">
        <v>0</v>
      </c>
      <c r="H197" s="397">
        <v>1</v>
      </c>
      <c r="I197" s="397">
        <v>1</v>
      </c>
      <c r="J197" s="397">
        <v>0</v>
      </c>
      <c r="K197" s="397">
        <v>0</v>
      </c>
      <c r="L197" s="397">
        <v>0</v>
      </c>
      <c r="M197" s="397">
        <v>0</v>
      </c>
      <c r="N197" s="398">
        <v>0</v>
      </c>
    </row>
    <row r="198" spans="2:14" x14ac:dyDescent="0.3">
      <c r="B198" s="399" t="s">
        <v>438</v>
      </c>
      <c r="G198" s="400">
        <v>0</v>
      </c>
      <c r="H198" s="400">
        <v>1</v>
      </c>
      <c r="I198" s="397">
        <v>1</v>
      </c>
      <c r="J198" s="397">
        <v>0</v>
      </c>
      <c r="K198" s="397">
        <v>0</v>
      </c>
      <c r="L198" s="397">
        <v>0</v>
      </c>
      <c r="M198" s="397">
        <v>0</v>
      </c>
      <c r="N198" s="401">
        <v>0</v>
      </c>
    </row>
    <row r="199" spans="2:14" x14ac:dyDescent="0.3">
      <c r="B199" s="399" t="s">
        <v>439</v>
      </c>
      <c r="G199" s="400">
        <v>0</v>
      </c>
      <c r="H199" s="400">
        <v>0</v>
      </c>
      <c r="I199" s="397">
        <v>0</v>
      </c>
      <c r="J199" s="397">
        <v>0</v>
      </c>
      <c r="K199" s="397">
        <v>0</v>
      </c>
      <c r="L199" s="397">
        <v>0</v>
      </c>
      <c r="M199" s="397">
        <v>0</v>
      </c>
      <c r="N199" s="401">
        <v>0</v>
      </c>
    </row>
    <row r="200" spans="2:14" x14ac:dyDescent="0.3">
      <c r="B200" s="396" t="s">
        <v>440</v>
      </c>
      <c r="G200" s="397">
        <v>162</v>
      </c>
      <c r="H200" s="397">
        <v>176</v>
      </c>
      <c r="I200" s="397">
        <v>174</v>
      </c>
      <c r="J200" s="397">
        <v>174</v>
      </c>
      <c r="K200" s="397">
        <v>170</v>
      </c>
      <c r="L200" s="397">
        <v>161</v>
      </c>
      <c r="M200" s="397">
        <v>159</v>
      </c>
      <c r="N200" s="398">
        <v>157</v>
      </c>
    </row>
    <row r="201" spans="2:14" x14ac:dyDescent="0.3">
      <c r="B201" s="399" t="s">
        <v>438</v>
      </c>
      <c r="G201" s="400">
        <v>47</v>
      </c>
      <c r="H201" s="400">
        <v>48</v>
      </c>
      <c r="I201" s="397">
        <v>51</v>
      </c>
      <c r="J201" s="397">
        <v>47</v>
      </c>
      <c r="K201" s="397">
        <v>42</v>
      </c>
      <c r="L201" s="397">
        <v>35</v>
      </c>
      <c r="M201" s="397">
        <v>31</v>
      </c>
      <c r="N201" s="401">
        <v>32</v>
      </c>
    </row>
    <row r="202" spans="2:14" x14ac:dyDescent="0.3">
      <c r="B202" s="399" t="s">
        <v>439</v>
      </c>
      <c r="G202" s="400">
        <v>115</v>
      </c>
      <c r="H202" s="400">
        <v>128</v>
      </c>
      <c r="I202" s="397">
        <v>123</v>
      </c>
      <c r="J202" s="397">
        <v>127</v>
      </c>
      <c r="K202" s="397">
        <v>128</v>
      </c>
      <c r="L202" s="397">
        <v>126</v>
      </c>
      <c r="M202" s="397">
        <v>128</v>
      </c>
      <c r="N202" s="401">
        <v>125</v>
      </c>
    </row>
    <row r="203" spans="2:14" x14ac:dyDescent="0.3">
      <c r="B203" s="396" t="s">
        <v>441</v>
      </c>
      <c r="G203" s="397">
        <v>31</v>
      </c>
      <c r="H203" s="397">
        <v>54</v>
      </c>
      <c r="I203" s="397">
        <v>66</v>
      </c>
      <c r="J203" s="397">
        <v>65</v>
      </c>
      <c r="K203" s="397">
        <v>59</v>
      </c>
      <c r="L203" s="397">
        <v>62</v>
      </c>
      <c r="M203" s="397">
        <v>72</v>
      </c>
      <c r="N203" s="398">
        <v>75</v>
      </c>
    </row>
    <row r="204" spans="2:14" x14ac:dyDescent="0.3">
      <c r="B204" s="399" t="s">
        <v>438</v>
      </c>
      <c r="G204" s="400">
        <v>31</v>
      </c>
      <c r="H204" s="400">
        <v>54</v>
      </c>
      <c r="I204" s="397">
        <v>66</v>
      </c>
      <c r="J204" s="397">
        <v>65</v>
      </c>
      <c r="K204" s="397">
        <v>50</v>
      </c>
      <c r="L204" s="397">
        <v>43</v>
      </c>
      <c r="M204" s="397">
        <v>40</v>
      </c>
      <c r="N204" s="401">
        <v>37</v>
      </c>
    </row>
    <row r="205" spans="2:14" x14ac:dyDescent="0.3">
      <c r="B205" s="399" t="s">
        <v>439</v>
      </c>
      <c r="G205" s="402">
        <v>0</v>
      </c>
      <c r="H205" s="402">
        <v>0</v>
      </c>
      <c r="I205" s="397">
        <v>0</v>
      </c>
      <c r="J205" s="397">
        <v>0</v>
      </c>
      <c r="K205" s="397">
        <v>9</v>
      </c>
      <c r="L205" s="397">
        <v>19</v>
      </c>
      <c r="M205" s="397">
        <v>32</v>
      </c>
      <c r="N205" s="403">
        <v>38</v>
      </c>
    </row>
    <row r="206" spans="2:14" x14ac:dyDescent="0.3">
      <c r="B206" s="404"/>
      <c r="G206" s="402"/>
      <c r="H206" s="402"/>
      <c r="I206" s="397"/>
      <c r="J206" s="397"/>
      <c r="K206" s="397"/>
      <c r="L206" s="405"/>
      <c r="M206" s="405"/>
      <c r="N206" s="96"/>
    </row>
    <row r="207" spans="2:14" x14ac:dyDescent="0.3">
      <c r="B207" s="406" t="s">
        <v>442</v>
      </c>
      <c r="G207" s="407"/>
      <c r="H207" s="407"/>
      <c r="I207" s="407"/>
      <c r="J207" s="407"/>
      <c r="K207" s="407"/>
      <c r="L207" s="408"/>
      <c r="M207" s="408"/>
    </row>
    <row r="208" spans="2:14" x14ac:dyDescent="0.3">
      <c r="B208" s="657" t="s">
        <v>443</v>
      </c>
      <c r="G208" s="409"/>
      <c r="H208" s="409"/>
      <c r="I208" s="409"/>
      <c r="J208" s="409"/>
      <c r="K208" s="409"/>
      <c r="L208" s="409"/>
      <c r="M208" s="409"/>
      <c r="N208" s="410"/>
    </row>
    <row r="209" spans="2:14" x14ac:dyDescent="0.3">
      <c r="B209" s="657"/>
      <c r="G209" s="409"/>
      <c r="H209" s="409"/>
      <c r="I209" s="409"/>
      <c r="J209" s="409"/>
      <c r="K209" s="409"/>
      <c r="L209" s="409"/>
      <c r="M209" s="409"/>
      <c r="N209" s="410"/>
    </row>
    <row r="210" spans="2:14" x14ac:dyDescent="0.3">
      <c r="B210" s="390" t="s">
        <v>444</v>
      </c>
      <c r="G210" s="411"/>
      <c r="H210" s="411"/>
      <c r="I210" s="411">
        <v>2043</v>
      </c>
      <c r="J210" s="411">
        <v>2092</v>
      </c>
      <c r="K210" s="411">
        <v>2267.1</v>
      </c>
      <c r="L210" s="411">
        <v>2311.2999999999997</v>
      </c>
      <c r="M210" s="411">
        <v>2198.7000000000003</v>
      </c>
      <c r="N210" s="412">
        <v>2255.4000000000005</v>
      </c>
    </row>
    <row r="211" spans="2:14" x14ac:dyDescent="0.3">
      <c r="B211" s="399" t="s">
        <v>445</v>
      </c>
      <c r="G211" s="413"/>
      <c r="H211" s="413"/>
      <c r="I211" s="413">
        <v>1121.3</v>
      </c>
      <c r="J211" s="413">
        <v>1087.9000000000001</v>
      </c>
      <c r="K211" s="413">
        <v>1083.5999999999999</v>
      </c>
      <c r="L211" s="414">
        <v>1023.6</v>
      </c>
      <c r="M211" s="414">
        <v>987</v>
      </c>
      <c r="N211" s="415">
        <v>996.6</v>
      </c>
    </row>
    <row r="212" spans="2:14" x14ac:dyDescent="0.3">
      <c r="B212" s="416" t="s">
        <v>446</v>
      </c>
      <c r="G212" s="413"/>
      <c r="H212" s="413"/>
      <c r="I212" s="413">
        <v>424</v>
      </c>
      <c r="J212" s="413">
        <v>492.6</v>
      </c>
      <c r="K212" s="413">
        <v>718</v>
      </c>
      <c r="L212" s="414">
        <v>775.5</v>
      </c>
      <c r="M212" s="414">
        <v>669</v>
      </c>
      <c r="N212" s="415">
        <v>745.4</v>
      </c>
    </row>
    <row r="213" spans="2:14" x14ac:dyDescent="0.3">
      <c r="B213" s="399" t="s">
        <v>447</v>
      </c>
      <c r="G213" s="417"/>
      <c r="H213" s="417"/>
      <c r="I213" s="418">
        <v>249.7</v>
      </c>
      <c r="J213" s="418">
        <v>228.4</v>
      </c>
      <c r="K213" s="413">
        <v>200.1</v>
      </c>
      <c r="L213" s="414">
        <v>260.10000000000002</v>
      </c>
      <c r="M213" s="414">
        <v>289.89999999999998</v>
      </c>
      <c r="N213" s="415">
        <v>253.69999999999996</v>
      </c>
    </row>
    <row r="214" spans="2:14" x14ac:dyDescent="0.3">
      <c r="B214" s="399" t="s">
        <v>448</v>
      </c>
      <c r="G214" s="413"/>
      <c r="H214" s="413"/>
      <c r="I214" s="413">
        <v>248</v>
      </c>
      <c r="J214" s="413">
        <v>283.10000000000002</v>
      </c>
      <c r="K214" s="413">
        <v>265.39999999999998</v>
      </c>
      <c r="L214" s="414">
        <v>252.1</v>
      </c>
      <c r="M214" s="414">
        <v>252.8</v>
      </c>
      <c r="N214" s="415">
        <v>259.60000000000002</v>
      </c>
    </row>
    <row r="215" spans="2:14" x14ac:dyDescent="0.3">
      <c r="G215" s="419"/>
      <c r="H215" s="419"/>
      <c r="I215" s="419"/>
      <c r="J215" s="419"/>
      <c r="K215" s="419"/>
      <c r="L215" s="408"/>
      <c r="M215" s="408"/>
      <c r="N215" s="420"/>
    </row>
    <row r="216" spans="2:14" x14ac:dyDescent="0.3">
      <c r="B216" s="657" t="s">
        <v>449</v>
      </c>
      <c r="G216" s="409"/>
      <c r="H216" s="409"/>
      <c r="I216" s="409"/>
      <c r="J216" s="409"/>
      <c r="K216" s="409"/>
      <c r="L216" s="409"/>
      <c r="M216" s="409"/>
      <c r="N216" s="410"/>
    </row>
    <row r="217" spans="2:14" x14ac:dyDescent="0.3">
      <c r="B217" s="657"/>
      <c r="G217" s="409"/>
      <c r="H217" s="409"/>
      <c r="I217" s="409"/>
      <c r="J217" s="409"/>
      <c r="K217" s="409"/>
      <c r="L217" s="409"/>
      <c r="M217" s="409"/>
      <c r="N217" s="410"/>
    </row>
    <row r="218" spans="2:14" x14ac:dyDescent="0.3">
      <c r="B218" s="390" t="s">
        <v>450</v>
      </c>
      <c r="G218" s="411"/>
      <c r="H218" s="421"/>
      <c r="I218" s="421">
        <v>119154</v>
      </c>
      <c r="J218" s="421">
        <v>111639</v>
      </c>
      <c r="K218" s="421">
        <v>102739</v>
      </c>
      <c r="L218" s="421">
        <v>107093</v>
      </c>
      <c r="M218" s="421">
        <v>104320</v>
      </c>
      <c r="N218" s="412">
        <v>98142</v>
      </c>
    </row>
    <row r="219" spans="2:14" x14ac:dyDescent="0.3">
      <c r="B219" s="399" t="s">
        <v>445</v>
      </c>
      <c r="G219" s="413"/>
      <c r="H219" s="422"/>
      <c r="I219" s="422">
        <v>49426</v>
      </c>
      <c r="J219" s="422">
        <v>41735</v>
      </c>
      <c r="K219" s="422">
        <v>35451</v>
      </c>
      <c r="L219" s="423">
        <v>32772</v>
      </c>
      <c r="M219" s="423">
        <v>31514</v>
      </c>
      <c r="N219" s="415">
        <v>30158</v>
      </c>
    </row>
    <row r="220" spans="2:14" x14ac:dyDescent="0.3">
      <c r="B220" s="416" t="s">
        <v>446</v>
      </c>
      <c r="G220" s="413"/>
      <c r="H220" s="422"/>
      <c r="I220" s="422">
        <v>38158</v>
      </c>
      <c r="J220" s="422">
        <v>40677</v>
      </c>
      <c r="K220" s="422">
        <v>42475</v>
      </c>
      <c r="L220" s="423">
        <v>46333</v>
      </c>
      <c r="M220" s="423">
        <v>44651</v>
      </c>
      <c r="N220" s="415">
        <v>43840</v>
      </c>
    </row>
    <row r="221" spans="2:14" x14ac:dyDescent="0.3">
      <c r="B221" s="399" t="s">
        <v>447</v>
      </c>
      <c r="G221" s="417"/>
      <c r="H221" s="424"/>
      <c r="I221" s="425">
        <v>31570</v>
      </c>
      <c r="J221" s="424">
        <v>29227</v>
      </c>
      <c r="K221" s="425">
        <v>24813</v>
      </c>
      <c r="L221" s="425">
        <v>27988</v>
      </c>
      <c r="M221" s="425">
        <v>28155</v>
      </c>
      <c r="N221" s="415">
        <v>24144</v>
      </c>
    </row>
    <row r="222" spans="2:14" x14ac:dyDescent="0.3">
      <c r="B222" s="399" t="s">
        <v>448</v>
      </c>
      <c r="G222" s="413"/>
      <c r="H222" s="422"/>
      <c r="I222" s="422"/>
      <c r="J222" s="422"/>
      <c r="K222" s="422"/>
      <c r="L222" s="408"/>
      <c r="M222" s="408"/>
      <c r="N222" s="426"/>
    </row>
    <row r="223" spans="2:14" x14ac:dyDescent="0.3">
      <c r="G223" s="419"/>
      <c r="H223" s="427"/>
      <c r="I223" s="427"/>
      <c r="J223" s="427"/>
      <c r="K223" s="427"/>
      <c r="L223" s="408"/>
      <c r="M223" s="408"/>
      <c r="N223" s="420"/>
    </row>
    <row r="224" spans="2:14" x14ac:dyDescent="0.3">
      <c r="B224" s="657" t="s">
        <v>451</v>
      </c>
      <c r="G224" s="409"/>
      <c r="H224" s="428"/>
      <c r="I224" s="428"/>
      <c r="J224" s="428"/>
      <c r="K224" s="428"/>
      <c r="L224" s="428"/>
      <c r="M224" s="428"/>
      <c r="N224" s="410"/>
    </row>
    <row r="225" spans="2:14" x14ac:dyDescent="0.3">
      <c r="B225" s="657"/>
      <c r="G225" s="409"/>
      <c r="H225" s="428"/>
      <c r="I225" s="428"/>
      <c r="J225" s="428"/>
      <c r="K225" s="428"/>
      <c r="L225" s="428"/>
      <c r="M225" s="428"/>
      <c r="N225" s="410"/>
    </row>
    <row r="226" spans="2:14" x14ac:dyDescent="0.3">
      <c r="B226" s="390" t="s">
        <v>452</v>
      </c>
      <c r="G226" s="411"/>
      <c r="H226" s="411"/>
      <c r="I226" s="411">
        <v>17.145878443023317</v>
      </c>
      <c r="J226" s="411">
        <v>18.738971148075493</v>
      </c>
      <c r="K226" s="411">
        <v>22.066595937277956</v>
      </c>
      <c r="L226" s="411">
        <v>21.582176239343372</v>
      </c>
      <c r="M226" s="411">
        <v>21.076495398773009</v>
      </c>
      <c r="N226" s="412">
        <v>22.980986733508594</v>
      </c>
    </row>
    <row r="227" spans="2:14" x14ac:dyDescent="0.3">
      <c r="B227" s="399" t="s">
        <v>445</v>
      </c>
      <c r="G227" s="413"/>
      <c r="H227" s="413"/>
      <c r="I227" s="413">
        <v>22.7</v>
      </c>
      <c r="J227" s="413">
        <v>26.1</v>
      </c>
      <c r="K227" s="413">
        <v>30.566133536430563</v>
      </c>
      <c r="L227" s="414">
        <v>31.233980227023068</v>
      </c>
      <c r="M227" s="414">
        <v>31.319413593958242</v>
      </c>
      <c r="N227" s="415">
        <v>33.045957954771538</v>
      </c>
    </row>
    <row r="228" spans="2:14" x14ac:dyDescent="0.3">
      <c r="B228" s="416" t="s">
        <v>446</v>
      </c>
      <c r="G228" s="413"/>
      <c r="H228" s="413"/>
      <c r="I228" s="413">
        <v>11.1</v>
      </c>
      <c r="J228" s="413">
        <v>12.1</v>
      </c>
      <c r="K228" s="413">
        <v>16.904061212477931</v>
      </c>
      <c r="L228" s="414">
        <v>16.737530485830835</v>
      </c>
      <c r="M228" s="414">
        <v>14.982867125036393</v>
      </c>
      <c r="N228" s="415">
        <v>17.002737226277372</v>
      </c>
    </row>
    <row r="229" spans="2:14" x14ac:dyDescent="0.3">
      <c r="B229" s="399" t="s">
        <v>447</v>
      </c>
      <c r="G229" s="417"/>
      <c r="H229" s="417"/>
      <c r="I229" s="418">
        <v>7.9</v>
      </c>
      <c r="J229" s="418">
        <v>7.8</v>
      </c>
      <c r="K229" s="413">
        <v>8.0643211219925046</v>
      </c>
      <c r="L229" s="429">
        <v>9.2932685436615685</v>
      </c>
      <c r="M229" s="429">
        <v>10.296572544841059</v>
      </c>
      <c r="N229" s="415">
        <v>10.507786613651424</v>
      </c>
    </row>
    <row r="233" spans="2:14" x14ac:dyDescent="0.3">
      <c r="B233" s="657" t="s">
        <v>453</v>
      </c>
      <c r="G233" s="665">
        <v>40908</v>
      </c>
      <c r="H233" s="660">
        <v>2012</v>
      </c>
      <c r="I233" s="660">
        <v>2013</v>
      </c>
      <c r="J233" s="660">
        <v>2014</v>
      </c>
      <c r="K233" s="497">
        <v>2015</v>
      </c>
      <c r="L233" s="493">
        <v>2016</v>
      </c>
      <c r="M233" s="493">
        <v>2017</v>
      </c>
      <c r="N233" s="504" t="s">
        <v>313</v>
      </c>
    </row>
    <row r="234" spans="2:14" x14ac:dyDescent="0.3">
      <c r="B234" s="657"/>
      <c r="G234" s="666"/>
      <c r="H234" s="661"/>
      <c r="I234" s="661"/>
      <c r="J234" s="661"/>
      <c r="K234" s="499"/>
      <c r="L234" s="495"/>
      <c r="M234" s="495"/>
      <c r="N234" s="504"/>
    </row>
    <row r="235" spans="2:14" x14ac:dyDescent="0.3">
      <c r="B235" s="390" t="s">
        <v>444</v>
      </c>
      <c r="G235" s="411">
        <v>1407.8</v>
      </c>
      <c r="H235" s="411">
        <v>1682.9</v>
      </c>
      <c r="I235" s="411">
        <v>2043</v>
      </c>
      <c r="J235" s="411">
        <v>2092</v>
      </c>
      <c r="K235" s="411">
        <v>2267.1000000000004</v>
      </c>
      <c r="L235" s="430">
        <v>2311.2999999999997</v>
      </c>
      <c r="M235" s="430">
        <v>2198.7000000000003</v>
      </c>
      <c r="N235" s="412">
        <v>2255.4000000000005</v>
      </c>
    </row>
    <row r="236" spans="2:14" x14ac:dyDescent="0.3">
      <c r="B236" s="399" t="s">
        <v>454</v>
      </c>
      <c r="G236" s="413">
        <v>465.9</v>
      </c>
      <c r="H236" s="413">
        <v>663.3</v>
      </c>
      <c r="I236" s="413">
        <v>713.1</v>
      </c>
      <c r="J236" s="413">
        <v>698.2</v>
      </c>
      <c r="K236" s="418">
        <v>923.8</v>
      </c>
      <c r="L236" s="431">
        <v>965.2</v>
      </c>
      <c r="M236" s="431">
        <v>784.6</v>
      </c>
      <c r="N236" s="432">
        <v>864.5</v>
      </c>
    </row>
    <row r="237" spans="2:14" x14ac:dyDescent="0.3">
      <c r="B237" s="399" t="s">
        <v>455</v>
      </c>
      <c r="G237" s="413">
        <v>941.9</v>
      </c>
      <c r="H237" s="413">
        <v>1019.6</v>
      </c>
      <c r="I237" s="413">
        <v>1329.9</v>
      </c>
      <c r="J237" s="413">
        <v>1463.1</v>
      </c>
      <c r="K237" s="418">
        <v>1418.3000000000002</v>
      </c>
      <c r="L237" s="431">
        <v>1408.3999999999999</v>
      </c>
      <c r="M237" s="431">
        <v>1488.3</v>
      </c>
      <c r="N237" s="432">
        <v>1466.6999999999998</v>
      </c>
    </row>
    <row r="238" spans="2:14" x14ac:dyDescent="0.3">
      <c r="B238" s="396" t="s">
        <v>456</v>
      </c>
      <c r="G238" s="417">
        <v>181.4</v>
      </c>
      <c r="H238" s="417">
        <v>224.7</v>
      </c>
      <c r="I238" s="417">
        <v>248</v>
      </c>
      <c r="J238" s="417">
        <v>283.10000000000002</v>
      </c>
      <c r="K238" s="417">
        <v>265.39999999999998</v>
      </c>
      <c r="L238" s="433">
        <v>252.1</v>
      </c>
      <c r="M238" s="433">
        <v>252.8</v>
      </c>
      <c r="N238" s="426">
        <v>259.60000000000002</v>
      </c>
    </row>
    <row r="239" spans="2:14" x14ac:dyDescent="0.3">
      <c r="B239" s="396" t="s">
        <v>457</v>
      </c>
      <c r="G239" s="413">
        <v>760.5</v>
      </c>
      <c r="H239" s="413">
        <v>794.9</v>
      </c>
      <c r="I239" s="434">
        <v>1081.9000000000001</v>
      </c>
      <c r="J239" s="434">
        <v>1180</v>
      </c>
      <c r="K239" s="417">
        <v>1152.9000000000001</v>
      </c>
      <c r="L239" s="433">
        <v>1156.3</v>
      </c>
      <c r="M239" s="433">
        <v>1235.5</v>
      </c>
      <c r="N239" s="426">
        <v>1207.0999999999999</v>
      </c>
    </row>
    <row r="240" spans="2:14" x14ac:dyDescent="0.3">
      <c r="B240" s="399" t="s">
        <v>458</v>
      </c>
      <c r="G240" s="413">
        <v>516.5</v>
      </c>
      <c r="H240" s="413">
        <v>567</v>
      </c>
      <c r="I240" s="413">
        <v>832.2</v>
      </c>
      <c r="J240" s="413">
        <v>951.6</v>
      </c>
      <c r="K240" s="418">
        <v>952.80000000000007</v>
      </c>
      <c r="L240" s="431">
        <v>896.19999999999993</v>
      </c>
      <c r="M240" s="431">
        <v>945.6</v>
      </c>
      <c r="N240" s="435">
        <v>953.4</v>
      </c>
    </row>
    <row r="241" spans="2:14" x14ac:dyDescent="0.3">
      <c r="B241" s="399" t="s">
        <v>459</v>
      </c>
      <c r="G241" s="413">
        <v>244</v>
      </c>
      <c r="H241" s="413">
        <v>227.9</v>
      </c>
      <c r="I241" s="413">
        <v>249.7</v>
      </c>
      <c r="J241" s="413">
        <v>228.4</v>
      </c>
      <c r="K241" s="436">
        <v>200.1</v>
      </c>
      <c r="L241" s="437">
        <v>260.10000000000002</v>
      </c>
      <c r="M241" s="437">
        <v>289.89999999999998</v>
      </c>
      <c r="N241" s="438">
        <v>253.69999999999996</v>
      </c>
    </row>
    <row r="242" spans="2:14" x14ac:dyDescent="0.3">
      <c r="B242" s="439" t="s">
        <v>460</v>
      </c>
      <c r="G242" s="419"/>
      <c r="H242" s="419"/>
      <c r="I242" s="419"/>
      <c r="J242" s="419"/>
      <c r="K242" s="440">
        <v>-75</v>
      </c>
      <c r="L242" s="441">
        <v>-62.3</v>
      </c>
      <c r="M242" s="441">
        <v>-74.2</v>
      </c>
      <c r="N242" s="442">
        <v>-75.800000000000011</v>
      </c>
    </row>
    <row r="243" spans="2:14" x14ac:dyDescent="0.3">
      <c r="B243" s="657" t="s">
        <v>461</v>
      </c>
      <c r="G243" s="409"/>
      <c r="H243" s="409"/>
      <c r="I243" s="409"/>
      <c r="J243" s="409"/>
      <c r="K243" s="409"/>
      <c r="L243" s="443"/>
      <c r="M243" s="443"/>
      <c r="N243" s="410">
        <v>0</v>
      </c>
    </row>
    <row r="244" spans="2:14" x14ac:dyDescent="0.3">
      <c r="B244" s="657"/>
      <c r="G244" s="444"/>
      <c r="H244" s="444"/>
      <c r="I244" s="444"/>
      <c r="J244" s="444"/>
      <c r="K244" s="444"/>
      <c r="L244" s="445"/>
      <c r="M244" s="445"/>
      <c r="N244" s="446">
        <v>0</v>
      </c>
    </row>
    <row r="245" spans="2:14" x14ac:dyDescent="0.3">
      <c r="B245" s="390" t="s">
        <v>462</v>
      </c>
      <c r="G245" s="447">
        <v>-1062.8999999999999</v>
      </c>
      <c r="H245" s="447">
        <v>-1280.9000000000001</v>
      </c>
      <c r="I245" s="447">
        <v>-1561.3</v>
      </c>
      <c r="J245" s="447">
        <v>-1542.3</v>
      </c>
      <c r="K245" s="447">
        <v>-1657.1</v>
      </c>
      <c r="L245" s="448">
        <v>-1692.3</v>
      </c>
      <c r="M245" s="448">
        <v>-1621.1</v>
      </c>
      <c r="N245" s="449">
        <v>-1678.1609999999998</v>
      </c>
    </row>
    <row r="246" spans="2:14" x14ac:dyDescent="0.3">
      <c r="B246" s="399" t="s">
        <v>454</v>
      </c>
      <c r="G246" s="450">
        <v>-393.9</v>
      </c>
      <c r="H246" s="450">
        <v>-574.29999999999995</v>
      </c>
      <c r="I246" s="450">
        <v>-637.20000000000005</v>
      </c>
      <c r="J246" s="450">
        <v>-622.1</v>
      </c>
      <c r="K246" s="451">
        <v>-784.3</v>
      </c>
      <c r="L246" s="452">
        <v>-802.9</v>
      </c>
      <c r="M246" s="452">
        <v>-658.2</v>
      </c>
      <c r="N246" s="453">
        <v>-745.90000000000009</v>
      </c>
    </row>
    <row r="247" spans="2:14" x14ac:dyDescent="0.3">
      <c r="B247" s="399" t="s">
        <v>455</v>
      </c>
      <c r="G247" s="450">
        <v>-669</v>
      </c>
      <c r="H247" s="450">
        <v>-706.6</v>
      </c>
      <c r="I247" s="450">
        <v>-924.09999999999991</v>
      </c>
      <c r="J247" s="450">
        <v>-989.5</v>
      </c>
      <c r="K247" s="451">
        <v>-947.80000000000007</v>
      </c>
      <c r="L247" s="452">
        <v>-951.7</v>
      </c>
      <c r="M247" s="452">
        <v>-1037.0999999999999</v>
      </c>
      <c r="N247" s="453">
        <v>-1002.5999999999999</v>
      </c>
    </row>
    <row r="248" spans="2:14" x14ac:dyDescent="0.3">
      <c r="B248" s="399" t="s">
        <v>463</v>
      </c>
      <c r="G248" s="450">
        <v>-82.7</v>
      </c>
      <c r="H248" s="450">
        <v>-112.5</v>
      </c>
      <c r="I248" s="450">
        <v>-128.30000000000001</v>
      </c>
      <c r="J248" s="450">
        <v>-149.30000000000001</v>
      </c>
      <c r="K248" s="451">
        <v>-144.1</v>
      </c>
      <c r="L248" s="452">
        <v>-121.5</v>
      </c>
      <c r="M248" s="452">
        <v>-123.2</v>
      </c>
      <c r="N248" s="453">
        <v>-126.10000000000001</v>
      </c>
    </row>
    <row r="249" spans="2:14" x14ac:dyDescent="0.3">
      <c r="B249" s="399" t="s">
        <v>464</v>
      </c>
      <c r="G249" s="450">
        <v>-586.29999999999995</v>
      </c>
      <c r="H249" s="450">
        <v>-594.1</v>
      </c>
      <c r="I249" s="450">
        <v>-795.8</v>
      </c>
      <c r="J249" s="450">
        <v>-840.2</v>
      </c>
      <c r="K249" s="451">
        <v>-803.7</v>
      </c>
      <c r="L249" s="452">
        <v>-830.2</v>
      </c>
      <c r="M249" s="452">
        <v>-913.9</v>
      </c>
      <c r="N249" s="453">
        <v>-876.49999999999989</v>
      </c>
    </row>
    <row r="250" spans="2:14" x14ac:dyDescent="0.3">
      <c r="B250" s="439" t="s">
        <v>460</v>
      </c>
      <c r="G250" s="454"/>
      <c r="H250" s="454"/>
      <c r="I250" s="454"/>
      <c r="J250" s="454"/>
      <c r="K250" s="454">
        <v>75</v>
      </c>
      <c r="L250" s="455">
        <v>62.3</v>
      </c>
      <c r="M250" s="455">
        <v>74.2</v>
      </c>
      <c r="N250" s="453">
        <v>70.300000000000011</v>
      </c>
    </row>
    <row r="251" spans="2:14" x14ac:dyDescent="0.3">
      <c r="B251" s="657" t="s">
        <v>465</v>
      </c>
      <c r="G251" s="456"/>
      <c r="H251" s="456"/>
      <c r="I251" s="456"/>
      <c r="J251" s="456"/>
      <c r="K251" s="456"/>
      <c r="L251" s="457"/>
      <c r="M251" s="457"/>
      <c r="N251" s="458">
        <v>0</v>
      </c>
    </row>
    <row r="252" spans="2:14" x14ac:dyDescent="0.3">
      <c r="B252" s="657"/>
      <c r="G252" s="456"/>
      <c r="H252" s="456"/>
      <c r="I252" s="456"/>
      <c r="J252" s="456"/>
      <c r="K252" s="456"/>
      <c r="L252" s="457"/>
      <c r="M252" s="457"/>
      <c r="N252" s="458">
        <v>0</v>
      </c>
    </row>
    <row r="253" spans="2:14" x14ac:dyDescent="0.3">
      <c r="B253" s="390" t="s">
        <v>466</v>
      </c>
      <c r="G253" s="411">
        <v>344.90000000000003</v>
      </c>
      <c r="H253" s="411">
        <v>401.99999999999994</v>
      </c>
      <c r="I253" s="411">
        <v>481.8</v>
      </c>
      <c r="J253" s="411">
        <v>549.70000000000005</v>
      </c>
      <c r="K253" s="411">
        <v>610</v>
      </c>
      <c r="L253" s="430">
        <v>619</v>
      </c>
      <c r="M253" s="430">
        <v>577.6</v>
      </c>
      <c r="N253" s="412">
        <v>582.197</v>
      </c>
    </row>
    <row r="254" spans="2:14" x14ac:dyDescent="0.3">
      <c r="B254" s="399" t="s">
        <v>454</v>
      </c>
      <c r="G254" s="450">
        <v>72</v>
      </c>
      <c r="H254" s="450">
        <v>89</v>
      </c>
      <c r="I254" s="450">
        <v>75.899999999999977</v>
      </c>
      <c r="J254" s="450">
        <v>76.100000000000023</v>
      </c>
      <c r="K254" s="451">
        <v>139.5</v>
      </c>
      <c r="L254" s="452">
        <v>162.30000000000007</v>
      </c>
      <c r="M254" s="452">
        <v>126.39999999999998</v>
      </c>
      <c r="N254" s="453">
        <v>118.59999999999997</v>
      </c>
    </row>
    <row r="255" spans="2:14" x14ac:dyDescent="0.3">
      <c r="B255" s="399" t="s">
        <v>455</v>
      </c>
      <c r="G255" s="450">
        <v>272.90000000000003</v>
      </c>
      <c r="H255" s="450">
        <v>312.99999999999994</v>
      </c>
      <c r="I255" s="450">
        <v>405.80000000000013</v>
      </c>
      <c r="J255" s="450">
        <v>473.59999999999997</v>
      </c>
      <c r="K255" s="451">
        <v>470.5</v>
      </c>
      <c r="L255" s="452">
        <v>456.69999999999993</v>
      </c>
      <c r="M255" s="452">
        <v>451.20000000000005</v>
      </c>
      <c r="N255" s="453">
        <v>464.10000000000014</v>
      </c>
    </row>
    <row r="256" spans="2:14" x14ac:dyDescent="0.3">
      <c r="B256" s="399" t="s">
        <v>463</v>
      </c>
      <c r="G256" s="450">
        <v>98.7</v>
      </c>
      <c r="H256" s="450">
        <v>112.19999999999999</v>
      </c>
      <c r="I256" s="450">
        <v>119.69999999999999</v>
      </c>
      <c r="J256" s="450">
        <v>133.80000000000001</v>
      </c>
      <c r="K256" s="451">
        <v>121.29999999999998</v>
      </c>
      <c r="L256" s="452">
        <v>130.6</v>
      </c>
      <c r="M256" s="452">
        <v>129.60000000000002</v>
      </c>
      <c r="N256" s="453">
        <v>133.5</v>
      </c>
    </row>
    <row r="257" spans="2:14" x14ac:dyDescent="0.3">
      <c r="B257" s="459" t="s">
        <v>457</v>
      </c>
      <c r="G257" s="450">
        <v>174.20000000000005</v>
      </c>
      <c r="H257" s="450">
        <v>200.79999999999995</v>
      </c>
      <c r="I257" s="450">
        <v>286.10000000000014</v>
      </c>
      <c r="J257" s="450">
        <v>339.79999999999995</v>
      </c>
      <c r="K257" s="451">
        <v>349.20000000000005</v>
      </c>
      <c r="L257" s="452">
        <v>326.09999999999991</v>
      </c>
      <c r="M257" s="452">
        <v>321.60000000000002</v>
      </c>
      <c r="N257" s="453">
        <v>330.60000000000014</v>
      </c>
    </row>
    <row r="258" spans="2:14" x14ac:dyDescent="0.3">
      <c r="B258" s="460" t="s">
        <v>467</v>
      </c>
      <c r="G258" s="454"/>
      <c r="H258" s="454"/>
      <c r="I258" s="454"/>
      <c r="J258" s="454"/>
      <c r="K258" s="454"/>
      <c r="L258" s="455"/>
      <c r="M258" s="455"/>
      <c r="N258" s="453">
        <v>-5.5</v>
      </c>
    </row>
    <row r="259" spans="2:14" x14ac:dyDescent="0.3">
      <c r="B259" s="657" t="s">
        <v>468</v>
      </c>
      <c r="G259" s="409"/>
      <c r="H259" s="409"/>
      <c r="I259" s="409"/>
      <c r="J259" s="409"/>
      <c r="K259" s="409"/>
      <c r="L259" s="443"/>
      <c r="M259" s="443"/>
      <c r="N259" s="410"/>
    </row>
    <row r="260" spans="2:14" x14ac:dyDescent="0.3">
      <c r="B260" s="657"/>
      <c r="G260" s="409"/>
      <c r="H260" s="409"/>
      <c r="I260" s="409"/>
      <c r="J260" s="409"/>
      <c r="K260" s="409"/>
      <c r="L260" s="443"/>
      <c r="M260" s="443"/>
      <c r="N260" s="410"/>
    </row>
    <row r="261" spans="2:14" x14ac:dyDescent="0.3">
      <c r="B261" s="390" t="s">
        <v>469</v>
      </c>
      <c r="G261" s="461">
        <v>0.24499218639011228</v>
      </c>
      <c r="H261" s="461">
        <v>0.23887337334363296</v>
      </c>
      <c r="I261" s="461">
        <v>0.23582966226138033</v>
      </c>
      <c r="J261" s="461">
        <v>0.26276290630975147</v>
      </c>
      <c r="K261" s="461">
        <v>0.26906620793083669</v>
      </c>
      <c r="L261" s="462">
        <v>0.267814649764202</v>
      </c>
      <c r="M261" s="462">
        <v>0.26270068676945468</v>
      </c>
      <c r="N261" s="463">
        <v>0.25813469894475477</v>
      </c>
    </row>
    <row r="262" spans="2:14" x14ac:dyDescent="0.3">
      <c r="B262" s="399" t="s">
        <v>454</v>
      </c>
      <c r="G262" s="464">
        <v>0.15453960077269802</v>
      </c>
      <c r="H262" s="464">
        <v>0.13417759686416403</v>
      </c>
      <c r="I262" s="464">
        <v>0.10643668489692887</v>
      </c>
      <c r="J262" s="464">
        <v>0.1089945574334002</v>
      </c>
      <c r="K262" s="464">
        <v>0.15100671140939598</v>
      </c>
      <c r="L262" s="465">
        <v>0.16815167840862003</v>
      </c>
      <c r="M262" s="465">
        <v>0.16110119806270709</v>
      </c>
      <c r="N262" s="466">
        <v>0.13718912666281083</v>
      </c>
    </row>
    <row r="263" spans="2:14" x14ac:dyDescent="0.3">
      <c r="B263" s="399" t="s">
        <v>455</v>
      </c>
      <c r="G263" s="464">
        <v>0.28973351735853065</v>
      </c>
      <c r="H263" s="464">
        <v>0.30698313063946642</v>
      </c>
      <c r="I263" s="464">
        <v>0.30513572449056325</v>
      </c>
      <c r="J263" s="464">
        <v>0.32369626136285967</v>
      </c>
      <c r="K263" s="464">
        <v>0.33173517591482754</v>
      </c>
      <c r="L263" s="465">
        <v>0.32426867367225221</v>
      </c>
      <c r="M263" s="465">
        <v>0.30316468453940743</v>
      </c>
      <c r="N263" s="466">
        <v>0.3164246267130294</v>
      </c>
    </row>
    <row r="264" spans="2:14" x14ac:dyDescent="0.3">
      <c r="B264" s="467" t="s">
        <v>463</v>
      </c>
      <c r="G264" s="464">
        <v>0.54410143329658212</v>
      </c>
      <c r="H264" s="464">
        <v>0.49933244325767689</v>
      </c>
      <c r="I264" s="464">
        <v>0.48266129032258059</v>
      </c>
      <c r="J264" s="464">
        <v>0.47262451430589897</v>
      </c>
      <c r="K264" s="464">
        <v>0.45704596834966088</v>
      </c>
      <c r="L264" s="465">
        <v>0.51804839349464493</v>
      </c>
      <c r="M264" s="465">
        <v>0.51265822784810133</v>
      </c>
      <c r="N264" s="466">
        <v>0.51425269645608629</v>
      </c>
    </row>
    <row r="265" spans="2:14" x14ac:dyDescent="0.3">
      <c r="B265" s="467" t="s">
        <v>464</v>
      </c>
      <c r="G265" s="468">
        <v>0.22905982905982911</v>
      </c>
      <c r="H265" s="468">
        <v>0.25261039124418161</v>
      </c>
      <c r="I265" s="468">
        <v>0.26444218504482864</v>
      </c>
      <c r="J265" s="468">
        <v>0.28796610169491521</v>
      </c>
      <c r="K265" s="468">
        <v>0.30288836846213896</v>
      </c>
      <c r="L265" s="469">
        <v>0.28202023696272588</v>
      </c>
      <c r="M265" s="469">
        <v>0.26029947389720764</v>
      </c>
      <c r="N265" s="466">
        <v>0.27387954601938541</v>
      </c>
    </row>
    <row r="266" spans="2:14" x14ac:dyDescent="0.3">
      <c r="G266" s="358"/>
      <c r="H266" s="358"/>
      <c r="I266" s="358"/>
      <c r="J266" s="358"/>
      <c r="K266" s="358"/>
      <c r="L266" s="358"/>
      <c r="M266" s="358"/>
      <c r="N266" s="358"/>
    </row>
    <row r="267" spans="2:14" x14ac:dyDescent="0.3">
      <c r="B267" s="657" t="s">
        <v>470</v>
      </c>
      <c r="G267" s="409"/>
      <c r="H267" s="409"/>
      <c r="I267" s="409"/>
      <c r="J267" s="409"/>
      <c r="K267" s="410"/>
      <c r="L267" s="410"/>
      <c r="M267" s="410"/>
      <c r="N267" s="410"/>
    </row>
    <row r="268" spans="2:14" x14ac:dyDescent="0.3">
      <c r="B268" s="657"/>
      <c r="G268" s="409"/>
      <c r="H268" s="409"/>
      <c r="I268" s="409"/>
      <c r="J268" s="409"/>
      <c r="K268" s="410"/>
      <c r="L268" s="410"/>
      <c r="M268" s="410"/>
      <c r="N268" s="410"/>
    </row>
    <row r="269" spans="2:14" x14ac:dyDescent="0.3">
      <c r="B269" s="390" t="s">
        <v>471</v>
      </c>
      <c r="G269" s="470"/>
      <c r="H269" s="470"/>
      <c r="I269" s="470">
        <v>-425.59999999999997</v>
      </c>
      <c r="J269" s="470">
        <v>-437.4</v>
      </c>
      <c r="K269" s="470">
        <v>-443.5</v>
      </c>
      <c r="L269" s="470">
        <v>-426.1</v>
      </c>
      <c r="M269" s="470">
        <v>-415.3</v>
      </c>
      <c r="N269" s="470">
        <v>-426.93699999999995</v>
      </c>
    </row>
    <row r="270" spans="2:14" x14ac:dyDescent="0.3">
      <c r="B270" s="399" t="s">
        <v>454</v>
      </c>
      <c r="G270" s="453"/>
      <c r="H270" s="453"/>
      <c r="I270" s="453">
        <v>-67.8</v>
      </c>
      <c r="J270" s="453">
        <v>-66</v>
      </c>
      <c r="K270" s="453">
        <v>-82.4</v>
      </c>
      <c r="L270" s="453">
        <v>-79.8</v>
      </c>
      <c r="M270" s="453">
        <v>-66.5</v>
      </c>
      <c r="N270" s="453">
        <v>-76.800000000000011</v>
      </c>
    </row>
    <row r="271" spans="2:14" x14ac:dyDescent="0.3">
      <c r="B271" s="399" t="s">
        <v>455</v>
      </c>
      <c r="G271" s="453"/>
      <c r="H271" s="453"/>
      <c r="I271" s="453">
        <v>-354.4</v>
      </c>
      <c r="J271" s="453">
        <v>-367.79999999999995</v>
      </c>
      <c r="K271" s="453">
        <v>-357.5</v>
      </c>
      <c r="L271" s="453">
        <v>-342.7</v>
      </c>
      <c r="M271" s="453">
        <v>-344.5</v>
      </c>
      <c r="N271" s="453">
        <v>-350.59999999999991</v>
      </c>
    </row>
    <row r="272" spans="2:14" x14ac:dyDescent="0.3">
      <c r="B272" s="467" t="s">
        <v>463</v>
      </c>
      <c r="G272" s="453"/>
      <c r="H272" s="453"/>
      <c r="I272" s="453">
        <v>-154.80000000000001</v>
      </c>
      <c r="J272" s="453">
        <v>-161.1</v>
      </c>
      <c r="K272" s="453">
        <v>-149.1</v>
      </c>
      <c r="L272" s="453">
        <v>-141.69999999999999</v>
      </c>
      <c r="M272" s="453">
        <v>-127.4</v>
      </c>
      <c r="N272" s="453">
        <v>-131.89999999999998</v>
      </c>
    </row>
    <row r="273" spans="2:14" x14ac:dyDescent="0.3">
      <c r="B273" s="467" t="s">
        <v>464</v>
      </c>
      <c r="G273" s="453"/>
      <c r="H273" s="453"/>
      <c r="I273" s="453">
        <v>-199.6</v>
      </c>
      <c r="J273" s="453">
        <v>-206.7</v>
      </c>
      <c r="K273" s="453">
        <v>-208.4</v>
      </c>
      <c r="L273" s="453">
        <v>-201</v>
      </c>
      <c r="M273" s="453">
        <v>-217.1</v>
      </c>
      <c r="N273" s="453">
        <v>-218.7</v>
      </c>
    </row>
    <row r="274" spans="2:14" x14ac:dyDescent="0.3">
      <c r="B274" s="460" t="s">
        <v>467</v>
      </c>
      <c r="G274" s="471"/>
      <c r="H274" s="471"/>
      <c r="I274" s="471">
        <v>-3.4</v>
      </c>
      <c r="J274" s="471">
        <v>-3.6</v>
      </c>
      <c r="K274" s="471">
        <v>-3.6</v>
      </c>
      <c r="L274" s="471">
        <v>-3.6</v>
      </c>
      <c r="M274" s="471">
        <v>-4.3</v>
      </c>
      <c r="N274" s="471">
        <v>0.4570000000000225</v>
      </c>
    </row>
    <row r="275" spans="2:14" x14ac:dyDescent="0.3">
      <c r="G275" s="358"/>
      <c r="H275" s="358"/>
      <c r="I275" s="358"/>
      <c r="J275" s="358"/>
      <c r="K275" s="358"/>
      <c r="L275" s="358"/>
      <c r="M275" s="358"/>
      <c r="N275">
        <v>0</v>
      </c>
    </row>
    <row r="276" spans="2:14" x14ac:dyDescent="0.3">
      <c r="B276" s="657" t="s">
        <v>472</v>
      </c>
      <c r="G276" s="409"/>
      <c r="H276" s="409"/>
      <c r="I276" s="409"/>
      <c r="J276" s="409"/>
      <c r="K276" s="410"/>
      <c r="L276" s="410"/>
      <c r="M276" s="410"/>
      <c r="N276" s="410">
        <v>0</v>
      </c>
    </row>
    <row r="277" spans="2:14" x14ac:dyDescent="0.3">
      <c r="B277" s="657"/>
      <c r="G277" s="409"/>
      <c r="H277" s="409"/>
      <c r="I277" s="409"/>
      <c r="J277" s="409"/>
      <c r="K277" s="410"/>
      <c r="L277" s="410"/>
      <c r="M277" s="410"/>
      <c r="N277" s="410">
        <v>0</v>
      </c>
    </row>
    <row r="278" spans="2:14" x14ac:dyDescent="0.3">
      <c r="B278" s="390" t="s">
        <v>473</v>
      </c>
      <c r="G278" s="470"/>
      <c r="H278" s="470"/>
      <c r="I278" s="470">
        <v>7.4</v>
      </c>
      <c r="J278" s="470">
        <v>-8.6</v>
      </c>
      <c r="K278" s="470">
        <v>-12.1</v>
      </c>
      <c r="L278" s="470">
        <v>-4.9000000000000004</v>
      </c>
      <c r="M278" s="470">
        <v>18.600000000000001</v>
      </c>
      <c r="N278" s="470">
        <v>19.303000000000001</v>
      </c>
    </row>
    <row r="279" spans="2:14" x14ac:dyDescent="0.3">
      <c r="B279" s="399" t="s">
        <v>454</v>
      </c>
      <c r="G279" s="453"/>
      <c r="H279" s="453"/>
      <c r="I279" s="453">
        <v>7</v>
      </c>
      <c r="J279" s="453">
        <v>-5.5</v>
      </c>
      <c r="K279" s="453">
        <v>-13.6</v>
      </c>
      <c r="L279" s="453">
        <v>3.5</v>
      </c>
      <c r="M279" s="453">
        <v>11</v>
      </c>
      <c r="N279" s="453">
        <v>2.9999999999999996</v>
      </c>
    </row>
    <row r="280" spans="2:14" x14ac:dyDescent="0.3">
      <c r="B280" s="399" t="s">
        <v>455</v>
      </c>
      <c r="G280" s="453"/>
      <c r="H280" s="453"/>
      <c r="I280" s="453">
        <v>0.39999999999999991</v>
      </c>
      <c r="J280" s="453">
        <v>-3.0999999999999996</v>
      </c>
      <c r="K280" s="453">
        <v>1.5</v>
      </c>
      <c r="L280" s="453">
        <v>-8.4</v>
      </c>
      <c r="M280" s="453">
        <v>7.6</v>
      </c>
      <c r="N280" s="453">
        <v>17.700000000000003</v>
      </c>
    </row>
    <row r="281" spans="2:14" x14ac:dyDescent="0.3">
      <c r="B281" s="467" t="s">
        <v>463</v>
      </c>
      <c r="G281" s="453"/>
      <c r="H281" s="453"/>
      <c r="I281" s="453">
        <v>-3.2</v>
      </c>
      <c r="J281" s="453">
        <v>-4.0999999999999996</v>
      </c>
      <c r="K281" s="453">
        <v>-6.2</v>
      </c>
      <c r="L281" s="453">
        <v>0.1</v>
      </c>
      <c r="M281" s="453">
        <v>-1.1000000000000001</v>
      </c>
      <c r="N281" s="453">
        <v>6.6999999999999993</v>
      </c>
    </row>
    <row r="282" spans="2:14" x14ac:dyDescent="0.3">
      <c r="B282" s="467" t="s">
        <v>464</v>
      </c>
      <c r="G282" s="453"/>
      <c r="H282" s="453"/>
      <c r="I282" s="453">
        <v>3.6</v>
      </c>
      <c r="J282" s="453">
        <v>1</v>
      </c>
      <c r="K282" s="453">
        <v>7.7</v>
      </c>
      <c r="L282" s="453">
        <v>-8.5</v>
      </c>
      <c r="M282" s="453">
        <v>8.6999999999999993</v>
      </c>
      <c r="N282" s="453">
        <v>11</v>
      </c>
    </row>
    <row r="283" spans="2:14" x14ac:dyDescent="0.3">
      <c r="B283" s="460" t="s">
        <v>467</v>
      </c>
      <c r="G283" s="471"/>
      <c r="H283" s="471"/>
      <c r="I283" s="471">
        <v>0</v>
      </c>
      <c r="J283" s="471">
        <v>0</v>
      </c>
      <c r="K283" s="471">
        <v>0</v>
      </c>
      <c r="L283" s="471">
        <v>0</v>
      </c>
      <c r="M283" s="471">
        <v>0</v>
      </c>
      <c r="N283" s="453">
        <v>-1.4</v>
      </c>
    </row>
    <row r="284" spans="2:14" x14ac:dyDescent="0.3">
      <c r="G284" s="358"/>
      <c r="H284" s="358"/>
      <c r="I284" s="358"/>
      <c r="J284" s="358"/>
      <c r="K284" s="358"/>
      <c r="L284" s="358"/>
      <c r="M284" s="358"/>
      <c r="N284" s="358">
        <v>0</v>
      </c>
    </row>
    <row r="285" spans="2:14" x14ac:dyDescent="0.3">
      <c r="B285" s="657" t="s">
        <v>474</v>
      </c>
      <c r="G285" s="409"/>
      <c r="H285" s="409"/>
      <c r="I285" s="409"/>
      <c r="J285" s="409"/>
      <c r="K285" s="410"/>
      <c r="L285" s="410"/>
      <c r="M285" s="410"/>
      <c r="N285" s="410">
        <v>0</v>
      </c>
    </row>
    <row r="286" spans="2:14" x14ac:dyDescent="0.3">
      <c r="B286" s="657"/>
      <c r="G286" s="409"/>
      <c r="H286" s="409"/>
      <c r="I286" s="409"/>
      <c r="J286" s="409"/>
      <c r="K286" s="410"/>
      <c r="L286" s="410"/>
      <c r="M286" s="410"/>
      <c r="N286" s="410">
        <v>0</v>
      </c>
    </row>
    <row r="287" spans="2:14" x14ac:dyDescent="0.3">
      <c r="B287" s="390" t="s">
        <v>475</v>
      </c>
      <c r="G287" s="470"/>
      <c r="H287" s="470"/>
      <c r="I287" s="470">
        <v>91.5</v>
      </c>
      <c r="J287" s="470">
        <v>86</v>
      </c>
      <c r="K287" s="470">
        <v>78.7</v>
      </c>
      <c r="L287" s="470">
        <v>77.699999999999989</v>
      </c>
      <c r="M287" s="470">
        <v>73.7</v>
      </c>
      <c r="N287" s="470">
        <v>75.000000000000014</v>
      </c>
    </row>
    <row r="288" spans="2:14" x14ac:dyDescent="0.3">
      <c r="B288" s="399" t="s">
        <v>454</v>
      </c>
      <c r="G288" s="453"/>
      <c r="H288" s="453"/>
      <c r="I288" s="453">
        <v>7.2</v>
      </c>
      <c r="J288" s="453">
        <v>5.8</v>
      </c>
      <c r="K288" s="453">
        <v>4.2</v>
      </c>
      <c r="L288" s="453">
        <v>3</v>
      </c>
      <c r="M288" s="453">
        <v>2.8</v>
      </c>
      <c r="N288" s="453">
        <v>3.3</v>
      </c>
    </row>
    <row r="289" spans="2:14" x14ac:dyDescent="0.3">
      <c r="B289" s="399" t="s">
        <v>455</v>
      </c>
      <c r="G289" s="453"/>
      <c r="H289" s="453"/>
      <c r="I289" s="453">
        <v>84.3</v>
      </c>
      <c r="J289" s="453">
        <v>80.2</v>
      </c>
      <c r="K289" s="453">
        <v>74.5</v>
      </c>
      <c r="L289" s="453">
        <v>74.699999999999989</v>
      </c>
      <c r="M289" s="453">
        <v>70.900000000000006</v>
      </c>
      <c r="N289" s="453">
        <v>71.700000000000017</v>
      </c>
    </row>
    <row r="290" spans="2:14" x14ac:dyDescent="0.3">
      <c r="B290" s="467" t="s">
        <v>463</v>
      </c>
      <c r="G290" s="453"/>
      <c r="H290" s="453"/>
      <c r="I290" s="453">
        <v>12.2</v>
      </c>
      <c r="J290" s="453">
        <v>12.9</v>
      </c>
      <c r="K290" s="453">
        <v>11.2</v>
      </c>
      <c r="L290" s="453">
        <v>9.6</v>
      </c>
      <c r="M290" s="453">
        <v>3.9</v>
      </c>
      <c r="N290" s="453">
        <v>3.3</v>
      </c>
    </row>
    <row r="291" spans="2:14" x14ac:dyDescent="0.3">
      <c r="B291" s="467" t="s">
        <v>464</v>
      </c>
      <c r="G291" s="453"/>
      <c r="H291" s="453"/>
      <c r="I291" s="453">
        <v>72.099999999999994</v>
      </c>
      <c r="J291" s="453">
        <v>67.3</v>
      </c>
      <c r="K291" s="453">
        <v>63.3</v>
      </c>
      <c r="L291" s="453">
        <v>65.099999999999994</v>
      </c>
      <c r="M291" s="453">
        <v>67</v>
      </c>
      <c r="N291" s="453">
        <v>68.400000000000006</v>
      </c>
    </row>
    <row r="292" spans="2:14" x14ac:dyDescent="0.3">
      <c r="B292" s="472"/>
      <c r="G292" s="668"/>
      <c r="H292" s="668"/>
      <c r="I292" s="668"/>
      <c r="J292" s="349"/>
      <c r="K292" s="349"/>
      <c r="L292" s="358"/>
      <c r="M292" s="358"/>
      <c r="N292" s="358">
        <v>0</v>
      </c>
    </row>
    <row r="293" spans="2:14" x14ac:dyDescent="0.3">
      <c r="B293" s="657" t="s">
        <v>476</v>
      </c>
      <c r="G293" s="409"/>
      <c r="H293" s="409"/>
      <c r="I293" s="409"/>
      <c r="J293" s="409"/>
      <c r="K293" s="410"/>
      <c r="L293" s="410"/>
      <c r="M293" s="410"/>
      <c r="N293" s="410">
        <v>0</v>
      </c>
    </row>
    <row r="294" spans="2:14" x14ac:dyDescent="0.3">
      <c r="B294" s="657"/>
      <c r="G294" s="409"/>
      <c r="H294" s="409"/>
      <c r="I294" s="409"/>
      <c r="J294" s="409"/>
      <c r="K294" s="410"/>
      <c r="L294" s="410"/>
      <c r="M294" s="410"/>
      <c r="N294" s="410">
        <v>0</v>
      </c>
    </row>
    <row r="295" spans="2:14" x14ac:dyDescent="0.3">
      <c r="B295" s="390" t="s">
        <v>476</v>
      </c>
      <c r="G295" s="470"/>
      <c r="H295" s="470"/>
      <c r="I295" s="470">
        <v>63.600000000000044</v>
      </c>
      <c r="J295" s="470">
        <v>103.70000000000007</v>
      </c>
      <c r="K295" s="470">
        <v>154.4</v>
      </c>
      <c r="L295" s="470">
        <v>187.99999999999997</v>
      </c>
      <c r="M295" s="470">
        <v>180.9</v>
      </c>
      <c r="N295" s="470">
        <v>169.55400000000003</v>
      </c>
    </row>
    <row r="296" spans="2:14" x14ac:dyDescent="0.3">
      <c r="B296" s="399" t="s">
        <v>454</v>
      </c>
      <c r="G296" s="453"/>
      <c r="H296" s="453"/>
      <c r="I296" s="453">
        <v>15.09999999999998</v>
      </c>
      <c r="J296" s="453">
        <v>4.6000000000000227</v>
      </c>
      <c r="K296" s="453">
        <v>43.499999999999993</v>
      </c>
      <c r="L296" s="453">
        <v>86.000000000000071</v>
      </c>
      <c r="M296" s="453">
        <v>70.899999999999977</v>
      </c>
      <c r="N296" s="453">
        <v>44.799999999999969</v>
      </c>
    </row>
    <row r="297" spans="2:14" x14ac:dyDescent="0.3">
      <c r="B297" s="399" t="s">
        <v>455</v>
      </c>
      <c r="G297" s="453"/>
      <c r="H297" s="453"/>
      <c r="I297" s="453">
        <v>51.800000000000146</v>
      </c>
      <c r="J297" s="453">
        <v>102.70000000000002</v>
      </c>
      <c r="K297" s="453">
        <v>114.5</v>
      </c>
      <c r="L297" s="453">
        <v>105.59999999999994</v>
      </c>
      <c r="M297" s="453">
        <v>114.30000000000004</v>
      </c>
      <c r="N297" s="453">
        <v>131.4000000000002</v>
      </c>
    </row>
    <row r="298" spans="2:14" x14ac:dyDescent="0.3">
      <c r="B298" s="467" t="s">
        <v>463</v>
      </c>
      <c r="G298" s="453"/>
      <c r="H298" s="453"/>
      <c r="I298" s="453">
        <v>-38.300000000000026</v>
      </c>
      <c r="J298" s="453">
        <v>-31.399999999999984</v>
      </c>
      <c r="K298" s="453">
        <v>-34.000000000000014</v>
      </c>
      <c r="L298" s="453">
        <v>-10.999999999999995</v>
      </c>
      <c r="M298" s="453">
        <v>1.100000000000017</v>
      </c>
      <c r="N298" s="453">
        <v>8.3000000000000025</v>
      </c>
    </row>
    <row r="299" spans="2:14" x14ac:dyDescent="0.3">
      <c r="B299" s="467" t="s">
        <v>464</v>
      </c>
      <c r="G299" s="453"/>
      <c r="H299" s="453"/>
      <c r="I299" s="453">
        <v>90.100000000000136</v>
      </c>
      <c r="J299" s="453">
        <v>134.09999999999997</v>
      </c>
      <c r="K299" s="453">
        <v>148.50000000000003</v>
      </c>
      <c r="L299" s="453">
        <v>116.59999999999991</v>
      </c>
      <c r="M299" s="453">
        <v>113.20000000000003</v>
      </c>
      <c r="N299" s="453">
        <v>122.90000000000015</v>
      </c>
    </row>
    <row r="300" spans="2:14" x14ac:dyDescent="0.3">
      <c r="B300" s="460" t="s">
        <v>467</v>
      </c>
      <c r="G300" s="471"/>
      <c r="H300" s="471"/>
      <c r="I300" s="471"/>
      <c r="J300" s="453">
        <v>-3.6</v>
      </c>
      <c r="K300" s="453">
        <v>-3.6</v>
      </c>
      <c r="L300" s="453">
        <v>-3.6</v>
      </c>
      <c r="M300" s="453">
        <v>-4.3</v>
      </c>
      <c r="N300" s="453">
        <v>-6.4429999999999765</v>
      </c>
    </row>
    <row r="301" spans="2:14" x14ac:dyDescent="0.3">
      <c r="B301" s="472"/>
      <c r="G301" s="668"/>
      <c r="H301" s="668"/>
      <c r="I301" s="668"/>
      <c r="J301" s="349"/>
      <c r="K301" s="349"/>
      <c r="L301" s="358"/>
      <c r="M301" s="358"/>
      <c r="N301" s="358">
        <v>0</v>
      </c>
    </row>
    <row r="302" spans="2:14" x14ac:dyDescent="0.3">
      <c r="B302" s="657" t="s">
        <v>477</v>
      </c>
      <c r="G302" s="409"/>
      <c r="H302" s="409"/>
      <c r="I302" s="409"/>
      <c r="J302" s="409"/>
      <c r="K302" s="410"/>
      <c r="L302" s="410"/>
      <c r="M302" s="410"/>
      <c r="N302" s="410">
        <v>0</v>
      </c>
    </row>
    <row r="303" spans="2:14" x14ac:dyDescent="0.3">
      <c r="B303" s="657"/>
      <c r="G303" s="409"/>
      <c r="H303" s="409"/>
      <c r="I303" s="409"/>
      <c r="J303" s="409"/>
      <c r="K303" s="410"/>
      <c r="L303" s="410"/>
      <c r="M303" s="410"/>
      <c r="N303" s="410">
        <v>0</v>
      </c>
    </row>
    <row r="304" spans="2:14" x14ac:dyDescent="0.3">
      <c r="B304" s="390" t="s">
        <v>478</v>
      </c>
      <c r="G304" s="470"/>
      <c r="H304" s="470"/>
      <c r="I304" s="470">
        <v>155.10000000000005</v>
      </c>
      <c r="J304" s="470">
        <v>189.70000000000007</v>
      </c>
      <c r="K304" s="470">
        <v>233.10000000000002</v>
      </c>
      <c r="L304" s="470">
        <v>265.69999999999993</v>
      </c>
      <c r="M304" s="470">
        <v>254.60000000000002</v>
      </c>
      <c r="N304" s="470">
        <v>244.51400000000004</v>
      </c>
    </row>
    <row r="305" spans="2:14" x14ac:dyDescent="0.3">
      <c r="B305" s="399" t="s">
        <v>454</v>
      </c>
      <c r="G305" s="453"/>
      <c r="H305" s="453"/>
      <c r="I305" s="453">
        <v>22.299999999999979</v>
      </c>
      <c r="J305" s="453">
        <v>10.400000000000023</v>
      </c>
      <c r="K305" s="453">
        <v>47.699999999999996</v>
      </c>
      <c r="L305" s="453">
        <v>89.000000000000071</v>
      </c>
      <c r="M305" s="453">
        <v>73.699999999999974</v>
      </c>
      <c r="N305" s="453">
        <v>48.099999999999966</v>
      </c>
    </row>
    <row r="306" spans="2:14" x14ac:dyDescent="0.3">
      <c r="B306" s="399" t="s">
        <v>455</v>
      </c>
      <c r="G306" s="453"/>
      <c r="H306" s="453"/>
      <c r="I306" s="453">
        <v>136.10000000000014</v>
      </c>
      <c r="J306" s="453">
        <v>182.90000000000003</v>
      </c>
      <c r="K306" s="453">
        <v>189</v>
      </c>
      <c r="L306" s="453">
        <v>180.29999999999993</v>
      </c>
      <c r="M306" s="453">
        <v>185.20000000000005</v>
      </c>
      <c r="N306" s="453">
        <v>203.10000000000019</v>
      </c>
    </row>
    <row r="307" spans="2:14" x14ac:dyDescent="0.3">
      <c r="B307" s="467" t="s">
        <v>463</v>
      </c>
      <c r="G307" s="453"/>
      <c r="H307" s="453"/>
      <c r="I307" s="453">
        <v>-26.100000000000026</v>
      </c>
      <c r="J307" s="453">
        <v>-18.499999999999986</v>
      </c>
      <c r="K307" s="453">
        <v>-22.800000000000015</v>
      </c>
      <c r="L307" s="453">
        <v>-1.399999999999995</v>
      </c>
      <c r="M307" s="453">
        <v>5.0000000000000169</v>
      </c>
      <c r="N307" s="453">
        <v>11.600000000000003</v>
      </c>
    </row>
    <row r="308" spans="2:14" x14ac:dyDescent="0.3">
      <c r="B308" s="467" t="s">
        <v>464</v>
      </c>
      <c r="G308" s="453"/>
      <c r="H308" s="453"/>
      <c r="I308" s="453">
        <v>162.20000000000013</v>
      </c>
      <c r="J308" s="453">
        <v>201.39999999999998</v>
      </c>
      <c r="K308" s="453">
        <v>211.8</v>
      </c>
      <c r="L308" s="453">
        <v>181.6999999999999</v>
      </c>
      <c r="M308" s="453">
        <v>180.20000000000005</v>
      </c>
      <c r="N308" s="453">
        <v>191.30000000000018</v>
      </c>
    </row>
    <row r="309" spans="2:14" x14ac:dyDescent="0.3">
      <c r="B309" s="460" t="s">
        <v>467</v>
      </c>
      <c r="G309" s="668"/>
      <c r="H309" s="668"/>
      <c r="I309" s="668"/>
      <c r="J309" s="349"/>
      <c r="K309" s="349"/>
      <c r="L309" s="358"/>
      <c r="M309" s="473" t="e">
        <f>SUM(#REF!)</f>
        <v>#REF!</v>
      </c>
      <c r="N309" s="453">
        <v>-6.4429999999999765</v>
      </c>
    </row>
    <row r="310" spans="2:14" x14ac:dyDescent="0.3">
      <c r="B310" s="657" t="s">
        <v>479</v>
      </c>
      <c r="G310" s="409"/>
      <c r="H310" s="409"/>
      <c r="I310" s="409"/>
      <c r="J310" s="409"/>
      <c r="K310" s="410"/>
      <c r="L310" s="410"/>
      <c r="M310" s="410"/>
      <c r="N310" s="410"/>
    </row>
    <row r="311" spans="2:14" x14ac:dyDescent="0.3">
      <c r="B311" s="657"/>
      <c r="G311" s="409"/>
      <c r="H311" s="409"/>
      <c r="I311" s="409"/>
      <c r="J311" s="409"/>
      <c r="K311" s="410"/>
      <c r="L311" s="410"/>
      <c r="M311" s="410"/>
      <c r="N311" s="410"/>
    </row>
    <row r="312" spans="2:14" x14ac:dyDescent="0.3">
      <c r="B312" s="390" t="s">
        <v>480</v>
      </c>
      <c r="G312" s="463"/>
      <c r="H312" s="463"/>
      <c r="I312" s="463">
        <v>7.5917767988252588E-2</v>
      </c>
      <c r="J312" s="463">
        <v>9.0678776290631008E-2</v>
      </c>
      <c r="K312" s="463">
        <v>0.10281857880111155</v>
      </c>
      <c r="L312" s="463">
        <v>0.11495695063384241</v>
      </c>
      <c r="M312" s="463">
        <v>0.11579569745758857</v>
      </c>
      <c r="N312" s="463">
        <v>0.10841269841269841</v>
      </c>
    </row>
    <row r="313" spans="2:14" x14ac:dyDescent="0.3">
      <c r="B313" s="399" t="s">
        <v>454</v>
      </c>
      <c r="G313" s="474"/>
      <c r="H313" s="474"/>
      <c r="I313" s="474">
        <v>3.1271911372878949E-2</v>
      </c>
      <c r="J313" s="474">
        <v>1.4895445431108597E-2</v>
      </c>
      <c r="K313" s="474">
        <v>5.1634552933535395E-2</v>
      </c>
      <c r="L313" s="474">
        <v>9.2208868628263635E-2</v>
      </c>
      <c r="M313" s="474">
        <v>9.393321437675245E-2</v>
      </c>
      <c r="N313" s="474">
        <v>5.5639097744360863E-2</v>
      </c>
    </row>
    <row r="314" spans="2:14" x14ac:dyDescent="0.3">
      <c r="B314" s="399" t="s">
        <v>455</v>
      </c>
      <c r="G314" s="474"/>
      <c r="H314" s="474"/>
      <c r="I314" s="474">
        <v>0.1023385216933605</v>
      </c>
      <c r="J314" s="474">
        <v>0.12500854350351995</v>
      </c>
      <c r="K314" s="474">
        <v>0.13325812592540365</v>
      </c>
      <c r="L314" s="474">
        <v>0.12801760863391079</v>
      </c>
      <c r="M314" s="474">
        <v>0.12443727743062558</v>
      </c>
      <c r="N314" s="474">
        <v>0.13847412558805497</v>
      </c>
    </row>
    <row r="315" spans="2:14" x14ac:dyDescent="0.3">
      <c r="B315" s="467" t="s">
        <v>463</v>
      </c>
      <c r="G315" s="474"/>
      <c r="H315" s="474"/>
      <c r="I315" s="474">
        <v>-0.10524193548387108</v>
      </c>
      <c r="J315" s="474">
        <v>-6.5347933592370136E-2</v>
      </c>
      <c r="K315" s="474">
        <v>-8.5908063300678281E-2</v>
      </c>
      <c r="L315" s="474">
        <v>-5.5533518445061289E-3</v>
      </c>
      <c r="M315" s="474">
        <v>1.9778481012658295E-2</v>
      </c>
      <c r="N315" s="474">
        <v>4.4684129429892153E-2</v>
      </c>
    </row>
    <row r="316" spans="2:14" x14ac:dyDescent="0.3">
      <c r="B316" s="467" t="s">
        <v>464</v>
      </c>
      <c r="G316" s="474"/>
      <c r="H316" s="474"/>
      <c r="I316" s="474">
        <v>0.14992143451335624</v>
      </c>
      <c r="J316" s="474">
        <v>0.17067796610169489</v>
      </c>
      <c r="K316" s="474">
        <v>0.18371064272703616</v>
      </c>
      <c r="L316" s="474">
        <v>0.15713915073942741</v>
      </c>
      <c r="M316" s="474">
        <v>0.14585188182921899</v>
      </c>
      <c r="N316" s="474">
        <v>0.15847899925441156</v>
      </c>
    </row>
    <row r="317" spans="2:14" x14ac:dyDescent="0.3">
      <c r="G317" s="358"/>
      <c r="H317" s="358"/>
      <c r="I317" s="358"/>
      <c r="J317" s="358"/>
      <c r="K317" s="358"/>
    </row>
    <row r="318" spans="2:14" x14ac:dyDescent="0.3">
      <c r="B318" s="358" t="s">
        <v>481</v>
      </c>
      <c r="G318" s="358"/>
      <c r="H318" s="358"/>
      <c r="I318" s="358"/>
      <c r="J318" s="358"/>
      <c r="K318" s="358"/>
    </row>
    <row r="319" spans="2:14" x14ac:dyDescent="0.3">
      <c r="B319" s="358" t="s">
        <v>482</v>
      </c>
      <c r="G319" s="358"/>
      <c r="H319" s="358"/>
      <c r="I319" s="358"/>
      <c r="J319" s="358"/>
      <c r="K319" s="358"/>
    </row>
    <row r="322" spans="2:14" x14ac:dyDescent="0.3">
      <c r="B322" s="669" t="s">
        <v>483</v>
      </c>
      <c r="G322" s="658">
        <v>40908</v>
      </c>
      <c r="H322" s="670">
        <v>2012</v>
      </c>
      <c r="I322" s="670">
        <v>2013</v>
      </c>
      <c r="J322" s="670">
        <v>2014</v>
      </c>
      <c r="K322" s="493">
        <v>2015</v>
      </c>
      <c r="L322" s="497">
        <v>2016</v>
      </c>
      <c r="M322" s="497">
        <v>2017</v>
      </c>
      <c r="N322" s="504" t="s">
        <v>313</v>
      </c>
    </row>
    <row r="323" spans="2:14" x14ac:dyDescent="0.3">
      <c r="B323" s="669"/>
      <c r="G323" s="659"/>
      <c r="H323" s="671"/>
      <c r="I323" s="671"/>
      <c r="J323" s="671"/>
      <c r="K323" s="495"/>
      <c r="L323" s="499"/>
      <c r="M323" s="499"/>
      <c r="N323" s="504"/>
    </row>
    <row r="324" spans="2:14" x14ac:dyDescent="0.3">
      <c r="B324" s="475" t="s">
        <v>484</v>
      </c>
      <c r="G324" s="476">
        <v>47</v>
      </c>
      <c r="H324" s="477">
        <v>26.4</v>
      </c>
      <c r="I324" s="477">
        <v>41.5</v>
      </c>
      <c r="J324" s="477">
        <v>44.2</v>
      </c>
      <c r="K324" s="477">
        <v>37.299999999999997</v>
      </c>
      <c r="L324" s="478">
        <v>71.316999999999993</v>
      </c>
      <c r="M324" s="478">
        <v>69.603999999999999</v>
      </c>
      <c r="N324" s="479">
        <v>36.407999999999994</v>
      </c>
    </row>
    <row r="325" spans="2:14" x14ac:dyDescent="0.3">
      <c r="B325" s="475" t="s">
        <v>448</v>
      </c>
      <c r="G325" s="477">
        <v>65.5</v>
      </c>
      <c r="H325" s="477">
        <v>36.1</v>
      </c>
      <c r="I325" s="477">
        <v>17.8</v>
      </c>
      <c r="J325" s="477">
        <v>11.1</v>
      </c>
      <c r="K325" s="477">
        <v>4.9000000000000004</v>
      </c>
      <c r="L325" s="480">
        <v>2.4</v>
      </c>
      <c r="M325" s="480">
        <v>1.619</v>
      </c>
      <c r="N325" s="481">
        <v>4.0720000000000001</v>
      </c>
    </row>
    <row r="326" spans="2:14" x14ac:dyDescent="0.3">
      <c r="B326" s="482" t="s">
        <v>81</v>
      </c>
      <c r="G326" s="483">
        <v>112.5</v>
      </c>
      <c r="H326" s="483">
        <v>62.5</v>
      </c>
      <c r="I326" s="483">
        <v>59.3</v>
      </c>
      <c r="J326" s="483">
        <v>55.3</v>
      </c>
      <c r="K326" s="483">
        <v>42.199999999999996</v>
      </c>
      <c r="L326" s="484">
        <v>73.716999999999999</v>
      </c>
      <c r="M326" s="484">
        <v>71.222999999999999</v>
      </c>
      <c r="N326" s="485">
        <v>40.479999999999997</v>
      </c>
    </row>
    <row r="327" spans="2:14" x14ac:dyDescent="0.3">
      <c r="B327" s="17"/>
      <c r="G327" s="486"/>
      <c r="H327" s="486"/>
      <c r="I327" s="486"/>
      <c r="J327" s="486"/>
      <c r="K327" s="486"/>
      <c r="L327" s="408"/>
      <c r="M327" s="408"/>
    </row>
    <row r="328" spans="2:14" x14ac:dyDescent="0.3">
      <c r="B328" s="669" t="s">
        <v>485</v>
      </c>
      <c r="G328" s="659">
        <v>40908</v>
      </c>
      <c r="H328" s="671">
        <v>2012</v>
      </c>
      <c r="I328" s="671">
        <v>2013</v>
      </c>
      <c r="J328" s="671">
        <v>2014</v>
      </c>
      <c r="K328" s="495">
        <v>2015</v>
      </c>
      <c r="L328" s="499">
        <v>2016</v>
      </c>
      <c r="M328" s="497">
        <v>2017</v>
      </c>
      <c r="N328" s="504" t="s">
        <v>375</v>
      </c>
    </row>
    <row r="329" spans="2:14" x14ac:dyDescent="0.3">
      <c r="B329" s="669"/>
      <c r="G329" s="659"/>
      <c r="H329" s="671"/>
      <c r="I329" s="671"/>
      <c r="J329" s="671"/>
      <c r="K329" s="495"/>
      <c r="L329" s="499"/>
      <c r="M329" s="499"/>
      <c r="N329" s="504"/>
    </row>
    <row r="330" spans="2:14" x14ac:dyDescent="0.3">
      <c r="B330" s="333" t="s">
        <v>358</v>
      </c>
      <c r="G330" s="487">
        <v>448.3</v>
      </c>
      <c r="H330" s="487">
        <v>451.7</v>
      </c>
      <c r="I330" s="487">
        <v>513.29999999999995</v>
      </c>
      <c r="J330" s="487">
        <v>522.48900000000003</v>
      </c>
      <c r="K330" s="487">
        <v>508.82600000000002</v>
      </c>
      <c r="L330" s="454">
        <v>493.20800000000003</v>
      </c>
      <c r="M330" s="454">
        <v>497.64699999999999</v>
      </c>
      <c r="N330" s="488">
        <v>1538.0039999999999</v>
      </c>
    </row>
    <row r="331" spans="2:14" x14ac:dyDescent="0.3">
      <c r="B331" s="333" t="s">
        <v>75</v>
      </c>
      <c r="G331" s="487">
        <v>698.5</v>
      </c>
      <c r="H331" s="487">
        <v>588.5</v>
      </c>
      <c r="I331" s="487">
        <v>559</v>
      </c>
      <c r="J331" s="487">
        <v>589.56600000000003</v>
      </c>
      <c r="K331" s="487">
        <v>657.99199999999996</v>
      </c>
      <c r="L331" s="454">
        <v>560.23500000000001</v>
      </c>
      <c r="M331" s="454">
        <v>538.17499999999995</v>
      </c>
      <c r="N331" s="488">
        <v>1707.3319999999999</v>
      </c>
    </row>
    <row r="332" spans="2:14" x14ac:dyDescent="0.3">
      <c r="B332" s="333" t="s">
        <v>359</v>
      </c>
      <c r="G332" s="487">
        <v>67.7</v>
      </c>
      <c r="H332" s="487">
        <v>57.4</v>
      </c>
      <c r="I332" s="487">
        <v>50.7</v>
      </c>
      <c r="J332" s="487">
        <v>46.667000000000002</v>
      </c>
      <c r="K332" s="487">
        <v>39.478999999999999</v>
      </c>
      <c r="L332" s="454">
        <v>35.630000000000003</v>
      </c>
      <c r="M332" s="454">
        <v>37.158999999999999</v>
      </c>
      <c r="N332" s="488">
        <v>117.42500000000001</v>
      </c>
    </row>
    <row r="333" spans="2:14" x14ac:dyDescent="0.3">
      <c r="B333" s="333" t="s">
        <v>44</v>
      </c>
      <c r="G333" s="487">
        <v>213</v>
      </c>
      <c r="H333" s="487">
        <v>186.488</v>
      </c>
      <c r="I333" s="487">
        <v>194</v>
      </c>
      <c r="J333" s="487">
        <v>167.1</v>
      </c>
      <c r="K333" s="487">
        <v>152.15600000000001</v>
      </c>
      <c r="L333" s="454">
        <v>144.04</v>
      </c>
      <c r="M333" s="454">
        <v>163.26499999999999</v>
      </c>
      <c r="N333" s="488">
        <v>520.86699999999996</v>
      </c>
    </row>
    <row r="334" spans="2:14" x14ac:dyDescent="0.3">
      <c r="B334" s="489" t="s">
        <v>220</v>
      </c>
      <c r="G334" s="490">
        <v>1001.5</v>
      </c>
      <c r="H334" s="490">
        <v>911.11200000000008</v>
      </c>
      <c r="I334" s="490">
        <v>929</v>
      </c>
      <c r="J334" s="490">
        <v>991.62199999999996</v>
      </c>
      <c r="K334" s="490">
        <v>1054.1410000000001</v>
      </c>
      <c r="L334" s="491">
        <v>945.03300000000013</v>
      </c>
      <c r="M334" s="491">
        <v>909.71600000000001</v>
      </c>
      <c r="N334" s="492">
        <v>2841.8940000000002</v>
      </c>
    </row>
  </sheetData>
  <mergeCells count="60">
    <mergeCell ref="B328:B329"/>
    <mergeCell ref="G328:G329"/>
    <mergeCell ref="H328:H329"/>
    <mergeCell ref="I328:I329"/>
    <mergeCell ref="J328:J329"/>
    <mergeCell ref="B322:B323"/>
    <mergeCell ref="G322:G323"/>
    <mergeCell ref="H322:H323"/>
    <mergeCell ref="I322:I323"/>
    <mergeCell ref="J322:J323"/>
    <mergeCell ref="G292:I292"/>
    <mergeCell ref="G301:I301"/>
    <mergeCell ref="B302:B303"/>
    <mergeCell ref="G309:I309"/>
    <mergeCell ref="B310:B311"/>
    <mergeCell ref="B293:B294"/>
    <mergeCell ref="B259:B260"/>
    <mergeCell ref="B267:B268"/>
    <mergeCell ref="B276:B277"/>
    <mergeCell ref="B285:B286"/>
    <mergeCell ref="G233:G234"/>
    <mergeCell ref="B243:B244"/>
    <mergeCell ref="B251:B252"/>
    <mergeCell ref="B233:B234"/>
    <mergeCell ref="H233:H234"/>
    <mergeCell ref="I233:I234"/>
    <mergeCell ref="J233:J234"/>
    <mergeCell ref="B192:B193"/>
    <mergeCell ref="G192:G193"/>
    <mergeCell ref="H192:H193"/>
    <mergeCell ref="I192:I193"/>
    <mergeCell ref="J192:J193"/>
    <mergeCell ref="B208:B209"/>
    <mergeCell ref="B216:B217"/>
    <mergeCell ref="B224:B225"/>
    <mergeCell ref="B123:B124"/>
    <mergeCell ref="G123:G124"/>
    <mergeCell ref="H123:H124"/>
    <mergeCell ref="I123:I124"/>
    <mergeCell ref="J123:J124"/>
    <mergeCell ref="B87:B88"/>
    <mergeCell ref="G87:G88"/>
    <mergeCell ref="H87:H88"/>
    <mergeCell ref="I87:I88"/>
    <mergeCell ref="J87:J88"/>
    <mergeCell ref="B54:B55"/>
    <mergeCell ref="G54:G55"/>
    <mergeCell ref="H54:H55"/>
    <mergeCell ref="I54:I55"/>
    <mergeCell ref="J54:J55"/>
    <mergeCell ref="B37:B38"/>
    <mergeCell ref="G37:G38"/>
    <mergeCell ref="H37:H38"/>
    <mergeCell ref="I37:I38"/>
    <mergeCell ref="J37:J38"/>
    <mergeCell ref="B8:B9"/>
    <mergeCell ref="G8:G9"/>
    <mergeCell ref="H8:H9"/>
    <mergeCell ref="I8:I9"/>
    <mergeCell ref="J8:J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01"/>
  <sheetViews>
    <sheetView showGridLines="0" tabSelected="1" zoomScale="120" zoomScaleNormal="120" workbookViewId="0">
      <pane xSplit="3" ySplit="1" topLeftCell="AK142" activePane="bottomRight" state="frozen"/>
      <selection pane="topRight" activeCell="D1" sqref="D1"/>
      <selection pane="bottomLeft" activeCell="A2" sqref="A2"/>
      <selection pane="bottomRight" activeCell="AV147" sqref="AV147"/>
    </sheetView>
  </sheetViews>
  <sheetFormatPr defaultColWidth="0" defaultRowHeight="14.4" x14ac:dyDescent="0.3"/>
  <cols>
    <col min="1" max="1" width="9.109375" customWidth="1"/>
    <col min="2" max="2" width="31" customWidth="1"/>
    <col min="3" max="3" width="18.88671875" hidden="1" customWidth="1"/>
    <col min="4" max="4" width="11.44140625" bestFit="1" customWidth="1"/>
    <col min="5" max="5" width="7.44140625" bestFit="1" customWidth="1"/>
    <col min="6" max="12" width="9.109375" customWidth="1"/>
    <col min="13" max="13" width="11.33203125" bestFit="1" customWidth="1"/>
    <col min="14" max="14" width="10.44140625" bestFit="1" customWidth="1"/>
    <col min="15" max="56" width="9.109375" customWidth="1"/>
    <col min="57" max="57" width="0" hidden="1" customWidth="1"/>
    <col min="58" max="16384" width="9.109375" hidden="1"/>
  </cols>
  <sheetData>
    <row r="1" spans="1:56" s="16" customFormat="1" ht="14.25" customHeight="1" x14ac:dyDescent="0.3">
      <c r="A1" s="177">
        <f>Valuation!D22</f>
        <v>30.483813870715789</v>
      </c>
      <c r="B1" s="177">
        <f>Valuation!D33</f>
        <v>0</v>
      </c>
      <c r="D1" s="16">
        <v>2008</v>
      </c>
      <c r="E1" s="16">
        <v>2009</v>
      </c>
      <c r="F1" s="16">
        <v>2010</v>
      </c>
      <c r="G1" s="16">
        <v>2011</v>
      </c>
      <c r="H1" s="16">
        <v>2012</v>
      </c>
      <c r="I1" s="16">
        <v>2013</v>
      </c>
      <c r="J1" s="16">
        <v>2014</v>
      </c>
      <c r="K1" s="16">
        <v>2015</v>
      </c>
      <c r="L1" s="16">
        <v>2016</v>
      </c>
      <c r="M1" s="16">
        <v>2017</v>
      </c>
      <c r="N1" s="16">
        <v>2018</v>
      </c>
      <c r="O1" s="16">
        <v>2019</v>
      </c>
      <c r="P1" s="16">
        <v>2020</v>
      </c>
      <c r="Q1" s="16">
        <v>2021</v>
      </c>
      <c r="R1" s="16">
        <v>2022</v>
      </c>
      <c r="S1" s="16">
        <v>2023</v>
      </c>
      <c r="T1" s="16">
        <v>2024</v>
      </c>
      <c r="U1" s="16">
        <v>2025</v>
      </c>
      <c r="V1" s="16">
        <v>2026</v>
      </c>
      <c r="W1" s="16">
        <v>2027</v>
      </c>
      <c r="X1" s="16">
        <v>2028</v>
      </c>
      <c r="Y1" s="16">
        <v>2029</v>
      </c>
      <c r="Z1" s="16">
        <v>2030</v>
      </c>
      <c r="AA1" s="16">
        <v>2031</v>
      </c>
      <c r="AB1" s="16">
        <v>2032</v>
      </c>
      <c r="AC1" s="16">
        <v>2033</v>
      </c>
      <c r="AD1" s="16">
        <v>2034</v>
      </c>
      <c r="AE1" s="16">
        <v>2035</v>
      </c>
      <c r="AF1" s="16">
        <v>2036</v>
      </c>
      <c r="AG1" s="16">
        <v>2037</v>
      </c>
      <c r="AH1" s="16">
        <v>2038</v>
      </c>
      <c r="AI1" s="16">
        <v>2039</v>
      </c>
      <c r="AJ1" s="16">
        <v>2040</v>
      </c>
      <c r="AK1" s="16">
        <v>2041</v>
      </c>
      <c r="AL1" s="16">
        <v>2042</v>
      </c>
      <c r="AM1" s="16">
        <v>2043</v>
      </c>
      <c r="AN1" s="16">
        <v>2044</v>
      </c>
      <c r="AO1" s="16">
        <v>2045</v>
      </c>
      <c r="AP1" s="16">
        <v>2046</v>
      </c>
      <c r="AQ1" s="16">
        <v>2047</v>
      </c>
      <c r="AR1" s="16">
        <v>2048</v>
      </c>
      <c r="AS1" s="16">
        <v>2049</v>
      </c>
      <c r="AT1" s="16">
        <v>2050</v>
      </c>
      <c r="AU1" s="16">
        <v>2051</v>
      </c>
      <c r="AV1" s="16">
        <v>2052</v>
      </c>
      <c r="AW1" s="16">
        <v>2053</v>
      </c>
      <c r="AX1" s="16">
        <v>2054</v>
      </c>
      <c r="AY1" s="16">
        <v>2055</v>
      </c>
      <c r="AZ1" s="16">
        <v>2056</v>
      </c>
      <c r="BA1" s="16">
        <v>2057</v>
      </c>
      <c r="BB1" s="16">
        <v>2058</v>
      </c>
      <c r="BC1" s="16">
        <v>2059</v>
      </c>
      <c r="BD1" s="16">
        <v>2060</v>
      </c>
    </row>
    <row r="2" spans="1:56" ht="14.25" customHeight="1" x14ac:dyDescent="0.3">
      <c r="B2" t="s">
        <v>101</v>
      </c>
    </row>
    <row r="3" spans="1:56" ht="14.25" customHeight="1" x14ac:dyDescent="0.3">
      <c r="B3" t="s">
        <v>105</v>
      </c>
      <c r="N3" s="271">
        <v>3.7</v>
      </c>
      <c r="O3" s="271">
        <v>3.7</v>
      </c>
    </row>
    <row r="4" spans="1:56" ht="14.25" customHeight="1" x14ac:dyDescent="0.3">
      <c r="B4" t="s">
        <v>104</v>
      </c>
      <c r="E4" s="242"/>
      <c r="F4" s="46">
        <v>1.760144868875086</v>
      </c>
      <c r="G4" s="46">
        <v>1.674040958081138</v>
      </c>
      <c r="H4" s="46">
        <v>1.9592000000000001</v>
      </c>
      <c r="I4" s="46">
        <v>2.1606999999999998</v>
      </c>
      <c r="J4" s="46">
        <v>2.5281500000000001</v>
      </c>
      <c r="K4" s="46">
        <v>3.1690765255221649</v>
      </c>
      <c r="L4" s="46">
        <v>3.48</v>
      </c>
      <c r="M4" s="46">
        <v>3.19</v>
      </c>
      <c r="N4" s="271">
        <v>3.7</v>
      </c>
      <c r="O4" s="271">
        <v>4.2</v>
      </c>
      <c r="P4" s="53">
        <f t="shared" ref="P4:BD4" si="0">O4*1.02</f>
        <v>4.2840000000000007</v>
      </c>
      <c r="Q4" s="53">
        <f t="shared" si="0"/>
        <v>4.3696800000000007</v>
      </c>
      <c r="R4" s="53">
        <f t="shared" si="0"/>
        <v>4.4570736000000011</v>
      </c>
      <c r="S4" s="53">
        <f t="shared" si="0"/>
        <v>4.5462150720000007</v>
      </c>
      <c r="T4" s="53">
        <f t="shared" si="0"/>
        <v>4.637139373440001</v>
      </c>
      <c r="U4" s="53">
        <f t="shared" si="0"/>
        <v>4.7298821609088009</v>
      </c>
      <c r="V4" s="53">
        <f t="shared" si="0"/>
        <v>4.8244798041269767</v>
      </c>
      <c r="W4" s="53">
        <f t="shared" si="0"/>
        <v>4.9209694002095166</v>
      </c>
      <c r="X4" s="53">
        <f t="shared" si="0"/>
        <v>5.0193887882137069</v>
      </c>
      <c r="Y4" s="53">
        <f t="shared" si="0"/>
        <v>5.1197765639779815</v>
      </c>
      <c r="Z4" s="53">
        <f t="shared" si="0"/>
        <v>5.222172095257541</v>
      </c>
      <c r="AA4" s="53">
        <f t="shared" si="0"/>
        <v>5.3266155371626915</v>
      </c>
      <c r="AB4" s="53">
        <f t="shared" si="0"/>
        <v>5.4331478479059454</v>
      </c>
      <c r="AC4" s="53">
        <f t="shared" si="0"/>
        <v>5.5418108048640642</v>
      </c>
      <c r="AD4" s="53">
        <f t="shared" si="0"/>
        <v>5.6526470209613455</v>
      </c>
      <c r="AE4" s="53">
        <f t="shared" si="0"/>
        <v>5.7656999613805722</v>
      </c>
      <c r="AF4" s="53">
        <f t="shared" si="0"/>
        <v>5.8810139606081835</v>
      </c>
      <c r="AG4" s="53">
        <f t="shared" si="0"/>
        <v>5.9986342398203476</v>
      </c>
      <c r="AH4" s="53">
        <f t="shared" si="0"/>
        <v>6.1186069246167545</v>
      </c>
      <c r="AI4" s="53">
        <f t="shared" si="0"/>
        <v>6.2409790631090898</v>
      </c>
      <c r="AJ4" s="53">
        <f t="shared" si="0"/>
        <v>6.3657986443712717</v>
      </c>
      <c r="AK4" s="53">
        <f t="shared" si="0"/>
        <v>6.4931146172586969</v>
      </c>
      <c r="AL4" s="53">
        <f t="shared" si="0"/>
        <v>6.6229769096038709</v>
      </c>
      <c r="AM4" s="53">
        <f t="shared" si="0"/>
        <v>6.7554364477959483</v>
      </c>
      <c r="AN4" s="53">
        <f t="shared" si="0"/>
        <v>6.8905451767518677</v>
      </c>
      <c r="AO4" s="53">
        <f t="shared" si="0"/>
        <v>7.0283560802869056</v>
      </c>
      <c r="AP4" s="53">
        <f t="shared" si="0"/>
        <v>7.1689232018926434</v>
      </c>
      <c r="AQ4" s="53">
        <f t="shared" si="0"/>
        <v>7.3123016659304962</v>
      </c>
      <c r="AR4" s="53">
        <f t="shared" si="0"/>
        <v>7.458547699249106</v>
      </c>
      <c r="AS4" s="53">
        <f t="shared" si="0"/>
        <v>7.6077186532340884</v>
      </c>
      <c r="AT4" s="53">
        <f t="shared" si="0"/>
        <v>7.7598730262987701</v>
      </c>
      <c r="AU4" s="53">
        <f t="shared" si="0"/>
        <v>7.9150704868247459</v>
      </c>
      <c r="AV4" s="53">
        <f t="shared" si="0"/>
        <v>8.0733718965612411</v>
      </c>
      <c r="AW4" s="53">
        <f t="shared" si="0"/>
        <v>8.2348393344924666</v>
      </c>
      <c r="AX4" s="53">
        <f t="shared" si="0"/>
        <v>8.399536121182317</v>
      </c>
      <c r="AY4" s="53">
        <f t="shared" si="0"/>
        <v>8.5675268436059628</v>
      </c>
      <c r="AZ4" s="53">
        <f t="shared" si="0"/>
        <v>8.7388773804780815</v>
      </c>
      <c r="BA4" s="53">
        <f t="shared" si="0"/>
        <v>8.9136549280876434</v>
      </c>
      <c r="BB4" s="53">
        <f t="shared" si="0"/>
        <v>9.0919280266493967</v>
      </c>
      <c r="BC4" s="53">
        <f t="shared" si="0"/>
        <v>9.2737665871823847</v>
      </c>
      <c r="BD4" s="53">
        <f t="shared" si="0"/>
        <v>9.4592419189260326</v>
      </c>
    </row>
    <row r="5" spans="1:56" ht="14.25" customHeight="1" x14ac:dyDescent="0.3">
      <c r="B5" t="s">
        <v>102</v>
      </c>
      <c r="E5" s="50"/>
      <c r="F5" s="28">
        <v>7.5501990259016341E-2</v>
      </c>
      <c r="G5" s="28">
        <v>2.7361703427410049E-2</v>
      </c>
      <c r="H5" s="28">
        <v>1.8E-3</v>
      </c>
      <c r="I5" s="28">
        <v>7.3000000000000001E-3</v>
      </c>
      <c r="J5" s="28">
        <v>1.8E-3</v>
      </c>
      <c r="K5" s="28">
        <v>7.3000000000000001E-3</v>
      </c>
      <c r="L5" s="28">
        <v>-0.01</v>
      </c>
      <c r="M5" s="28">
        <v>0</v>
      </c>
      <c r="N5" s="52">
        <v>1.4999999999999999E-2</v>
      </c>
      <c r="O5" s="243">
        <v>0.01</v>
      </c>
      <c r="P5" s="243">
        <v>0.02</v>
      </c>
      <c r="Q5" s="243">
        <v>0.03</v>
      </c>
      <c r="R5" s="54">
        <f t="shared" ref="R5:BD5" si="1">Q5</f>
        <v>0.03</v>
      </c>
      <c r="S5" s="54">
        <f t="shared" si="1"/>
        <v>0.03</v>
      </c>
      <c r="T5" s="54">
        <f t="shared" si="1"/>
        <v>0.03</v>
      </c>
      <c r="U5" s="54">
        <f t="shared" si="1"/>
        <v>0.03</v>
      </c>
      <c r="V5" s="54">
        <f t="shared" si="1"/>
        <v>0.03</v>
      </c>
      <c r="W5" s="54">
        <f t="shared" si="1"/>
        <v>0.03</v>
      </c>
      <c r="X5" s="54">
        <f t="shared" si="1"/>
        <v>0.03</v>
      </c>
      <c r="Y5" s="54">
        <f t="shared" si="1"/>
        <v>0.03</v>
      </c>
      <c r="Z5" s="54">
        <f t="shared" si="1"/>
        <v>0.03</v>
      </c>
      <c r="AA5" s="54">
        <f t="shared" si="1"/>
        <v>0.03</v>
      </c>
      <c r="AB5" s="54">
        <f t="shared" si="1"/>
        <v>0.03</v>
      </c>
      <c r="AC5" s="54">
        <f t="shared" si="1"/>
        <v>0.03</v>
      </c>
      <c r="AD5" s="54">
        <f t="shared" si="1"/>
        <v>0.03</v>
      </c>
      <c r="AE5" s="54">
        <f t="shared" si="1"/>
        <v>0.03</v>
      </c>
      <c r="AF5" s="54">
        <f t="shared" si="1"/>
        <v>0.03</v>
      </c>
      <c r="AG5" s="54">
        <f t="shared" si="1"/>
        <v>0.03</v>
      </c>
      <c r="AH5" s="54">
        <f t="shared" si="1"/>
        <v>0.03</v>
      </c>
      <c r="AI5" s="54">
        <f t="shared" si="1"/>
        <v>0.03</v>
      </c>
      <c r="AJ5" s="54">
        <f t="shared" si="1"/>
        <v>0.03</v>
      </c>
      <c r="AK5" s="54">
        <f t="shared" si="1"/>
        <v>0.03</v>
      </c>
      <c r="AL5" s="54">
        <f t="shared" si="1"/>
        <v>0.03</v>
      </c>
      <c r="AM5" s="54">
        <f t="shared" si="1"/>
        <v>0.03</v>
      </c>
      <c r="AN5" s="54">
        <f t="shared" si="1"/>
        <v>0.03</v>
      </c>
      <c r="AO5" s="54">
        <f t="shared" si="1"/>
        <v>0.03</v>
      </c>
      <c r="AP5" s="54">
        <f t="shared" si="1"/>
        <v>0.03</v>
      </c>
      <c r="AQ5" s="54">
        <f t="shared" si="1"/>
        <v>0.03</v>
      </c>
      <c r="AR5" s="54">
        <f t="shared" si="1"/>
        <v>0.03</v>
      </c>
      <c r="AS5" s="54">
        <f t="shared" si="1"/>
        <v>0.03</v>
      </c>
      <c r="AT5" s="54">
        <f t="shared" si="1"/>
        <v>0.03</v>
      </c>
      <c r="AU5" s="54">
        <f t="shared" si="1"/>
        <v>0.03</v>
      </c>
      <c r="AV5" s="54">
        <f t="shared" si="1"/>
        <v>0.03</v>
      </c>
      <c r="AW5" s="54">
        <f t="shared" si="1"/>
        <v>0.03</v>
      </c>
      <c r="AX5" s="54">
        <f t="shared" si="1"/>
        <v>0.03</v>
      </c>
      <c r="AY5" s="54">
        <f t="shared" si="1"/>
        <v>0.03</v>
      </c>
      <c r="AZ5" s="54">
        <f t="shared" si="1"/>
        <v>0.03</v>
      </c>
      <c r="BA5" s="54">
        <f t="shared" si="1"/>
        <v>0.03</v>
      </c>
      <c r="BB5" s="54">
        <f t="shared" si="1"/>
        <v>0.03</v>
      </c>
      <c r="BC5" s="54">
        <f t="shared" si="1"/>
        <v>0.03</v>
      </c>
      <c r="BD5" s="54">
        <f t="shared" si="1"/>
        <v>0.03</v>
      </c>
    </row>
    <row r="6" spans="1:56" ht="14.25" customHeight="1" x14ac:dyDescent="0.3">
      <c r="B6" t="s">
        <v>103</v>
      </c>
      <c r="E6" s="50"/>
      <c r="F6" s="28">
        <v>5.0999999999999941E-2</v>
      </c>
      <c r="G6" s="28">
        <v>4.0000000000000285E-2</v>
      </c>
      <c r="H6" s="28">
        <v>2.4000000000000056E-2</v>
      </c>
      <c r="I6" s="28">
        <v>3.6000000000000087E-2</v>
      </c>
      <c r="J6" s="28">
        <v>0.03</v>
      </c>
      <c r="K6" s="28">
        <v>0.03</v>
      </c>
      <c r="L6" s="28">
        <v>0.03</v>
      </c>
      <c r="M6" s="28">
        <v>0.03</v>
      </c>
      <c r="N6" s="52">
        <v>0.03</v>
      </c>
      <c r="O6" s="243">
        <v>0.03</v>
      </c>
      <c r="P6" s="54">
        <f t="shared" ref="P6:BD6" si="2">O6</f>
        <v>0.03</v>
      </c>
      <c r="Q6" s="54">
        <f t="shared" si="2"/>
        <v>0.03</v>
      </c>
      <c r="R6" s="54">
        <f t="shared" si="2"/>
        <v>0.03</v>
      </c>
      <c r="S6" s="54">
        <f t="shared" si="2"/>
        <v>0.03</v>
      </c>
      <c r="T6" s="54">
        <f t="shared" si="2"/>
        <v>0.03</v>
      </c>
      <c r="U6" s="54">
        <f t="shared" si="2"/>
        <v>0.03</v>
      </c>
      <c r="V6" s="54">
        <f t="shared" si="2"/>
        <v>0.03</v>
      </c>
      <c r="W6" s="54">
        <f t="shared" si="2"/>
        <v>0.03</v>
      </c>
      <c r="X6" s="54">
        <f t="shared" si="2"/>
        <v>0.03</v>
      </c>
      <c r="Y6" s="54">
        <f t="shared" si="2"/>
        <v>0.03</v>
      </c>
      <c r="Z6" s="54">
        <f t="shared" si="2"/>
        <v>0.03</v>
      </c>
      <c r="AA6" s="54">
        <f t="shared" si="2"/>
        <v>0.03</v>
      </c>
      <c r="AB6" s="54">
        <f t="shared" si="2"/>
        <v>0.03</v>
      </c>
      <c r="AC6" s="54">
        <f t="shared" si="2"/>
        <v>0.03</v>
      </c>
      <c r="AD6" s="54">
        <f t="shared" si="2"/>
        <v>0.03</v>
      </c>
      <c r="AE6" s="54">
        <f t="shared" si="2"/>
        <v>0.03</v>
      </c>
      <c r="AF6" s="54">
        <f t="shared" si="2"/>
        <v>0.03</v>
      </c>
      <c r="AG6" s="54">
        <f t="shared" si="2"/>
        <v>0.03</v>
      </c>
      <c r="AH6" s="54">
        <f t="shared" si="2"/>
        <v>0.03</v>
      </c>
      <c r="AI6" s="54">
        <f t="shared" si="2"/>
        <v>0.03</v>
      </c>
      <c r="AJ6" s="54">
        <f t="shared" si="2"/>
        <v>0.03</v>
      </c>
      <c r="AK6" s="54">
        <f t="shared" si="2"/>
        <v>0.03</v>
      </c>
      <c r="AL6" s="54">
        <f t="shared" si="2"/>
        <v>0.03</v>
      </c>
      <c r="AM6" s="54">
        <f t="shared" si="2"/>
        <v>0.03</v>
      </c>
      <c r="AN6" s="54">
        <f t="shared" si="2"/>
        <v>0.03</v>
      </c>
      <c r="AO6" s="54">
        <f t="shared" si="2"/>
        <v>0.03</v>
      </c>
      <c r="AP6" s="54">
        <f t="shared" si="2"/>
        <v>0.03</v>
      </c>
      <c r="AQ6" s="54">
        <f t="shared" si="2"/>
        <v>0.03</v>
      </c>
      <c r="AR6" s="54">
        <f t="shared" si="2"/>
        <v>0.03</v>
      </c>
      <c r="AS6" s="54">
        <f t="shared" si="2"/>
        <v>0.03</v>
      </c>
      <c r="AT6" s="54">
        <f t="shared" si="2"/>
        <v>0.03</v>
      </c>
      <c r="AU6" s="54">
        <f t="shared" si="2"/>
        <v>0.03</v>
      </c>
      <c r="AV6" s="54">
        <f t="shared" si="2"/>
        <v>0.03</v>
      </c>
      <c r="AW6" s="54">
        <f t="shared" si="2"/>
        <v>0.03</v>
      </c>
      <c r="AX6" s="54">
        <f t="shared" si="2"/>
        <v>0.03</v>
      </c>
      <c r="AY6" s="54">
        <f t="shared" si="2"/>
        <v>0.03</v>
      </c>
      <c r="AZ6" s="54">
        <f t="shared" si="2"/>
        <v>0.03</v>
      </c>
      <c r="BA6" s="54">
        <f t="shared" si="2"/>
        <v>0.03</v>
      </c>
      <c r="BB6" s="54">
        <f t="shared" si="2"/>
        <v>0.03</v>
      </c>
      <c r="BC6" s="54">
        <f t="shared" si="2"/>
        <v>0.03</v>
      </c>
      <c r="BD6" s="54">
        <f t="shared" si="2"/>
        <v>0.03</v>
      </c>
    </row>
    <row r="7" spans="1:56" ht="14.25" customHeight="1" x14ac:dyDescent="0.3">
      <c r="B7" t="s">
        <v>106</v>
      </c>
      <c r="E7" s="50"/>
      <c r="F7" s="28">
        <v>9.7987737133433228E-2</v>
      </c>
      <c r="G7" s="28">
        <v>0.11620917254433681</v>
      </c>
      <c r="H7" s="28">
        <v>9.1249999999999998E-2</v>
      </c>
      <c r="I7" s="28">
        <v>0.11</v>
      </c>
      <c r="J7" s="28">
        <v>0.11</v>
      </c>
      <c r="K7" s="28">
        <v>0.14249999999999999</v>
      </c>
      <c r="L7" s="28">
        <v>0.16</v>
      </c>
      <c r="M7" s="28">
        <v>9.7500000000000003E-2</v>
      </c>
      <c r="N7" s="243">
        <v>7.0000000000000007E-2</v>
      </c>
      <c r="O7" s="243">
        <v>5.5E-2</v>
      </c>
      <c r="P7" s="54">
        <f t="shared" ref="P7:BD7" si="3">O7</f>
        <v>5.5E-2</v>
      </c>
      <c r="Q7" s="54">
        <f t="shared" si="3"/>
        <v>5.5E-2</v>
      </c>
      <c r="R7" s="54">
        <f t="shared" si="3"/>
        <v>5.5E-2</v>
      </c>
      <c r="S7" s="54">
        <f t="shared" si="3"/>
        <v>5.5E-2</v>
      </c>
      <c r="T7" s="54">
        <f t="shared" si="3"/>
        <v>5.5E-2</v>
      </c>
      <c r="U7" s="54">
        <f t="shared" si="3"/>
        <v>5.5E-2</v>
      </c>
      <c r="V7" s="54">
        <f t="shared" si="3"/>
        <v>5.5E-2</v>
      </c>
      <c r="W7" s="54">
        <f t="shared" si="3"/>
        <v>5.5E-2</v>
      </c>
      <c r="X7" s="54">
        <f t="shared" si="3"/>
        <v>5.5E-2</v>
      </c>
      <c r="Y7" s="54">
        <f t="shared" si="3"/>
        <v>5.5E-2</v>
      </c>
      <c r="Z7" s="54">
        <f t="shared" si="3"/>
        <v>5.5E-2</v>
      </c>
      <c r="AA7" s="54">
        <f t="shared" si="3"/>
        <v>5.5E-2</v>
      </c>
      <c r="AB7" s="54">
        <f t="shared" si="3"/>
        <v>5.5E-2</v>
      </c>
      <c r="AC7" s="54">
        <f t="shared" si="3"/>
        <v>5.5E-2</v>
      </c>
      <c r="AD7" s="54">
        <f t="shared" si="3"/>
        <v>5.5E-2</v>
      </c>
      <c r="AE7" s="54">
        <f t="shared" si="3"/>
        <v>5.5E-2</v>
      </c>
      <c r="AF7" s="54">
        <f t="shared" si="3"/>
        <v>5.5E-2</v>
      </c>
      <c r="AG7" s="54">
        <f t="shared" si="3"/>
        <v>5.5E-2</v>
      </c>
      <c r="AH7" s="54">
        <f t="shared" si="3"/>
        <v>5.5E-2</v>
      </c>
      <c r="AI7" s="54">
        <f t="shared" si="3"/>
        <v>5.5E-2</v>
      </c>
      <c r="AJ7" s="54">
        <f t="shared" si="3"/>
        <v>5.5E-2</v>
      </c>
      <c r="AK7" s="54">
        <f t="shared" si="3"/>
        <v>5.5E-2</v>
      </c>
      <c r="AL7" s="54">
        <f t="shared" si="3"/>
        <v>5.5E-2</v>
      </c>
      <c r="AM7" s="54">
        <f t="shared" si="3"/>
        <v>5.5E-2</v>
      </c>
      <c r="AN7" s="54">
        <f t="shared" si="3"/>
        <v>5.5E-2</v>
      </c>
      <c r="AO7" s="54">
        <f t="shared" si="3"/>
        <v>5.5E-2</v>
      </c>
      <c r="AP7" s="54">
        <f t="shared" si="3"/>
        <v>5.5E-2</v>
      </c>
      <c r="AQ7" s="54">
        <f t="shared" si="3"/>
        <v>5.5E-2</v>
      </c>
      <c r="AR7" s="54">
        <f t="shared" si="3"/>
        <v>5.5E-2</v>
      </c>
      <c r="AS7" s="54">
        <f t="shared" si="3"/>
        <v>5.5E-2</v>
      </c>
      <c r="AT7" s="54">
        <f t="shared" si="3"/>
        <v>5.5E-2</v>
      </c>
      <c r="AU7" s="54">
        <f t="shared" si="3"/>
        <v>5.5E-2</v>
      </c>
      <c r="AV7" s="54">
        <f t="shared" si="3"/>
        <v>5.5E-2</v>
      </c>
      <c r="AW7" s="54">
        <f t="shared" si="3"/>
        <v>5.5E-2</v>
      </c>
      <c r="AX7" s="54">
        <f t="shared" si="3"/>
        <v>5.5E-2</v>
      </c>
      <c r="AY7" s="54">
        <f t="shared" si="3"/>
        <v>5.5E-2</v>
      </c>
      <c r="AZ7" s="54">
        <f t="shared" si="3"/>
        <v>5.5E-2</v>
      </c>
      <c r="BA7" s="54">
        <f t="shared" si="3"/>
        <v>5.5E-2</v>
      </c>
      <c r="BB7" s="54">
        <f t="shared" si="3"/>
        <v>5.5E-2</v>
      </c>
      <c r="BC7" s="54">
        <f t="shared" si="3"/>
        <v>5.5E-2</v>
      </c>
      <c r="BD7" s="54">
        <f t="shared" si="3"/>
        <v>5.5E-2</v>
      </c>
    </row>
    <row r="8" spans="1:56" ht="14.25" customHeight="1" x14ac:dyDescent="0.3">
      <c r="B8" t="s">
        <v>107</v>
      </c>
      <c r="E8" s="50"/>
      <c r="F8" s="28">
        <v>5.6299999999999996E-2</v>
      </c>
      <c r="G8" s="28">
        <v>6.6400000000000001E-2</v>
      </c>
      <c r="H8" s="28">
        <v>5.5300000000000002E-2</v>
      </c>
      <c r="I8" s="28">
        <v>5.7699999999999994E-2</v>
      </c>
      <c r="J8" s="28">
        <v>6.3799999999999996E-2</v>
      </c>
      <c r="K8" s="28">
        <v>6.5000000000000002E-2</v>
      </c>
      <c r="L8" s="28">
        <v>6.469187143596225E-2</v>
      </c>
      <c r="M8" s="28">
        <v>6.4383742871924485E-2</v>
      </c>
      <c r="N8" s="52">
        <v>4.3999999999999997E-2</v>
      </c>
      <c r="O8" s="243">
        <v>4.4999999999999998E-2</v>
      </c>
      <c r="P8" s="54">
        <f t="shared" ref="P8:BD8" si="4">O8</f>
        <v>4.4999999999999998E-2</v>
      </c>
      <c r="Q8" s="54">
        <f t="shared" si="4"/>
        <v>4.4999999999999998E-2</v>
      </c>
      <c r="R8" s="54">
        <f t="shared" si="4"/>
        <v>4.4999999999999998E-2</v>
      </c>
      <c r="S8" s="54">
        <f t="shared" si="4"/>
        <v>4.4999999999999998E-2</v>
      </c>
      <c r="T8" s="54">
        <f t="shared" si="4"/>
        <v>4.4999999999999998E-2</v>
      </c>
      <c r="U8" s="54">
        <f t="shared" si="4"/>
        <v>4.4999999999999998E-2</v>
      </c>
      <c r="V8" s="54">
        <f t="shared" si="4"/>
        <v>4.4999999999999998E-2</v>
      </c>
      <c r="W8" s="54">
        <f t="shared" si="4"/>
        <v>4.4999999999999998E-2</v>
      </c>
      <c r="X8" s="54">
        <f t="shared" si="4"/>
        <v>4.4999999999999998E-2</v>
      </c>
      <c r="Y8" s="54">
        <f t="shared" si="4"/>
        <v>4.4999999999999998E-2</v>
      </c>
      <c r="Z8" s="54">
        <f t="shared" si="4"/>
        <v>4.4999999999999998E-2</v>
      </c>
      <c r="AA8" s="54">
        <f t="shared" si="4"/>
        <v>4.4999999999999998E-2</v>
      </c>
      <c r="AB8" s="54">
        <f t="shared" si="4"/>
        <v>4.4999999999999998E-2</v>
      </c>
      <c r="AC8" s="54">
        <f t="shared" si="4"/>
        <v>4.4999999999999998E-2</v>
      </c>
      <c r="AD8" s="54">
        <f t="shared" si="4"/>
        <v>4.4999999999999998E-2</v>
      </c>
      <c r="AE8" s="54">
        <f t="shared" si="4"/>
        <v>4.4999999999999998E-2</v>
      </c>
      <c r="AF8" s="54">
        <f t="shared" si="4"/>
        <v>4.4999999999999998E-2</v>
      </c>
      <c r="AG8" s="54">
        <f t="shared" si="4"/>
        <v>4.4999999999999998E-2</v>
      </c>
      <c r="AH8" s="54">
        <f t="shared" si="4"/>
        <v>4.4999999999999998E-2</v>
      </c>
      <c r="AI8" s="54">
        <f t="shared" si="4"/>
        <v>4.4999999999999998E-2</v>
      </c>
      <c r="AJ8" s="54">
        <f t="shared" si="4"/>
        <v>4.4999999999999998E-2</v>
      </c>
      <c r="AK8" s="54">
        <f t="shared" si="4"/>
        <v>4.4999999999999998E-2</v>
      </c>
      <c r="AL8" s="54">
        <f t="shared" si="4"/>
        <v>4.4999999999999998E-2</v>
      </c>
      <c r="AM8" s="54">
        <f t="shared" si="4"/>
        <v>4.4999999999999998E-2</v>
      </c>
      <c r="AN8" s="54">
        <f t="shared" si="4"/>
        <v>4.4999999999999998E-2</v>
      </c>
      <c r="AO8" s="54">
        <f t="shared" si="4"/>
        <v>4.4999999999999998E-2</v>
      </c>
      <c r="AP8" s="54">
        <f t="shared" si="4"/>
        <v>4.4999999999999998E-2</v>
      </c>
      <c r="AQ8" s="54">
        <f t="shared" si="4"/>
        <v>4.4999999999999998E-2</v>
      </c>
      <c r="AR8" s="54">
        <f t="shared" si="4"/>
        <v>4.4999999999999998E-2</v>
      </c>
      <c r="AS8" s="54">
        <f t="shared" si="4"/>
        <v>4.4999999999999998E-2</v>
      </c>
      <c r="AT8" s="54">
        <f t="shared" si="4"/>
        <v>4.4999999999999998E-2</v>
      </c>
      <c r="AU8" s="54">
        <f t="shared" si="4"/>
        <v>4.4999999999999998E-2</v>
      </c>
      <c r="AV8" s="54">
        <f t="shared" si="4"/>
        <v>4.4999999999999998E-2</v>
      </c>
      <c r="AW8" s="54">
        <f t="shared" si="4"/>
        <v>4.4999999999999998E-2</v>
      </c>
      <c r="AX8" s="54">
        <f t="shared" si="4"/>
        <v>4.4999999999999998E-2</v>
      </c>
      <c r="AY8" s="54">
        <f t="shared" si="4"/>
        <v>4.4999999999999998E-2</v>
      </c>
      <c r="AZ8" s="54">
        <f t="shared" si="4"/>
        <v>4.4999999999999998E-2</v>
      </c>
      <c r="BA8" s="54">
        <f t="shared" si="4"/>
        <v>4.4999999999999998E-2</v>
      </c>
      <c r="BB8" s="54">
        <f t="shared" si="4"/>
        <v>4.4999999999999998E-2</v>
      </c>
      <c r="BC8" s="54">
        <f t="shared" si="4"/>
        <v>4.4999999999999998E-2</v>
      </c>
      <c r="BD8" s="54">
        <f t="shared" si="4"/>
        <v>4.4999999999999998E-2</v>
      </c>
    </row>
    <row r="9" spans="1:56" ht="14.25" customHeight="1" x14ac:dyDescent="0.3">
      <c r="B9" t="s">
        <v>288</v>
      </c>
      <c r="E9" s="50"/>
      <c r="F9" s="28">
        <v>1.4190401693277295E-2</v>
      </c>
      <c r="G9" s="28">
        <v>3.0029852913154683E-2</v>
      </c>
      <c r="H9" s="28">
        <v>2.0435241016286198E-2</v>
      </c>
      <c r="I9" s="28">
        <v>2.5000000000000001E-2</v>
      </c>
      <c r="J9" s="28">
        <v>2.5000000000000001E-2</v>
      </c>
      <c r="K9" s="28">
        <v>2.5000000000000001E-2</v>
      </c>
      <c r="L9" s="28">
        <v>2.5000000000000001E-2</v>
      </c>
      <c r="M9" s="28">
        <v>2.5000000000000001E-2</v>
      </c>
      <c r="N9" s="52">
        <v>2.5000000000000001E-2</v>
      </c>
      <c r="O9" s="243">
        <v>2.5000000000000001E-2</v>
      </c>
      <c r="P9" s="54">
        <f t="shared" ref="P9:BD9" si="5">O9</f>
        <v>2.5000000000000001E-2</v>
      </c>
      <c r="Q9" s="54">
        <f t="shared" si="5"/>
        <v>2.5000000000000001E-2</v>
      </c>
      <c r="R9" s="54">
        <f t="shared" si="5"/>
        <v>2.5000000000000001E-2</v>
      </c>
      <c r="S9" s="54">
        <f t="shared" si="5"/>
        <v>2.5000000000000001E-2</v>
      </c>
      <c r="T9" s="54">
        <f t="shared" si="5"/>
        <v>2.5000000000000001E-2</v>
      </c>
      <c r="U9" s="54">
        <f t="shared" si="5"/>
        <v>2.5000000000000001E-2</v>
      </c>
      <c r="V9" s="54">
        <f t="shared" si="5"/>
        <v>2.5000000000000001E-2</v>
      </c>
      <c r="W9" s="54">
        <f t="shared" si="5"/>
        <v>2.5000000000000001E-2</v>
      </c>
      <c r="X9" s="54">
        <f t="shared" si="5"/>
        <v>2.5000000000000001E-2</v>
      </c>
      <c r="Y9" s="54">
        <f t="shared" si="5"/>
        <v>2.5000000000000001E-2</v>
      </c>
      <c r="Z9" s="54">
        <f t="shared" si="5"/>
        <v>2.5000000000000001E-2</v>
      </c>
      <c r="AA9" s="54">
        <f t="shared" si="5"/>
        <v>2.5000000000000001E-2</v>
      </c>
      <c r="AB9" s="54">
        <f t="shared" si="5"/>
        <v>2.5000000000000001E-2</v>
      </c>
      <c r="AC9" s="54">
        <f t="shared" si="5"/>
        <v>2.5000000000000001E-2</v>
      </c>
      <c r="AD9" s="54">
        <f t="shared" si="5"/>
        <v>2.5000000000000001E-2</v>
      </c>
      <c r="AE9" s="54">
        <f t="shared" si="5"/>
        <v>2.5000000000000001E-2</v>
      </c>
      <c r="AF9" s="54">
        <f t="shared" si="5"/>
        <v>2.5000000000000001E-2</v>
      </c>
      <c r="AG9" s="54">
        <f t="shared" si="5"/>
        <v>2.5000000000000001E-2</v>
      </c>
      <c r="AH9" s="54">
        <f t="shared" si="5"/>
        <v>2.5000000000000001E-2</v>
      </c>
      <c r="AI9" s="54">
        <f t="shared" si="5"/>
        <v>2.5000000000000001E-2</v>
      </c>
      <c r="AJ9" s="54">
        <f t="shared" si="5"/>
        <v>2.5000000000000001E-2</v>
      </c>
      <c r="AK9" s="54">
        <f t="shared" si="5"/>
        <v>2.5000000000000001E-2</v>
      </c>
      <c r="AL9" s="54">
        <f t="shared" si="5"/>
        <v>2.5000000000000001E-2</v>
      </c>
      <c r="AM9" s="54">
        <f t="shared" si="5"/>
        <v>2.5000000000000001E-2</v>
      </c>
      <c r="AN9" s="54">
        <f t="shared" si="5"/>
        <v>2.5000000000000001E-2</v>
      </c>
      <c r="AO9" s="54">
        <f t="shared" si="5"/>
        <v>2.5000000000000001E-2</v>
      </c>
      <c r="AP9" s="54">
        <f t="shared" si="5"/>
        <v>2.5000000000000001E-2</v>
      </c>
      <c r="AQ9" s="54">
        <f t="shared" si="5"/>
        <v>2.5000000000000001E-2</v>
      </c>
      <c r="AR9" s="54">
        <f t="shared" si="5"/>
        <v>2.5000000000000001E-2</v>
      </c>
      <c r="AS9" s="54">
        <f t="shared" si="5"/>
        <v>2.5000000000000001E-2</v>
      </c>
      <c r="AT9" s="54">
        <f t="shared" si="5"/>
        <v>2.5000000000000001E-2</v>
      </c>
      <c r="AU9" s="54">
        <f t="shared" si="5"/>
        <v>2.5000000000000001E-2</v>
      </c>
      <c r="AV9" s="54">
        <f t="shared" si="5"/>
        <v>2.5000000000000001E-2</v>
      </c>
      <c r="AW9" s="54">
        <f t="shared" si="5"/>
        <v>2.5000000000000001E-2</v>
      </c>
      <c r="AX9" s="54">
        <f t="shared" si="5"/>
        <v>2.5000000000000001E-2</v>
      </c>
      <c r="AY9" s="54">
        <f t="shared" si="5"/>
        <v>2.5000000000000001E-2</v>
      </c>
      <c r="AZ9" s="54">
        <f t="shared" si="5"/>
        <v>2.5000000000000001E-2</v>
      </c>
      <c r="BA9" s="54">
        <f t="shared" si="5"/>
        <v>2.5000000000000001E-2</v>
      </c>
      <c r="BB9" s="54">
        <f t="shared" si="5"/>
        <v>2.5000000000000001E-2</v>
      </c>
      <c r="BC9" s="54">
        <f t="shared" si="5"/>
        <v>2.5000000000000001E-2</v>
      </c>
      <c r="BD9" s="54">
        <f t="shared" si="5"/>
        <v>2.5000000000000001E-2</v>
      </c>
    </row>
    <row r="11" spans="1:56" s="3" customFormat="1" x14ac:dyDescent="0.3">
      <c r="B11" s="1" t="s">
        <v>124</v>
      </c>
      <c r="C11" s="1" t="s">
        <v>91</v>
      </c>
      <c r="D11" s="25">
        <f>BD!D10</f>
        <v>0</v>
      </c>
      <c r="E11" s="25">
        <f>BD!E10</f>
        <v>0</v>
      </c>
      <c r="F11" s="25">
        <f>BD!F10</f>
        <v>0</v>
      </c>
      <c r="G11" s="25">
        <f>BD!G10</f>
        <v>1772</v>
      </c>
      <c r="H11" s="25">
        <f>BD!H10</f>
        <v>2088.3000000000002</v>
      </c>
      <c r="I11" s="25">
        <f>BD!I10</f>
        <v>2518.8000000000002</v>
      </c>
      <c r="J11" s="25">
        <f>BD!J10</f>
        <v>2573.6999999999998</v>
      </c>
      <c r="K11" s="25">
        <f>BD!K10</f>
        <v>2707.3090000000002</v>
      </c>
      <c r="L11" s="25">
        <f>BD!L10</f>
        <v>2817.9110000000001</v>
      </c>
      <c r="M11" s="25">
        <f>BD!M10</f>
        <v>2687.2339999999999</v>
      </c>
      <c r="N11" s="25">
        <f>BD!N10</f>
        <v>2714.8799999999997</v>
      </c>
      <c r="O11" s="24">
        <f t="shared" ref="O11:BD11" si="6">O17/(1+O15)</f>
        <v>2890.9085842127679</v>
      </c>
      <c r="P11" s="24">
        <f t="shared" si="6"/>
        <v>3028.1024731095995</v>
      </c>
      <c r="Q11" s="24">
        <f t="shared" si="6"/>
        <v>3195.432959198833</v>
      </c>
      <c r="R11" s="24">
        <f t="shared" si="6"/>
        <v>3373.8900384010781</v>
      </c>
      <c r="S11" s="24">
        <f t="shared" si="6"/>
        <v>3561.9861859698135</v>
      </c>
      <c r="T11" s="24">
        <f t="shared" si="6"/>
        <v>3763.9222406615609</v>
      </c>
      <c r="U11" s="24">
        <f t="shared" si="6"/>
        <v>3979.0660808302509</v>
      </c>
      <c r="V11" s="24">
        <f t="shared" si="6"/>
        <v>4208.2034220846945</v>
      </c>
      <c r="W11" s="24">
        <f t="shared" si="6"/>
        <v>4453.0613166850926</v>
      </c>
      <c r="X11" s="24">
        <f t="shared" si="6"/>
        <v>4714.3276146195822</v>
      </c>
      <c r="Y11" s="24">
        <f t="shared" si="6"/>
        <v>4993.2350768635088</v>
      </c>
      <c r="Z11" s="24">
        <f t="shared" si="6"/>
        <v>5291.1959289776869</v>
      </c>
      <c r="AA11" s="24">
        <f t="shared" si="6"/>
        <v>5563.3976467151024</v>
      </c>
      <c r="AB11" s="24">
        <f t="shared" si="6"/>
        <v>5848.7373348808378</v>
      </c>
      <c r="AC11" s="24">
        <f t="shared" si="6"/>
        <v>6151.0319481427277</v>
      </c>
      <c r="AD11" s="24">
        <f t="shared" si="6"/>
        <v>6471.3679270990124</v>
      </c>
      <c r="AE11" s="24">
        <f t="shared" si="6"/>
        <v>6810.9431517502853</v>
      </c>
      <c r="AF11" s="24">
        <f t="shared" si="6"/>
        <v>7171.0314720886099</v>
      </c>
      <c r="AG11" s="24">
        <f t="shared" si="6"/>
        <v>7552.9883541957579</v>
      </c>
      <c r="AH11" s="24">
        <f t="shared" si="6"/>
        <v>7958.2727763480489</v>
      </c>
      <c r="AI11" s="24">
        <f t="shared" si="6"/>
        <v>8388.4435008005712</v>
      </c>
      <c r="AJ11" s="24">
        <f t="shared" si="6"/>
        <v>8845.1683326012771</v>
      </c>
      <c r="AK11" s="24">
        <f t="shared" si="6"/>
        <v>9330.2348319275916</v>
      </c>
      <c r="AL11" s="24">
        <f t="shared" si="6"/>
        <v>9845.556377369825</v>
      </c>
      <c r="AM11" s="24">
        <f t="shared" si="6"/>
        <v>10393.18222000616</v>
      </c>
      <c r="AN11" s="24">
        <f t="shared" si="6"/>
        <v>10975.307816385886</v>
      </c>
      <c r="AO11" s="24">
        <f t="shared" si="6"/>
        <v>11594.284948147391</v>
      </c>
      <c r="AP11" s="24">
        <f t="shared" si="6"/>
        <v>12252.63346085249</v>
      </c>
      <c r="AQ11" s="24">
        <f t="shared" si="6"/>
        <v>12953.053634819789</v>
      </c>
      <c r="AR11" s="24">
        <f t="shared" si="6"/>
        <v>13698.439328876018</v>
      </c>
      <c r="AS11" s="24">
        <f t="shared" si="6"/>
        <v>14491.892301850656</v>
      </c>
      <c r="AT11" s="24">
        <f t="shared" si="6"/>
        <v>15326.198930051592</v>
      </c>
      <c r="AU11" s="24">
        <f t="shared" si="6"/>
        <v>15971.456234504563</v>
      </c>
      <c r="AV11" s="24">
        <f t="shared" si="6"/>
        <v>16644.639575884608</v>
      </c>
      <c r="AW11" s="24">
        <f t="shared" si="6"/>
        <v>17346.977863743352</v>
      </c>
      <c r="AX11" s="24">
        <f t="shared" si="6"/>
        <v>18079.75461185462</v>
      </c>
      <c r="AY11" s="24">
        <f t="shared" si="6"/>
        <v>18844.310382191044</v>
      </c>
      <c r="AZ11" s="24">
        <f t="shared" si="6"/>
        <v>19642.045332680271</v>
      </c>
      <c r="BA11" s="24">
        <f t="shared" si="6"/>
        <v>20474.421880423954</v>
      </c>
      <c r="BB11" s="24">
        <f t="shared" si="6"/>
        <v>21342.967485519104</v>
      </c>
      <c r="BC11" s="24">
        <f t="shared" si="6"/>
        <v>22249.277558385565</v>
      </c>
      <c r="BD11" s="24">
        <f t="shared" si="6"/>
        <v>23195.018497907397</v>
      </c>
    </row>
    <row r="12" spans="1:56" s="29" customFormat="1" x14ac:dyDescent="0.3">
      <c r="B12" s="29" t="s">
        <v>97</v>
      </c>
      <c r="E12" s="30" t="e">
        <f t="shared" ref="E12:AJ12" si="7">E11/D11-1</f>
        <v>#DIV/0!</v>
      </c>
      <c r="F12" s="30" t="e">
        <f t="shared" si="7"/>
        <v>#DIV/0!</v>
      </c>
      <c r="G12" s="30" t="e">
        <f>G11/F11-1</f>
        <v>#DIV/0!</v>
      </c>
      <c r="H12" s="30">
        <f t="shared" si="7"/>
        <v>0.17849887133182851</v>
      </c>
      <c r="I12" s="30">
        <f t="shared" si="7"/>
        <v>0.20614854187616727</v>
      </c>
      <c r="J12" s="30">
        <f t="shared" si="7"/>
        <v>2.1796093377798753E-2</v>
      </c>
      <c r="K12" s="30">
        <f t="shared" si="7"/>
        <v>5.1913198896530455E-2</v>
      </c>
      <c r="L12" s="30">
        <f t="shared" si="7"/>
        <v>4.0853112814237313E-2</v>
      </c>
      <c r="M12" s="30">
        <f>M11/L11-1</f>
        <v>-4.6373714428880164E-2</v>
      </c>
      <c r="N12" s="30">
        <f>N11/M11-1</f>
        <v>1.0287901983973002E-2</v>
      </c>
      <c r="O12" s="30">
        <f>O11/N11-1</f>
        <v>6.4838440083085924E-2</v>
      </c>
      <c r="P12" s="30">
        <f t="shared" si="7"/>
        <v>4.7457013911144319E-2</v>
      </c>
      <c r="Q12" s="30">
        <f t="shared" si="7"/>
        <v>5.5259188741191956E-2</v>
      </c>
      <c r="R12" s="30">
        <f t="shared" si="7"/>
        <v>5.5847542877879075E-2</v>
      </c>
      <c r="S12" s="30">
        <f t="shared" si="7"/>
        <v>5.5750526966751979E-2</v>
      </c>
      <c r="T12" s="30">
        <f t="shared" si="7"/>
        <v>5.6691981425179616E-2</v>
      </c>
      <c r="U12" s="30">
        <f t="shared" si="7"/>
        <v>5.7159480566441045E-2</v>
      </c>
      <c r="V12" s="30">
        <f t="shared" si="7"/>
        <v>5.7585708957774484E-2</v>
      </c>
      <c r="W12" s="30">
        <f t="shared" si="7"/>
        <v>5.8185850359652624E-2</v>
      </c>
      <c r="X12" s="30">
        <f t="shared" si="7"/>
        <v>5.8671165599170072E-2</v>
      </c>
      <c r="Y12" s="30">
        <f t="shared" si="7"/>
        <v>5.9161663134952303E-2</v>
      </c>
      <c r="Z12" s="30">
        <f t="shared" si="7"/>
        <v>5.9672906948603277E-2</v>
      </c>
      <c r="AA12" s="30">
        <f t="shared" si="7"/>
        <v>5.1444271085612225E-2</v>
      </c>
      <c r="AB12" s="30">
        <f t="shared" si="7"/>
        <v>5.1288745886106879E-2</v>
      </c>
      <c r="AC12" s="30">
        <f t="shared" si="7"/>
        <v>5.1685448662407651E-2</v>
      </c>
      <c r="AD12" s="30">
        <f t="shared" si="7"/>
        <v>5.2078412477276848E-2</v>
      </c>
      <c r="AE12" s="30">
        <f t="shared" si="7"/>
        <v>5.2473484505384693E-2</v>
      </c>
      <c r="AF12" s="30">
        <f t="shared" si="7"/>
        <v>5.286908322612982E-2</v>
      </c>
      <c r="AG12" s="30">
        <f t="shared" si="7"/>
        <v>5.3263869164961397E-2</v>
      </c>
      <c r="AH12" s="30">
        <f t="shared" si="7"/>
        <v>5.3658817298076755E-2</v>
      </c>
      <c r="AI12" s="30">
        <f t="shared" si="7"/>
        <v>5.4053277204946681E-2</v>
      </c>
      <c r="AJ12" s="30">
        <f t="shared" si="7"/>
        <v>5.444691041396621E-2</v>
      </c>
      <c r="AK12" s="30">
        <f t="shared" ref="AK12:BD12" si="8">AK11/AJ11-1</f>
        <v>5.4839713738230378E-2</v>
      </c>
      <c r="AL12" s="30">
        <f t="shared" si="8"/>
        <v>5.5231358559039601E-2</v>
      </c>
      <c r="AM12" s="30">
        <f t="shared" si="8"/>
        <v>5.5621624786493795E-2</v>
      </c>
      <c r="AN12" s="30">
        <f t="shared" si="8"/>
        <v>5.6010332933370099E-2</v>
      </c>
      <c r="AO12" s="30">
        <f t="shared" si="8"/>
        <v>5.6397245718920574E-2</v>
      </c>
      <c r="AP12" s="30">
        <f t="shared" si="8"/>
        <v>5.6782157386108922E-2</v>
      </c>
      <c r="AQ12" s="30">
        <f t="shared" si="8"/>
        <v>5.7164867961255972E-2</v>
      </c>
      <c r="AR12" s="30">
        <f t="shared" si="8"/>
        <v>5.7545171592011224E-2</v>
      </c>
      <c r="AS12" s="30">
        <f t="shared" si="8"/>
        <v>5.7922873834397759E-2</v>
      </c>
      <c r="AT12" s="30">
        <f t="shared" si="8"/>
        <v>5.757057883285488E-2</v>
      </c>
      <c r="AU12" s="30">
        <f t="shared" si="8"/>
        <v>4.2101587444995925E-2</v>
      </c>
      <c r="AV12" s="30">
        <f t="shared" si="8"/>
        <v>4.2149152306206528E-2</v>
      </c>
      <c r="AW12" s="30">
        <f t="shared" si="8"/>
        <v>4.2196064664345112E-2</v>
      </c>
      <c r="AX12" s="30">
        <f t="shared" si="8"/>
        <v>4.2242329117329058E-2</v>
      </c>
      <c r="AY12" s="30">
        <f t="shared" si="8"/>
        <v>4.2287950624900539E-2</v>
      </c>
      <c r="AZ12" s="30">
        <f t="shared" si="8"/>
        <v>4.2332934148820334E-2</v>
      </c>
      <c r="BA12" s="30">
        <f t="shared" si="8"/>
        <v>4.2377284730057196E-2</v>
      </c>
      <c r="BB12" s="30">
        <f t="shared" si="8"/>
        <v>4.2421007546278311E-2</v>
      </c>
      <c r="BC12" s="30">
        <f t="shared" si="8"/>
        <v>4.2464107836990284E-2</v>
      </c>
      <c r="BD12" s="30">
        <f t="shared" si="8"/>
        <v>4.2506590923685472E-2</v>
      </c>
    </row>
    <row r="14" spans="1:56" s="31" customFormat="1" x14ac:dyDescent="0.3">
      <c r="B14" s="32" t="s">
        <v>125</v>
      </c>
      <c r="C14" s="32" t="s">
        <v>92</v>
      </c>
      <c r="D14" s="25">
        <f>BD!D11</f>
        <v>0</v>
      </c>
      <c r="E14" s="25">
        <f>BD!E11</f>
        <v>0</v>
      </c>
      <c r="F14" s="25">
        <f>BD!F11</f>
        <v>0</v>
      </c>
      <c r="G14" s="25">
        <f>BD!G11</f>
        <v>-364.2</v>
      </c>
      <c r="H14" s="25">
        <f>BD!H11</f>
        <v>-405.4</v>
      </c>
      <c r="I14" s="25">
        <f>BD!I11</f>
        <v>-475.8</v>
      </c>
      <c r="J14" s="25">
        <f>BD!J11</f>
        <v>-481.7</v>
      </c>
      <c r="K14" s="25">
        <f>BD!K11</f>
        <v>-440.2140000000004</v>
      </c>
      <c r="L14" s="25">
        <f>BD!L11</f>
        <v>-506.63999999999987</v>
      </c>
      <c r="M14" s="25">
        <f>BD!M11</f>
        <v>-488.53899999999976</v>
      </c>
      <c r="N14" s="25">
        <f>BD!N11</f>
        <v>-459.56099999999958</v>
      </c>
      <c r="O14" s="75">
        <f t="shared" ref="O14:BD14" si="9">-(O11-O17)</f>
        <v>-489.35821836302284</v>
      </c>
      <c r="P14" s="75">
        <f t="shared" si="9"/>
        <v>-512.58169813940958</v>
      </c>
      <c r="Q14" s="75">
        <f t="shared" si="9"/>
        <v>-540.90654694217574</v>
      </c>
      <c r="R14" s="75">
        <f t="shared" si="9"/>
        <v>-571.11484851545447</v>
      </c>
      <c r="S14" s="75">
        <f t="shared" si="9"/>
        <v>-602.95480227872804</v>
      </c>
      <c r="T14" s="75">
        <f t="shared" si="9"/>
        <v>-637.13750472973652</v>
      </c>
      <c r="U14" s="75">
        <f t="shared" si="9"/>
        <v>-673.55595354948673</v>
      </c>
      <c r="V14" s="75">
        <f t="shared" si="9"/>
        <v>-712.34315065736382</v>
      </c>
      <c r="W14" s="75">
        <f t="shared" si="9"/>
        <v>-753.79144262623686</v>
      </c>
      <c r="X14" s="75">
        <f t="shared" si="9"/>
        <v>-798.01726518379746</v>
      </c>
      <c r="Y14" s="75">
        <f t="shared" si="9"/>
        <v>-845.22929380247751</v>
      </c>
      <c r="Z14" s="75">
        <f t="shared" si="9"/>
        <v>-895.66658280178672</v>
      </c>
      <c r="AA14" s="75">
        <f t="shared" si="9"/>
        <v>-941.7434972897654</v>
      </c>
      <c r="AB14" s="75">
        <f t="shared" si="9"/>
        <v>-990.04434021215366</v>
      </c>
      <c r="AC14" s="75">
        <f t="shared" si="9"/>
        <v>-1041.215226131696</v>
      </c>
      <c r="AD14" s="75">
        <f t="shared" si="9"/>
        <v>-1095.4400621558034</v>
      </c>
      <c r="AE14" s="75">
        <f t="shared" si="9"/>
        <v>-1152.921619283914</v>
      </c>
      <c r="AF14" s="75">
        <f t="shared" si="9"/>
        <v>-1213.8755283270393</v>
      </c>
      <c r="AG14" s="75">
        <f t="shared" si="9"/>
        <v>-1278.5312356503991</v>
      </c>
      <c r="AH14" s="75">
        <f t="shared" si="9"/>
        <v>-1347.135709634048</v>
      </c>
      <c r="AI14" s="75">
        <f t="shared" si="9"/>
        <v>-1419.9528095795804</v>
      </c>
      <c r="AJ14" s="75">
        <f t="shared" si="9"/>
        <v>-1497.2648529948192</v>
      </c>
      <c r="AK14" s="75">
        <f t="shared" si="9"/>
        <v>-1579.3744289233682</v>
      </c>
      <c r="AL14" s="75">
        <f t="shared" si="9"/>
        <v>-1666.6054243062126</v>
      </c>
      <c r="AM14" s="75">
        <f t="shared" si="9"/>
        <v>-1759.3047258841088</v>
      </c>
      <c r="AN14" s="75">
        <f t="shared" si="9"/>
        <v>-1857.843969312129</v>
      </c>
      <c r="AO14" s="75">
        <f t="shared" si="9"/>
        <v>-1962.6212521568395</v>
      </c>
      <c r="AP14" s="75">
        <f t="shared" si="9"/>
        <v>-2074.0631209861313</v>
      </c>
      <c r="AQ14" s="75">
        <f t="shared" si="9"/>
        <v>-2192.6266654406136</v>
      </c>
      <c r="AR14" s="75">
        <f t="shared" si="9"/>
        <v>-2318.8017431406133</v>
      </c>
      <c r="AS14" s="75">
        <f t="shared" si="9"/>
        <v>-2453.1134039555291</v>
      </c>
      <c r="AT14" s="75">
        <f t="shared" si="9"/>
        <v>-2594.3405625638843</v>
      </c>
      <c r="AU14" s="75">
        <f t="shared" si="9"/>
        <v>-2703.5664186207669</v>
      </c>
      <c r="AV14" s="75">
        <f t="shared" si="9"/>
        <v>-2817.5194513691604</v>
      </c>
      <c r="AW14" s="75">
        <f t="shared" si="9"/>
        <v>-2936.4076843321818</v>
      </c>
      <c r="AX14" s="75">
        <f t="shared" si="9"/>
        <v>-3060.4483841563961</v>
      </c>
      <c r="AY14" s="75">
        <f t="shared" si="9"/>
        <v>-3189.8684743156573</v>
      </c>
      <c r="AZ14" s="75">
        <f t="shared" si="9"/>
        <v>-3324.9049663822607</v>
      </c>
      <c r="BA14" s="75">
        <f t="shared" si="9"/>
        <v>-3465.8054108430224</v>
      </c>
      <c r="BB14" s="75">
        <f t="shared" si="9"/>
        <v>-3612.8283683303271</v>
      </c>
      <c r="BC14" s="75">
        <f t="shared" si="9"/>
        <v>-3766.2439017596444</v>
      </c>
      <c r="BD14" s="75">
        <f t="shared" si="9"/>
        <v>-3926.3340906105659</v>
      </c>
    </row>
    <row r="15" spans="1:56" s="29" customFormat="1" x14ac:dyDescent="0.3">
      <c r="B15" s="29" t="s">
        <v>98</v>
      </c>
      <c r="C15" s="29" t="s">
        <v>100</v>
      </c>
      <c r="D15" s="30" t="e">
        <f t="shared" ref="D15:M15" si="10">D14/D11</f>
        <v>#DIV/0!</v>
      </c>
      <c r="E15" s="30" t="e">
        <f t="shared" si="10"/>
        <v>#DIV/0!</v>
      </c>
      <c r="F15" s="30" t="e">
        <f t="shared" si="10"/>
        <v>#DIV/0!</v>
      </c>
      <c r="G15" s="30">
        <f t="shared" si="10"/>
        <v>-0.20553047404063204</v>
      </c>
      <c r="H15" s="30">
        <f t="shared" si="10"/>
        <v>-0.19412919599674375</v>
      </c>
      <c r="I15" s="30">
        <f t="shared" si="10"/>
        <v>-0.18889947594092424</v>
      </c>
      <c r="J15" s="30">
        <f t="shared" si="10"/>
        <v>-0.18716245094610873</v>
      </c>
      <c r="K15" s="30">
        <f t="shared" si="10"/>
        <v>-0.16260205244395831</v>
      </c>
      <c r="L15" s="30">
        <f t="shared" si="10"/>
        <v>-0.17979276137535921</v>
      </c>
      <c r="M15" s="30">
        <f t="shared" si="10"/>
        <v>-0.18179994745526432</v>
      </c>
      <c r="N15" s="30">
        <f t="shared" ref="N15" si="11">N14/N11</f>
        <v>-0.16927488507779337</v>
      </c>
      <c r="O15" s="108">
        <f>N15</f>
        <v>-0.16927488507779337</v>
      </c>
      <c r="P15" s="108">
        <f t="shared" ref="P15:BD15" si="12">O15</f>
        <v>-0.16927488507779337</v>
      </c>
      <c r="Q15" s="108">
        <f t="shared" si="12"/>
        <v>-0.16927488507779337</v>
      </c>
      <c r="R15" s="108">
        <f t="shared" si="12"/>
        <v>-0.16927488507779337</v>
      </c>
      <c r="S15" s="108">
        <f t="shared" si="12"/>
        <v>-0.16927488507779337</v>
      </c>
      <c r="T15" s="108">
        <f t="shared" si="12"/>
        <v>-0.16927488507779337</v>
      </c>
      <c r="U15" s="108">
        <f t="shared" si="12"/>
        <v>-0.16927488507779337</v>
      </c>
      <c r="V15" s="108">
        <f t="shared" si="12"/>
        <v>-0.16927488507779337</v>
      </c>
      <c r="W15" s="108">
        <f t="shared" si="12"/>
        <v>-0.16927488507779337</v>
      </c>
      <c r="X15" s="108">
        <f t="shared" si="12"/>
        <v>-0.16927488507779337</v>
      </c>
      <c r="Y15" s="108">
        <f t="shared" si="12"/>
        <v>-0.16927488507779337</v>
      </c>
      <c r="Z15" s="108">
        <f t="shared" si="12"/>
        <v>-0.16927488507779337</v>
      </c>
      <c r="AA15" s="108">
        <f t="shared" si="12"/>
        <v>-0.16927488507779337</v>
      </c>
      <c r="AB15" s="108">
        <f t="shared" si="12"/>
        <v>-0.16927488507779337</v>
      </c>
      <c r="AC15" s="108">
        <f t="shared" si="12"/>
        <v>-0.16927488507779337</v>
      </c>
      <c r="AD15" s="108">
        <f t="shared" si="12"/>
        <v>-0.16927488507779337</v>
      </c>
      <c r="AE15" s="108">
        <f t="shared" si="12"/>
        <v>-0.16927488507779337</v>
      </c>
      <c r="AF15" s="108">
        <f t="shared" si="12"/>
        <v>-0.16927488507779337</v>
      </c>
      <c r="AG15" s="108">
        <f t="shared" si="12"/>
        <v>-0.16927488507779337</v>
      </c>
      <c r="AH15" s="108">
        <f t="shared" si="12"/>
        <v>-0.16927488507779337</v>
      </c>
      <c r="AI15" s="108">
        <f t="shared" si="12"/>
        <v>-0.16927488507779337</v>
      </c>
      <c r="AJ15" s="108">
        <f t="shared" si="12"/>
        <v>-0.16927488507779337</v>
      </c>
      <c r="AK15" s="108">
        <f t="shared" si="12"/>
        <v>-0.16927488507779337</v>
      </c>
      <c r="AL15" s="108">
        <f t="shared" si="12"/>
        <v>-0.16927488507779337</v>
      </c>
      <c r="AM15" s="108">
        <f t="shared" si="12"/>
        <v>-0.16927488507779337</v>
      </c>
      <c r="AN15" s="108">
        <f t="shared" si="12"/>
        <v>-0.16927488507779337</v>
      </c>
      <c r="AO15" s="108">
        <f t="shared" si="12"/>
        <v>-0.16927488507779337</v>
      </c>
      <c r="AP15" s="108">
        <f t="shared" si="12"/>
        <v>-0.16927488507779337</v>
      </c>
      <c r="AQ15" s="108">
        <f t="shared" si="12"/>
        <v>-0.16927488507779337</v>
      </c>
      <c r="AR15" s="108">
        <f t="shared" si="12"/>
        <v>-0.16927488507779337</v>
      </c>
      <c r="AS15" s="108">
        <f t="shared" si="12"/>
        <v>-0.16927488507779337</v>
      </c>
      <c r="AT15" s="108">
        <f t="shared" si="12"/>
        <v>-0.16927488507779337</v>
      </c>
      <c r="AU15" s="108">
        <f t="shared" si="12"/>
        <v>-0.16927488507779337</v>
      </c>
      <c r="AV15" s="108">
        <f t="shared" si="12"/>
        <v>-0.16927488507779337</v>
      </c>
      <c r="AW15" s="108">
        <f t="shared" si="12"/>
        <v>-0.16927488507779337</v>
      </c>
      <c r="AX15" s="108">
        <f t="shared" si="12"/>
        <v>-0.16927488507779337</v>
      </c>
      <c r="AY15" s="108">
        <f t="shared" si="12"/>
        <v>-0.16927488507779337</v>
      </c>
      <c r="AZ15" s="108">
        <f t="shared" si="12"/>
        <v>-0.16927488507779337</v>
      </c>
      <c r="BA15" s="108">
        <f t="shared" si="12"/>
        <v>-0.16927488507779337</v>
      </c>
      <c r="BB15" s="108">
        <f t="shared" si="12"/>
        <v>-0.16927488507779337</v>
      </c>
      <c r="BC15" s="108">
        <f t="shared" si="12"/>
        <v>-0.16927488507779337</v>
      </c>
      <c r="BD15" s="108">
        <f t="shared" si="12"/>
        <v>-0.16927488507779337</v>
      </c>
    </row>
    <row r="16" spans="1:56" x14ac:dyDescent="0.3">
      <c r="B16" s="29"/>
    </row>
    <row r="17" spans="2:56" s="31" customFormat="1" x14ac:dyDescent="0.3">
      <c r="B17" s="32" t="s">
        <v>126</v>
      </c>
      <c r="C17" s="32" t="s">
        <v>93</v>
      </c>
      <c r="D17" s="25">
        <f>BD!D12</f>
        <v>0</v>
      </c>
      <c r="E17" s="25">
        <f>BD!E12</f>
        <v>0</v>
      </c>
      <c r="F17" s="25">
        <f>BD!F12</f>
        <v>0</v>
      </c>
      <c r="G17" s="25">
        <f>BD!G12</f>
        <v>1407.8</v>
      </c>
      <c r="H17" s="25">
        <f>BD!H12</f>
        <v>1682.9</v>
      </c>
      <c r="I17" s="25">
        <f>BD!I12</f>
        <v>2043.0000000000002</v>
      </c>
      <c r="J17" s="25">
        <f>BD!J12</f>
        <v>2092</v>
      </c>
      <c r="K17" s="25">
        <f>BD!K12</f>
        <v>2267.0949999999998</v>
      </c>
      <c r="L17" s="25">
        <f>BD!L12</f>
        <v>2311.2710000000002</v>
      </c>
      <c r="M17" s="25">
        <f>BD!M12</f>
        <v>2198.6950000000002</v>
      </c>
      <c r="N17" s="25">
        <f>BD!N12</f>
        <v>2255.3190000000004</v>
      </c>
      <c r="O17" s="69">
        <f t="shared" ref="O17:BD17" si="13">O20+O35+O38</f>
        <v>2401.550365849745</v>
      </c>
      <c r="P17" s="69">
        <f t="shared" si="13"/>
        <v>2515.5207749701899</v>
      </c>
      <c r="Q17" s="69">
        <f t="shared" si="13"/>
        <v>2654.5264122566573</v>
      </c>
      <c r="R17" s="69">
        <f t="shared" si="13"/>
        <v>2802.7751898856236</v>
      </c>
      <c r="S17" s="69">
        <f t="shared" si="13"/>
        <v>2959.0313836910855</v>
      </c>
      <c r="T17" s="69">
        <f t="shared" si="13"/>
        <v>3126.7847359318243</v>
      </c>
      <c r="U17" s="69">
        <f t="shared" si="13"/>
        <v>3305.5101272807642</v>
      </c>
      <c r="V17" s="69">
        <f t="shared" si="13"/>
        <v>3495.8602714273306</v>
      </c>
      <c r="W17" s="69">
        <f t="shared" si="13"/>
        <v>3699.2698740588557</v>
      </c>
      <c r="X17" s="69">
        <f t="shared" si="13"/>
        <v>3916.3103494357847</v>
      </c>
      <c r="Y17" s="69">
        <f t="shared" si="13"/>
        <v>4148.0057830610313</v>
      </c>
      <c r="Z17" s="69">
        <f t="shared" si="13"/>
        <v>4395.5293461759002</v>
      </c>
      <c r="AA17" s="69">
        <f t="shared" si="13"/>
        <v>4621.654149425337</v>
      </c>
      <c r="AB17" s="69">
        <f t="shared" si="13"/>
        <v>4858.6929946686842</v>
      </c>
      <c r="AC17" s="69">
        <f t="shared" si="13"/>
        <v>5109.8167220110317</v>
      </c>
      <c r="AD17" s="69">
        <f t="shared" si="13"/>
        <v>5375.927864943209</v>
      </c>
      <c r="AE17" s="69">
        <f t="shared" si="13"/>
        <v>5658.0215324663714</v>
      </c>
      <c r="AF17" s="69">
        <f t="shared" si="13"/>
        <v>5957.1559437615706</v>
      </c>
      <c r="AG17" s="69">
        <f t="shared" si="13"/>
        <v>6274.4571185453588</v>
      </c>
      <c r="AH17" s="69">
        <f t="shared" si="13"/>
        <v>6611.1370667140009</v>
      </c>
      <c r="AI17" s="69">
        <f t="shared" si="13"/>
        <v>6968.4906912209908</v>
      </c>
      <c r="AJ17" s="69">
        <f t="shared" si="13"/>
        <v>7347.9034796064579</v>
      </c>
      <c r="AK17" s="69">
        <f t="shared" si="13"/>
        <v>7750.8604030042234</v>
      </c>
      <c r="AL17" s="69">
        <f t="shared" si="13"/>
        <v>8178.9509530636124</v>
      </c>
      <c r="AM17" s="69">
        <f t="shared" si="13"/>
        <v>8633.8774941220508</v>
      </c>
      <c r="AN17" s="69">
        <f t="shared" si="13"/>
        <v>9117.4638470737573</v>
      </c>
      <c r="AO17" s="69">
        <f t="shared" si="13"/>
        <v>9631.6636959905518</v>
      </c>
      <c r="AP17" s="69">
        <f t="shared" si="13"/>
        <v>10178.570339866359</v>
      </c>
      <c r="AQ17" s="69">
        <f t="shared" si="13"/>
        <v>10760.426969379176</v>
      </c>
      <c r="AR17" s="69">
        <f t="shared" si="13"/>
        <v>11379.637585735405</v>
      </c>
      <c r="AS17" s="69">
        <f t="shared" si="13"/>
        <v>12038.778897895127</v>
      </c>
      <c r="AT17" s="69">
        <f t="shared" si="13"/>
        <v>12731.858367487708</v>
      </c>
      <c r="AU17" s="69">
        <f t="shared" si="13"/>
        <v>13267.889815883796</v>
      </c>
      <c r="AV17" s="69">
        <f t="shared" si="13"/>
        <v>13827.120124515448</v>
      </c>
      <c r="AW17" s="69">
        <f t="shared" si="13"/>
        <v>14410.57017941117</v>
      </c>
      <c r="AX17" s="69">
        <f t="shared" si="13"/>
        <v>15019.306227698224</v>
      </c>
      <c r="AY17" s="69">
        <f t="shared" si="13"/>
        <v>15654.441907875387</v>
      </c>
      <c r="AZ17" s="69">
        <f t="shared" si="13"/>
        <v>16317.14036629801</v>
      </c>
      <c r="BA17" s="69">
        <f t="shared" si="13"/>
        <v>17008.616469580931</v>
      </c>
      <c r="BB17" s="69">
        <f t="shared" si="13"/>
        <v>17730.139117188777</v>
      </c>
      <c r="BC17" s="69">
        <f t="shared" si="13"/>
        <v>18483.033656625921</v>
      </c>
      <c r="BD17" s="69">
        <f t="shared" si="13"/>
        <v>19268.684407296831</v>
      </c>
    </row>
    <row r="18" spans="2:56" x14ac:dyDescent="0.3">
      <c r="B18" s="29" t="s">
        <v>99</v>
      </c>
      <c r="D18" s="28"/>
      <c r="E18" s="85"/>
      <c r="F18" s="85">
        <f t="shared" ref="F18:L18" si="14">F17-F20-F35-F38</f>
        <v>0</v>
      </c>
      <c r="G18" s="85">
        <f t="shared" si="14"/>
        <v>0</v>
      </c>
      <c r="H18" s="85">
        <f t="shared" si="14"/>
        <v>1.1368683772161603E-13</v>
      </c>
      <c r="I18" s="85">
        <f t="shared" si="14"/>
        <v>1.1368683772161603E-13</v>
      </c>
      <c r="J18" s="85">
        <f t="shared" si="14"/>
        <v>-69.299999999999955</v>
      </c>
      <c r="K18" s="85">
        <f t="shared" si="14"/>
        <v>-5.000000000336513E-3</v>
      </c>
      <c r="L18" s="85">
        <f t="shared" si="14"/>
        <v>-2.8999999999726356E-2</v>
      </c>
      <c r="M18" s="85">
        <f>M17-M20-M35-M38</f>
        <v>-4.9999999998107114E-3</v>
      </c>
      <c r="N18" s="85">
        <f>N17-N20-N35-N38</f>
        <v>-8.0999999999392003E-2</v>
      </c>
      <c r="O18" s="85">
        <f t="shared" ref="O18:BD18" si="15">O17-O20-O35</f>
        <v>-75.473269150255192</v>
      </c>
      <c r="P18" s="85">
        <f t="shared" si="15"/>
        <v>-82.826922526309886</v>
      </c>
      <c r="Q18" s="85">
        <f t="shared" si="15"/>
        <v>-86.678306365325057</v>
      </c>
      <c r="R18" s="85">
        <f t="shared" si="15"/>
        <v>-90.627764749682797</v>
      </c>
      <c r="S18" s="85">
        <f t="shared" si="15"/>
        <v>-96.577076973591943</v>
      </c>
      <c r="T18" s="85">
        <f t="shared" si="15"/>
        <v>-101.75187061003203</v>
      </c>
      <c r="U18" s="85">
        <f t="shared" si="15"/>
        <v>-107.44566003658315</v>
      </c>
      <c r="V18" s="85">
        <f t="shared" si="15"/>
        <v>-113.83114355065345</v>
      </c>
      <c r="W18" s="85">
        <f t="shared" si="15"/>
        <v>-120.36033869267385</v>
      </c>
      <c r="X18" s="85">
        <f t="shared" si="15"/>
        <v>-127.4144855762288</v>
      </c>
      <c r="Y18" s="85">
        <f t="shared" si="15"/>
        <v>-134.99305449184794</v>
      </c>
      <c r="Z18" s="85">
        <f t="shared" si="15"/>
        <v>-143.02267870613196</v>
      </c>
      <c r="AA18" s="85">
        <f t="shared" si="15"/>
        <v>-150.38341608708788</v>
      </c>
      <c r="AB18" s="85">
        <f t="shared" si="15"/>
        <v>-158.10376989010661</v>
      </c>
      <c r="AC18" s="85">
        <f t="shared" si="15"/>
        <v>-166.26914164652112</v>
      </c>
      <c r="AD18" s="85">
        <f t="shared" si="15"/>
        <v>-174.92986730158123</v>
      </c>
      <c r="AE18" s="85">
        <f t="shared" si="15"/>
        <v>-184.11018182924749</v>
      </c>
      <c r="AF18" s="85">
        <f t="shared" si="15"/>
        <v>-193.84249655019062</v>
      </c>
      <c r="AG18" s="85">
        <f t="shared" si="15"/>
        <v>-204.16787678664332</v>
      </c>
      <c r="AH18" s="85">
        <f t="shared" si="15"/>
        <v>-215.12340293406351</v>
      </c>
      <c r="AI18" s="85">
        <f t="shared" si="15"/>
        <v>-226.75122970247935</v>
      </c>
      <c r="AJ18" s="85">
        <f t="shared" si="15"/>
        <v>-239.09729897437001</v>
      </c>
      <c r="AK18" s="85">
        <f t="shared" si="15"/>
        <v>-252.20932065109696</v>
      </c>
      <c r="AL18" s="85">
        <f t="shared" si="15"/>
        <v>-266.13912675796678</v>
      </c>
      <c r="AM18" s="85">
        <f t="shared" si="15"/>
        <v>-280.94225987879668</v>
      </c>
      <c r="AN18" s="85">
        <f t="shared" si="15"/>
        <v>-296.67792078643242</v>
      </c>
      <c r="AO18" s="85">
        <f t="shared" si="15"/>
        <v>-313.40972865017284</v>
      </c>
      <c r="AP18" s="85">
        <f t="shared" si="15"/>
        <v>-331.20581924819453</v>
      </c>
      <c r="AQ18" s="85">
        <f t="shared" si="15"/>
        <v>-350.13915270884331</v>
      </c>
      <c r="AR18" s="85">
        <f t="shared" si="15"/>
        <v>-370.28796902642648</v>
      </c>
      <c r="AS18" s="85">
        <f t="shared" si="15"/>
        <v>-391.73611455202217</v>
      </c>
      <c r="AT18" s="85">
        <f t="shared" si="15"/>
        <v>-414.28858834315815</v>
      </c>
      <c r="AU18" s="85">
        <f t="shared" si="15"/>
        <v>-431.7307955053675</v>
      </c>
      <c r="AV18" s="85">
        <f t="shared" si="15"/>
        <v>-449.92788299578433</v>
      </c>
      <c r="AW18" s="85">
        <f t="shared" si="15"/>
        <v>-468.91306876286035</v>
      </c>
      <c r="AX18" s="85">
        <f t="shared" si="15"/>
        <v>-488.72104897655299</v>
      </c>
      <c r="AY18" s="85">
        <f t="shared" si="15"/>
        <v>-509.38806064099208</v>
      </c>
      <c r="AZ18" s="85">
        <f t="shared" si="15"/>
        <v>-530.95195180262135</v>
      </c>
      <c r="BA18" s="85">
        <f t="shared" si="15"/>
        <v>-553.45225386027369</v>
      </c>
      <c r="BB18" s="85">
        <f t="shared" si="15"/>
        <v>-576.93025610897212</v>
      </c>
      <c r="BC18" s="85">
        <f t="shared" si="15"/>
        <v>-601.42908470446582</v>
      </c>
      <c r="BD18" s="85">
        <f t="shared" si="15"/>
        <v>-626.99378478351719</v>
      </c>
    </row>
    <row r="19" spans="2:56" x14ac:dyDescent="0.3">
      <c r="B19" s="29"/>
      <c r="F19" s="85"/>
      <c r="G19" s="85"/>
      <c r="H19" s="85"/>
      <c r="I19" s="85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</row>
    <row r="20" spans="2:56" s="31" customFormat="1" x14ac:dyDescent="0.3">
      <c r="B20" s="35" t="s">
        <v>486</v>
      </c>
      <c r="C20" s="522" t="s">
        <v>14</v>
      </c>
      <c r="D20" s="56">
        <f>BD!D237</f>
        <v>0</v>
      </c>
      <c r="E20" s="56">
        <f>BD!E237</f>
        <v>0</v>
      </c>
      <c r="F20" s="56">
        <f>BD!F237</f>
        <v>0</v>
      </c>
      <c r="G20" s="56">
        <f>BD!G237</f>
        <v>941.9</v>
      </c>
      <c r="H20" s="56">
        <f>BD!H237</f>
        <v>1019.6</v>
      </c>
      <c r="I20" s="56">
        <f>BD!I237</f>
        <v>1329.9</v>
      </c>
      <c r="J20" s="56">
        <f>BD!J237</f>
        <v>1463.1</v>
      </c>
      <c r="K20" s="56">
        <f>BD!K237</f>
        <v>1418.3000000000002</v>
      </c>
      <c r="L20" s="56">
        <f>BD!L237</f>
        <v>1408.3999999999999</v>
      </c>
      <c r="M20" s="56">
        <f>BD!M237</f>
        <v>1488.3</v>
      </c>
      <c r="N20" s="56">
        <f>BD!N237</f>
        <v>1466.6999999999998</v>
      </c>
      <c r="O20" s="57">
        <f t="shared" ref="O20:BD20" si="16">O22+O28</f>
        <v>1590.9111350000003</v>
      </c>
      <c r="P20" s="57">
        <f t="shared" si="16"/>
        <v>1690.0823849965</v>
      </c>
      <c r="Q20" s="57">
        <f t="shared" si="16"/>
        <v>1810.2327733094826</v>
      </c>
      <c r="R20" s="57">
        <f t="shared" si="16"/>
        <v>1939.1567106899943</v>
      </c>
      <c r="S20" s="57">
        <f t="shared" si="16"/>
        <v>2077.5060606207326</v>
      </c>
      <c r="T20" s="57">
        <f t="shared" si="16"/>
        <v>2225.981646496813</v>
      </c>
      <c r="U20" s="57">
        <f t="shared" si="16"/>
        <v>2385.3369532711781</v>
      </c>
      <c r="V20" s="57">
        <f t="shared" si="16"/>
        <v>2556.3821100806608</v>
      </c>
      <c r="W20" s="57">
        <f t="shared" si="16"/>
        <v>2739.9881752317733</v>
      </c>
      <c r="X20" s="57">
        <f t="shared" si="16"/>
        <v>2937.0917465542634</v>
      </c>
      <c r="Y20" s="57">
        <f t="shared" si="16"/>
        <v>3148.6999218836854</v>
      </c>
      <c r="Z20" s="57">
        <f t="shared" si="16"/>
        <v>3375.8956363211087</v>
      </c>
      <c r="AA20" s="57">
        <f t="shared" si="16"/>
        <v>3580.3147672374785</v>
      </c>
      <c r="AB20" s="57">
        <f t="shared" si="16"/>
        <v>3795.2808963269708</v>
      </c>
      <c r="AC20" s="57">
        <f t="shared" si="16"/>
        <v>4024.0320987199375</v>
      </c>
      <c r="AD20" s="57">
        <f t="shared" si="16"/>
        <v>4267.5026231837346</v>
      </c>
      <c r="AE20" s="57">
        <f t="shared" si="16"/>
        <v>4526.692727508037</v>
      </c>
      <c r="AF20" s="57">
        <f t="shared" si="16"/>
        <v>4802.67347885449</v>
      </c>
      <c r="AG20" s="57">
        <f t="shared" si="16"/>
        <v>5096.5919098382992</v>
      </c>
      <c r="AH20" s="57">
        <f t="shared" si="16"/>
        <v>5409.6765570170191</v>
      </c>
      <c r="AI20" s="57">
        <f t="shared" si="16"/>
        <v>5743.2434104766489</v>
      </c>
      <c r="AJ20" s="57">
        <f t="shared" si="16"/>
        <v>6098.7023053728362</v>
      </c>
      <c r="AK20" s="57">
        <f t="shared" si="16"/>
        <v>6477.5637886171289</v>
      </c>
      <c r="AL20" s="57">
        <f t="shared" si="16"/>
        <v>6881.4464964074332</v>
      </c>
      <c r="AM20" s="57">
        <f t="shared" si="16"/>
        <v>7312.085081001348</v>
      </c>
      <c r="AN20" s="57">
        <f t="shared" si="16"/>
        <v>7771.3387280357028</v>
      </c>
      <c r="AO20" s="57">
        <f t="shared" si="16"/>
        <v>8261.2003088206257</v>
      </c>
      <c r="AP20" s="57">
        <f t="shared" si="16"/>
        <v>8783.8062153989522</v>
      </c>
      <c r="AQ20" s="57">
        <f t="shared" si="16"/>
        <v>9341.4469297795276</v>
      </c>
      <c r="AR20" s="57">
        <f t="shared" si="16"/>
        <v>9936.5783826456282</v>
      </c>
      <c r="AS20" s="57">
        <f t="shared" si="16"/>
        <v>10571.83416102804</v>
      </c>
      <c r="AT20" s="57">
        <f t="shared" si="16"/>
        <v>11240.99908312628</v>
      </c>
      <c r="AU20" s="57">
        <f t="shared" si="16"/>
        <v>11746.844041866963</v>
      </c>
      <c r="AV20" s="57">
        <f t="shared" si="16"/>
        <v>12275.452023750977</v>
      </c>
      <c r="AW20" s="57">
        <f t="shared" si="16"/>
        <v>12827.847364819769</v>
      </c>
      <c r="AX20" s="57">
        <f t="shared" si="16"/>
        <v>13405.100496236659</v>
      </c>
      <c r="AY20" s="57">
        <f t="shared" si="16"/>
        <v>14008.330018567309</v>
      </c>
      <c r="AZ20" s="57">
        <f t="shared" si="16"/>
        <v>14638.704869402834</v>
      </c>
      <c r="BA20" s="57">
        <f t="shared" si="16"/>
        <v>15297.446588525963</v>
      </c>
      <c r="BB20" s="57">
        <f t="shared" si="16"/>
        <v>15985.831685009627</v>
      </c>
      <c r="BC20" s="57">
        <f t="shared" si="16"/>
        <v>16705.194110835062</v>
      </c>
      <c r="BD20" s="57">
        <f t="shared" si="16"/>
        <v>17456.92784582264</v>
      </c>
    </row>
    <row r="21" spans="2:56" s="31" customFormat="1" x14ac:dyDescent="0.3">
      <c r="B21" s="524" t="s">
        <v>97</v>
      </c>
      <c r="C21" s="34"/>
      <c r="D21" s="59" t="e">
        <f t="shared" ref="D21:L21" si="17">D20/C20-1</f>
        <v>#VALUE!</v>
      </c>
      <c r="E21" s="59" t="e">
        <f t="shared" si="17"/>
        <v>#DIV/0!</v>
      </c>
      <c r="F21" s="59" t="e">
        <f t="shared" si="17"/>
        <v>#DIV/0!</v>
      </c>
      <c r="G21" s="59" t="e">
        <f t="shared" si="17"/>
        <v>#DIV/0!</v>
      </c>
      <c r="H21" s="59">
        <f t="shared" si="17"/>
        <v>8.2492833634143725E-2</v>
      </c>
      <c r="I21" s="59">
        <f t="shared" si="17"/>
        <v>0.30433503334641032</v>
      </c>
      <c r="J21" s="59">
        <f t="shared" si="17"/>
        <v>0.10015790660951929</v>
      </c>
      <c r="K21" s="59">
        <f t="shared" si="17"/>
        <v>-3.0619916615405418E-2</v>
      </c>
      <c r="L21" s="59">
        <f t="shared" si="17"/>
        <v>-6.9801875484737375E-3</v>
      </c>
      <c r="M21" s="59">
        <f>M20/L20-1</f>
        <v>5.6731042317523572E-2</v>
      </c>
      <c r="N21" s="59">
        <f>N20/M20-1</f>
        <v>-1.4513202983269635E-2</v>
      </c>
      <c r="O21" s="59">
        <f>O20/N20-1</f>
        <v>8.468748551169325E-2</v>
      </c>
      <c r="P21" s="59">
        <f t="shared" ref="P21:AK21" si="18">P20/O20-1</f>
        <v>6.2336134190486892E-2</v>
      </c>
      <c r="Q21" s="59">
        <f t="shared" si="18"/>
        <v>7.1091438724882883E-2</v>
      </c>
      <c r="R21" s="59">
        <f t="shared" si="18"/>
        <v>7.1219535565479664E-2</v>
      </c>
      <c r="S21" s="59">
        <f t="shared" si="18"/>
        <v>7.1345110566907399E-2</v>
      </c>
      <c r="T21" s="59">
        <f t="shared" si="18"/>
        <v>7.1468184228409726E-2</v>
      </c>
      <c r="U21" s="59">
        <f t="shared" si="18"/>
        <v>7.1588778382406737E-2</v>
      </c>
      <c r="V21" s="59">
        <f t="shared" si="18"/>
        <v>7.1706916113011498E-2</v>
      </c>
      <c r="W21" s="59">
        <f t="shared" si="18"/>
        <v>7.1822621675802223E-2</v>
      </c>
      <c r="X21" s="59">
        <f t="shared" si="18"/>
        <v>7.1935920419005983E-2</v>
      </c>
      <c r="Y21" s="59">
        <f t="shared" si="18"/>
        <v>7.2046838706239402E-2</v>
      </c>
      <c r="Z21" s="59">
        <f t="shared" si="18"/>
        <v>7.2155403840930443E-2</v>
      </c>
      <c r="AA21" s="59">
        <f t="shared" si="18"/>
        <v>6.055256232361983E-2</v>
      </c>
      <c r="AB21" s="59">
        <f t="shared" si="18"/>
        <v>6.0041125729109357E-2</v>
      </c>
      <c r="AC21" s="59">
        <f t="shared" si="18"/>
        <v>6.0272535456953769E-2</v>
      </c>
      <c r="AD21" s="59">
        <f t="shared" si="18"/>
        <v>6.0504120864554256E-2</v>
      </c>
      <c r="AE21" s="59">
        <f t="shared" si="18"/>
        <v>6.0735780902914982E-2</v>
      </c>
      <c r="AF21" s="59">
        <f t="shared" si="18"/>
        <v>6.0967414392710806E-2</v>
      </c>
      <c r="AG21" s="59">
        <f t="shared" si="18"/>
        <v>6.1198920200986384E-2</v>
      </c>
      <c r="AH21" s="59">
        <f t="shared" si="18"/>
        <v>6.1430197417680521E-2</v>
      </c>
      <c r="AI21" s="59">
        <f t="shared" si="18"/>
        <v>6.1661145531326067E-2</v>
      </c>
      <c r="AJ21" s="59">
        <f t="shared" si="18"/>
        <v>6.1891664603274554E-2</v>
      </c>
      <c r="AK21" s="59">
        <f t="shared" si="18"/>
        <v>6.2121655439801193E-2</v>
      </c>
      <c r="AL21" s="59">
        <f t="shared" ref="AL21:BD21" si="19">AL20/AK20-1</f>
        <v>6.2351019761478499E-2</v>
      </c>
      <c r="AM21" s="59">
        <f t="shared" si="19"/>
        <v>6.2579660369187939E-2</v>
      </c>
      <c r="AN21" s="59">
        <f t="shared" si="19"/>
        <v>6.2807481306202506E-2</v>
      </c>
      <c r="AO21" s="59">
        <f t="shared" si="19"/>
        <v>6.3034388015762222E-2</v>
      </c>
      <c r="AP21" s="59">
        <f t="shared" si="19"/>
        <v>6.326028749361412E-2</v>
      </c>
      <c r="AQ21" s="59">
        <f t="shared" si="19"/>
        <v>6.3485088435007997E-2</v>
      </c>
      <c r="AR21" s="59">
        <f t="shared" si="19"/>
        <v>6.3708701375681409E-2</v>
      </c>
      <c r="AS21" s="59">
        <f t="shared" si="19"/>
        <v>6.3931038826392728E-2</v>
      </c>
      <c r="AT21" s="59">
        <f t="shared" si="19"/>
        <v>6.3296956034842644E-2</v>
      </c>
      <c r="AU21" s="59">
        <f t="shared" si="19"/>
        <v>4.5000000000000151E-2</v>
      </c>
      <c r="AV21" s="59">
        <f t="shared" si="19"/>
        <v>4.4999999999999929E-2</v>
      </c>
      <c r="AW21" s="59">
        <f t="shared" si="19"/>
        <v>4.4999999999999929E-2</v>
      </c>
      <c r="AX21" s="59">
        <f t="shared" si="19"/>
        <v>4.4999999999999929E-2</v>
      </c>
      <c r="AY21" s="59">
        <f t="shared" si="19"/>
        <v>4.4999999999999929E-2</v>
      </c>
      <c r="AZ21" s="59">
        <f t="shared" si="19"/>
        <v>4.4999999999999707E-2</v>
      </c>
      <c r="BA21" s="59">
        <f t="shared" si="19"/>
        <v>4.5000000000000151E-2</v>
      </c>
      <c r="BB21" s="59">
        <f t="shared" si="19"/>
        <v>4.4999999999999707E-2</v>
      </c>
      <c r="BC21" s="59">
        <f t="shared" si="19"/>
        <v>4.5000000000000151E-2</v>
      </c>
      <c r="BD21" s="525">
        <f t="shared" si="19"/>
        <v>4.4999999999999929E-2</v>
      </c>
    </row>
    <row r="22" spans="2:56" s="44" customFormat="1" x14ac:dyDescent="0.3">
      <c r="B22" s="45" t="s">
        <v>487</v>
      </c>
      <c r="C22" s="516" t="s">
        <v>16</v>
      </c>
      <c r="D22" s="48">
        <f>BD!D239</f>
        <v>0</v>
      </c>
      <c r="E22" s="48">
        <f>BD!E239</f>
        <v>0</v>
      </c>
      <c r="F22" s="48">
        <f>BD!F239</f>
        <v>0</v>
      </c>
      <c r="G22" s="48">
        <f>BD!G239</f>
        <v>760.5</v>
      </c>
      <c r="H22" s="48">
        <f>BD!H239</f>
        <v>794.9</v>
      </c>
      <c r="I22" s="48">
        <f>BD!I239</f>
        <v>1081.9000000000001</v>
      </c>
      <c r="J22" s="48">
        <f>BD!J239</f>
        <v>1180</v>
      </c>
      <c r="K22" s="48">
        <f>BD!K239</f>
        <v>1152.9000000000001</v>
      </c>
      <c r="L22" s="48">
        <f>BD!L239</f>
        <v>1156.3</v>
      </c>
      <c r="M22" s="48">
        <f>BD!M239</f>
        <v>1235.5</v>
      </c>
      <c r="N22" s="48">
        <f>BD!N239</f>
        <v>1207.0999999999999</v>
      </c>
      <c r="O22" s="515">
        <f t="shared" ref="O22:BD22" si="20">O24+O26</f>
        <v>1319.6291350000001</v>
      </c>
      <c r="P22" s="515">
        <f t="shared" si="20"/>
        <v>1406.5926949965001</v>
      </c>
      <c r="Q22" s="515">
        <f t="shared" si="20"/>
        <v>1513.9860472594826</v>
      </c>
      <c r="R22" s="515">
        <f t="shared" si="20"/>
        <v>1629.5788819677443</v>
      </c>
      <c r="S22" s="515">
        <f t="shared" si="20"/>
        <v>1753.9972296059814</v>
      </c>
      <c r="T22" s="515">
        <f t="shared" si="20"/>
        <v>1887.9149180863981</v>
      </c>
      <c r="U22" s="515">
        <f t="shared" si="20"/>
        <v>2032.0572220822946</v>
      </c>
      <c r="V22" s="515">
        <f t="shared" si="20"/>
        <v>2187.2047909882776</v>
      </c>
      <c r="W22" s="515">
        <f t="shared" si="20"/>
        <v>2354.1978767802329</v>
      </c>
      <c r="X22" s="515">
        <f t="shared" si="20"/>
        <v>2533.9408846724036</v>
      </c>
      <c r="Y22" s="515">
        <f t="shared" si="20"/>
        <v>2727.4072712171419</v>
      </c>
      <c r="Z22" s="515">
        <f t="shared" si="20"/>
        <v>2935.6448163745708</v>
      </c>
      <c r="AA22" s="515">
        <f t="shared" si="20"/>
        <v>3120.2526603933461</v>
      </c>
      <c r="AB22" s="515">
        <f t="shared" si="20"/>
        <v>3314.5159946748527</v>
      </c>
      <c r="AC22" s="515">
        <f t="shared" si="20"/>
        <v>3521.632776493474</v>
      </c>
      <c r="AD22" s="515">
        <f t="shared" si="20"/>
        <v>3742.4953314570803</v>
      </c>
      <c r="AE22" s="515">
        <f t="shared" si="20"/>
        <v>3978.0601076536836</v>
      </c>
      <c r="AF22" s="515">
        <f t="shared" si="20"/>
        <v>4229.3523911066904</v>
      </c>
      <c r="AG22" s="515">
        <f t="shared" si="20"/>
        <v>4497.4713731418487</v>
      </c>
      <c r="AH22" s="515">
        <f t="shared" si="20"/>
        <v>4783.5955961692289</v>
      </c>
      <c r="AI22" s="515">
        <f t="shared" si="20"/>
        <v>5088.9888063907083</v>
      </c>
      <c r="AJ22" s="515">
        <f t="shared" si="20"/>
        <v>5415.0062441030277</v>
      </c>
      <c r="AK22" s="515">
        <f t="shared" si="20"/>
        <v>5763.1014045901793</v>
      </c>
      <c r="AL22" s="515">
        <f t="shared" si="20"/>
        <v>6134.8333050992705</v>
      </c>
      <c r="AM22" s="515">
        <f t="shared" si="20"/>
        <v>6531.8742960843183</v>
      </c>
      <c r="AN22" s="515">
        <f t="shared" si="20"/>
        <v>6956.0184577974069</v>
      </c>
      <c r="AO22" s="515">
        <f t="shared" si="20"/>
        <v>7409.1906264216068</v>
      </c>
      <c r="AP22" s="515">
        <f t="shared" si="20"/>
        <v>7893.4560972919771</v>
      </c>
      <c r="AQ22" s="515">
        <f t="shared" si="20"/>
        <v>8411.0310563577386</v>
      </c>
      <c r="AR22" s="515">
        <f t="shared" si="20"/>
        <v>8964.2937949198586</v>
      </c>
      <c r="AS22" s="515">
        <f t="shared" si="20"/>
        <v>9555.7967668546116</v>
      </c>
      <c r="AT22" s="515">
        <f t="shared" si="20"/>
        <v>10179.240006215048</v>
      </c>
      <c r="AU22" s="515">
        <f t="shared" si="20"/>
        <v>10637.305806494725</v>
      </c>
      <c r="AV22" s="515">
        <f t="shared" si="20"/>
        <v>11115.984567786987</v>
      </c>
      <c r="AW22" s="515">
        <f t="shared" si="20"/>
        <v>11616.203873337401</v>
      </c>
      <c r="AX22" s="515">
        <f t="shared" si="20"/>
        <v>12138.933047637584</v>
      </c>
      <c r="AY22" s="515">
        <f t="shared" si="20"/>
        <v>12685.185034781276</v>
      </c>
      <c r="AZ22" s="515">
        <f t="shared" si="20"/>
        <v>13256.018361346431</v>
      </c>
      <c r="BA22" s="515">
        <f t="shared" si="20"/>
        <v>13852.539187607021</v>
      </c>
      <c r="BB22" s="515">
        <f t="shared" si="20"/>
        <v>14475.903451049333</v>
      </c>
      <c r="BC22" s="515">
        <f t="shared" si="20"/>
        <v>15127.319106346553</v>
      </c>
      <c r="BD22" s="515">
        <f t="shared" si="20"/>
        <v>15808.048466132148</v>
      </c>
    </row>
    <row r="23" spans="2:56" x14ac:dyDescent="0.3">
      <c r="B23" s="40"/>
      <c r="C23" s="520"/>
      <c r="D23" s="48"/>
      <c r="E23" s="48"/>
      <c r="F23" s="48"/>
      <c r="G23" s="513" t="e">
        <f t="shared" ref="G23:N23" si="21">G22/F22-1</f>
        <v>#DIV/0!</v>
      </c>
      <c r="H23" s="513">
        <f t="shared" si="21"/>
        <v>4.5233399079552816E-2</v>
      </c>
      <c r="I23" s="513">
        <f t="shared" si="21"/>
        <v>0.36105170461693303</v>
      </c>
      <c r="J23" s="513">
        <f t="shared" si="21"/>
        <v>9.0673814585451318E-2</v>
      </c>
      <c r="K23" s="513">
        <f t="shared" si="21"/>
        <v>-2.2966101694915197E-2</v>
      </c>
      <c r="L23" s="513">
        <f t="shared" si="21"/>
        <v>2.9490849162978616E-3</v>
      </c>
      <c r="M23" s="513">
        <f t="shared" si="21"/>
        <v>6.8494335380091753E-2</v>
      </c>
      <c r="N23" s="513">
        <f t="shared" si="21"/>
        <v>-2.2986645082962442E-2</v>
      </c>
      <c r="O23" s="513">
        <f>O22/N22-1</f>
        <v>9.3222711457211727E-2</v>
      </c>
      <c r="P23" s="513">
        <f t="shared" ref="P23:BD23" si="22">P22/O22-1</f>
        <v>6.5899999999999848E-2</v>
      </c>
      <c r="Q23" s="513">
        <f t="shared" si="22"/>
        <v>7.6349999999999696E-2</v>
      </c>
      <c r="R23" s="513">
        <f t="shared" si="22"/>
        <v>7.635000000000014E-2</v>
      </c>
      <c r="S23" s="513">
        <f t="shared" si="22"/>
        <v>7.6349999999999918E-2</v>
      </c>
      <c r="T23" s="513">
        <f t="shared" si="22"/>
        <v>7.6349999999999918E-2</v>
      </c>
      <c r="U23" s="513">
        <f t="shared" si="22"/>
        <v>7.635000000000014E-2</v>
      </c>
      <c r="V23" s="513">
        <f t="shared" si="22"/>
        <v>7.6349999999999918E-2</v>
      </c>
      <c r="W23" s="513">
        <f t="shared" si="22"/>
        <v>7.635000000000014E-2</v>
      </c>
      <c r="X23" s="513">
        <f t="shared" si="22"/>
        <v>7.6349999999999918E-2</v>
      </c>
      <c r="Y23" s="513">
        <f t="shared" si="22"/>
        <v>7.635000000000014E-2</v>
      </c>
      <c r="Z23" s="513">
        <f t="shared" si="22"/>
        <v>7.635000000000014E-2</v>
      </c>
      <c r="AA23" s="513">
        <f t="shared" si="22"/>
        <v>6.2884938596475148E-2</v>
      </c>
      <c r="AB23" s="513">
        <f t="shared" si="22"/>
        <v>6.2258847415586294E-2</v>
      </c>
      <c r="AC23" s="513">
        <f t="shared" si="22"/>
        <v>6.2487790721595049E-2</v>
      </c>
      <c r="AD23" s="513">
        <f t="shared" si="22"/>
        <v>6.2715952792647967E-2</v>
      </c>
      <c r="AE23" s="513">
        <f t="shared" si="22"/>
        <v>6.2943238490264175E-2</v>
      </c>
      <c r="AF23" s="513">
        <f t="shared" si="22"/>
        <v>6.316955416775305E-2</v>
      </c>
      <c r="AG23" s="513">
        <f t="shared" si="22"/>
        <v>6.3394807819501686E-2</v>
      </c>
      <c r="AH23" s="513">
        <f t="shared" si="22"/>
        <v>6.3618909224429254E-2</v>
      </c>
      <c r="AI23" s="513">
        <f t="shared" si="22"/>
        <v>6.3841770083165716E-2</v>
      </c>
      <c r="AJ23" s="513">
        <f t="shared" si="22"/>
        <v>6.4063304148539224E-2</v>
      </c>
      <c r="AK23" s="513">
        <f t="shared" si="22"/>
        <v>6.428342734899517E-2</v>
      </c>
      <c r="AL23" s="513">
        <f t="shared" si="22"/>
        <v>6.4502057904623156E-2</v>
      </c>
      <c r="AM23" s="513">
        <f t="shared" si="22"/>
        <v>6.4719116435490998E-2</v>
      </c>
      <c r="AN23" s="513">
        <f t="shared" si="22"/>
        <v>6.4934526062044862E-2</v>
      </c>
      <c r="AO23" s="513">
        <f t="shared" si="22"/>
        <v>6.514821249736813E-2</v>
      </c>
      <c r="AP23" s="513">
        <f t="shared" si="22"/>
        <v>6.5360104131138241E-2</v>
      </c>
      <c r="AQ23" s="513">
        <f t="shared" si="22"/>
        <v>6.5570132105165824E-2</v>
      </c>
      <c r="AR23" s="513">
        <f t="shared" si="22"/>
        <v>6.5778230380438174E-2</v>
      </c>
      <c r="AS23" s="513">
        <f t="shared" si="22"/>
        <v>6.5984335795638893E-2</v>
      </c>
      <c r="AT23" s="513">
        <f t="shared" si="22"/>
        <v>6.5242413016036727E-2</v>
      </c>
      <c r="AU23" s="513">
        <f t="shared" si="22"/>
        <v>4.4999999999999929E-2</v>
      </c>
      <c r="AV23" s="513">
        <f t="shared" si="22"/>
        <v>4.4999999999999929E-2</v>
      </c>
      <c r="AW23" s="513">
        <f t="shared" si="22"/>
        <v>4.4999999999999929E-2</v>
      </c>
      <c r="AX23" s="513">
        <f t="shared" si="22"/>
        <v>4.4999999999999929E-2</v>
      </c>
      <c r="AY23" s="513">
        <f t="shared" si="22"/>
        <v>4.5000000000000151E-2</v>
      </c>
      <c r="AZ23" s="513">
        <f t="shared" si="22"/>
        <v>4.4999999999999707E-2</v>
      </c>
      <c r="BA23" s="513">
        <f t="shared" si="22"/>
        <v>4.5000000000000151E-2</v>
      </c>
      <c r="BB23" s="513">
        <f t="shared" si="22"/>
        <v>4.4999999999999707E-2</v>
      </c>
      <c r="BC23" s="513">
        <f t="shared" si="22"/>
        <v>4.4999999999999929E-2</v>
      </c>
      <c r="BD23" s="513">
        <f t="shared" si="22"/>
        <v>4.4999999999999929E-2</v>
      </c>
    </row>
    <row r="24" spans="2:56" x14ac:dyDescent="0.3">
      <c r="B24" s="40" t="s">
        <v>488</v>
      </c>
      <c r="C24" s="520" t="s">
        <v>17</v>
      </c>
      <c r="D24" s="48">
        <f>BD!D240</f>
        <v>0</v>
      </c>
      <c r="E24" s="48">
        <f>BD!E240</f>
        <v>0</v>
      </c>
      <c r="F24" s="48">
        <f>BD!F240</f>
        <v>0</v>
      </c>
      <c r="G24" s="48">
        <f>BD!G240</f>
        <v>516.5</v>
      </c>
      <c r="H24" s="48">
        <f>BD!H240</f>
        <v>567</v>
      </c>
      <c r="I24" s="48">
        <f>BD!I240</f>
        <v>832.2</v>
      </c>
      <c r="J24" s="48">
        <f>BD!J240</f>
        <v>951.6</v>
      </c>
      <c r="K24" s="48">
        <f>BD!K240</f>
        <v>952.80000000000007</v>
      </c>
      <c r="L24" s="48">
        <f>BD!L240</f>
        <v>896.19999999999993</v>
      </c>
      <c r="M24" s="48">
        <f>BD!M240</f>
        <v>945.6</v>
      </c>
      <c r="N24" s="48">
        <f>BD!N240</f>
        <v>953.4</v>
      </c>
      <c r="O24" s="181">
        <f t="shared" ref="O24:BD24" si="23">O43</f>
        <v>1051.8614700000001</v>
      </c>
      <c r="P24" s="181">
        <f t="shared" si="23"/>
        <v>1121.1791408730001</v>
      </c>
      <c r="Q24" s="181">
        <f t="shared" si="23"/>
        <v>1206.7811682786535</v>
      </c>
      <c r="R24" s="181">
        <f t="shared" si="23"/>
        <v>1298.9189104767288</v>
      </c>
      <c r="S24" s="181">
        <f t="shared" si="23"/>
        <v>1398.091369291627</v>
      </c>
      <c r="T24" s="181">
        <f t="shared" si="23"/>
        <v>1504.8356453370427</v>
      </c>
      <c r="U24" s="181">
        <f t="shared" si="23"/>
        <v>1619.7298468585259</v>
      </c>
      <c r="V24" s="181">
        <f t="shared" si="23"/>
        <v>1743.3962206661745</v>
      </c>
      <c r="W24" s="181">
        <f t="shared" si="23"/>
        <v>1876.5045221140372</v>
      </c>
      <c r="X24" s="181">
        <f t="shared" si="23"/>
        <v>2019.7756423774438</v>
      </c>
      <c r="Y24" s="181">
        <f t="shared" si="23"/>
        <v>2173.9855126729617</v>
      </c>
      <c r="Z24" s="181">
        <f t="shared" si="23"/>
        <v>2339.9693065655424</v>
      </c>
      <c r="AA24" s="181">
        <f t="shared" si="23"/>
        <v>2518.6259631218209</v>
      </c>
      <c r="AB24" s="181">
        <f t="shared" si="23"/>
        <v>2710.9230554061719</v>
      </c>
      <c r="AC24" s="181">
        <f t="shared" si="23"/>
        <v>2917.9020306864331</v>
      </c>
      <c r="AD24" s="181">
        <f t="shared" si="23"/>
        <v>3140.6838507293414</v>
      </c>
      <c r="AE24" s="181">
        <f t="shared" si="23"/>
        <v>3380.475062732527</v>
      </c>
      <c r="AF24" s="181">
        <f t="shared" si="23"/>
        <v>3638.5743337721556</v>
      </c>
      <c r="AG24" s="181">
        <f t="shared" si="23"/>
        <v>3916.3794841556592</v>
      </c>
      <c r="AH24" s="181">
        <f t="shared" si="23"/>
        <v>4215.3950577709429</v>
      </c>
      <c r="AI24" s="181">
        <f t="shared" si="23"/>
        <v>4537.2404704317541</v>
      </c>
      <c r="AJ24" s="181">
        <f t="shared" si="23"/>
        <v>4883.6587803492193</v>
      </c>
      <c r="AK24" s="181">
        <f t="shared" si="23"/>
        <v>5256.5261282288811</v>
      </c>
      <c r="AL24" s="181">
        <f t="shared" si="23"/>
        <v>5657.8618981191576</v>
      </c>
      <c r="AM24" s="181">
        <f t="shared" si="23"/>
        <v>6089.8396540405547</v>
      </c>
      <c r="AN24" s="181">
        <f t="shared" si="23"/>
        <v>6554.7989116265508</v>
      </c>
      <c r="AO24" s="181">
        <f t="shared" si="23"/>
        <v>7055.2578085292371</v>
      </c>
      <c r="AP24" s="181">
        <f t="shared" si="23"/>
        <v>7593.926742210444</v>
      </c>
      <c r="AQ24" s="181">
        <f t="shared" si="23"/>
        <v>8173.7230489782114</v>
      </c>
      <c r="AR24" s="181">
        <f t="shared" si="23"/>
        <v>8797.7868037676981</v>
      </c>
      <c r="AS24" s="181">
        <f t="shared" si="23"/>
        <v>9469.4978262353616</v>
      </c>
      <c r="AT24" s="181">
        <f t="shared" si="23"/>
        <v>10179.240006215048</v>
      </c>
      <c r="AU24" s="181">
        <f t="shared" si="23"/>
        <v>10637.305806494725</v>
      </c>
      <c r="AV24" s="181">
        <f t="shared" si="23"/>
        <v>11115.984567786987</v>
      </c>
      <c r="AW24" s="181">
        <f t="shared" si="23"/>
        <v>11616.203873337401</v>
      </c>
      <c r="AX24" s="181">
        <f t="shared" si="23"/>
        <v>12138.933047637584</v>
      </c>
      <c r="AY24" s="181">
        <f t="shared" si="23"/>
        <v>12685.185034781276</v>
      </c>
      <c r="AZ24" s="181">
        <f t="shared" si="23"/>
        <v>13256.018361346431</v>
      </c>
      <c r="BA24" s="181">
        <f t="shared" si="23"/>
        <v>13852.539187607021</v>
      </c>
      <c r="BB24" s="181">
        <f t="shared" si="23"/>
        <v>14475.903451049333</v>
      </c>
      <c r="BC24" s="181">
        <f t="shared" si="23"/>
        <v>15127.319106346553</v>
      </c>
      <c r="BD24" s="181">
        <f t="shared" si="23"/>
        <v>15808.048466132148</v>
      </c>
    </row>
    <row r="25" spans="2:56" x14ac:dyDescent="0.3">
      <c r="B25" s="40"/>
      <c r="C25" s="520"/>
      <c r="D25" s="48"/>
      <c r="E25" s="48"/>
      <c r="F25" s="48"/>
      <c r="G25" s="513" t="e">
        <f t="shared" ref="G25:L25" si="24">G24/F24-1</f>
        <v>#DIV/0!</v>
      </c>
      <c r="H25" s="513">
        <f t="shared" si="24"/>
        <v>9.7773475314617553E-2</v>
      </c>
      <c r="I25" s="513">
        <f t="shared" si="24"/>
        <v>0.46772486772486777</v>
      </c>
      <c r="J25" s="513">
        <f t="shared" si="24"/>
        <v>0.14347512617159341</v>
      </c>
      <c r="K25" s="513">
        <f t="shared" si="24"/>
        <v>1.2610340479193294E-3</v>
      </c>
      <c r="L25" s="513">
        <f t="shared" si="24"/>
        <v>-5.9403862300587917E-2</v>
      </c>
      <c r="M25" s="513">
        <f>M24/L24-1</f>
        <v>5.5121624637357813E-2</v>
      </c>
      <c r="N25" s="513">
        <f>N24/M24-1</f>
        <v>8.2487309644669882E-3</v>
      </c>
      <c r="O25" s="513">
        <f>O24/N24-1</f>
        <v>0.1032740402769039</v>
      </c>
      <c r="P25" s="513">
        <f t="shared" ref="P25:BD25" si="25">P24/O24-1</f>
        <v>6.590000000000007E-2</v>
      </c>
      <c r="Q25" s="513">
        <f t="shared" si="25"/>
        <v>7.6349999999999918E-2</v>
      </c>
      <c r="R25" s="513">
        <f t="shared" si="25"/>
        <v>7.635000000000014E-2</v>
      </c>
      <c r="S25" s="513">
        <f t="shared" si="25"/>
        <v>7.6349999999999918E-2</v>
      </c>
      <c r="T25" s="513">
        <f t="shared" si="25"/>
        <v>7.6349999999999918E-2</v>
      </c>
      <c r="U25" s="513">
        <f t="shared" si="25"/>
        <v>7.6349999999999918E-2</v>
      </c>
      <c r="V25" s="513">
        <f t="shared" si="25"/>
        <v>7.635000000000014E-2</v>
      </c>
      <c r="W25" s="513">
        <f t="shared" si="25"/>
        <v>7.635000000000014E-2</v>
      </c>
      <c r="X25" s="513">
        <f t="shared" si="25"/>
        <v>7.6349999999999918E-2</v>
      </c>
      <c r="Y25" s="513">
        <f t="shared" si="25"/>
        <v>7.635000000000014E-2</v>
      </c>
      <c r="Z25" s="513">
        <f t="shared" si="25"/>
        <v>7.635000000000014E-2</v>
      </c>
      <c r="AA25" s="513">
        <f t="shared" si="25"/>
        <v>7.6349999999999696E-2</v>
      </c>
      <c r="AB25" s="513">
        <f t="shared" si="25"/>
        <v>7.6349999999999918E-2</v>
      </c>
      <c r="AC25" s="513">
        <f t="shared" si="25"/>
        <v>7.6349999999999918E-2</v>
      </c>
      <c r="AD25" s="513">
        <f t="shared" si="25"/>
        <v>7.6349999999999696E-2</v>
      </c>
      <c r="AE25" s="513">
        <f t="shared" si="25"/>
        <v>7.635000000000014E-2</v>
      </c>
      <c r="AF25" s="513">
        <f t="shared" si="25"/>
        <v>7.635000000000014E-2</v>
      </c>
      <c r="AG25" s="513">
        <f t="shared" si="25"/>
        <v>7.6349999999999918E-2</v>
      </c>
      <c r="AH25" s="513">
        <f t="shared" si="25"/>
        <v>7.6349999999999696E-2</v>
      </c>
      <c r="AI25" s="513">
        <f t="shared" si="25"/>
        <v>7.6349999999999918E-2</v>
      </c>
      <c r="AJ25" s="513">
        <f t="shared" si="25"/>
        <v>7.635000000000014E-2</v>
      </c>
      <c r="AK25" s="513">
        <f t="shared" si="25"/>
        <v>7.6349999999999696E-2</v>
      </c>
      <c r="AL25" s="513">
        <f t="shared" si="25"/>
        <v>7.6350000000000362E-2</v>
      </c>
      <c r="AM25" s="513">
        <f t="shared" si="25"/>
        <v>7.6349999999999918E-2</v>
      </c>
      <c r="AN25" s="513">
        <f t="shared" si="25"/>
        <v>7.6349999999999918E-2</v>
      </c>
      <c r="AO25" s="513">
        <f t="shared" si="25"/>
        <v>7.6349999999999918E-2</v>
      </c>
      <c r="AP25" s="513">
        <f t="shared" si="25"/>
        <v>7.6349999999999918E-2</v>
      </c>
      <c r="AQ25" s="513">
        <f t="shared" si="25"/>
        <v>7.6349999999999918E-2</v>
      </c>
      <c r="AR25" s="513">
        <f t="shared" si="25"/>
        <v>7.6349999999999918E-2</v>
      </c>
      <c r="AS25" s="513">
        <f t="shared" si="25"/>
        <v>7.6349999999999918E-2</v>
      </c>
      <c r="AT25" s="513">
        <f t="shared" si="25"/>
        <v>7.4950350377961605E-2</v>
      </c>
      <c r="AU25" s="513">
        <f t="shared" si="25"/>
        <v>4.4999999999999929E-2</v>
      </c>
      <c r="AV25" s="513">
        <f t="shared" si="25"/>
        <v>4.4999999999999929E-2</v>
      </c>
      <c r="AW25" s="513">
        <f t="shared" si="25"/>
        <v>4.4999999999999929E-2</v>
      </c>
      <c r="AX25" s="513">
        <f t="shared" si="25"/>
        <v>4.4999999999999929E-2</v>
      </c>
      <c r="AY25" s="513">
        <f t="shared" si="25"/>
        <v>4.5000000000000151E-2</v>
      </c>
      <c r="AZ25" s="513">
        <f t="shared" si="25"/>
        <v>4.4999999999999707E-2</v>
      </c>
      <c r="BA25" s="513">
        <f t="shared" si="25"/>
        <v>4.5000000000000151E-2</v>
      </c>
      <c r="BB25" s="513">
        <f t="shared" si="25"/>
        <v>4.4999999999999707E-2</v>
      </c>
      <c r="BC25" s="513">
        <f t="shared" si="25"/>
        <v>4.4999999999999929E-2</v>
      </c>
      <c r="BD25" s="513">
        <f t="shared" si="25"/>
        <v>4.4999999999999929E-2</v>
      </c>
    </row>
    <row r="26" spans="2:56" x14ac:dyDescent="0.3">
      <c r="B26" s="41" t="s">
        <v>489</v>
      </c>
      <c r="C26" s="521" t="s">
        <v>18</v>
      </c>
      <c r="D26" s="48">
        <f>BD!D241</f>
        <v>0</v>
      </c>
      <c r="E26" s="48">
        <f>BD!E241</f>
        <v>0</v>
      </c>
      <c r="F26" s="48">
        <f>BD!F241</f>
        <v>0</v>
      </c>
      <c r="G26" s="48">
        <f>BD!G241</f>
        <v>244</v>
      </c>
      <c r="H26" s="48">
        <f>BD!H241</f>
        <v>227.9</v>
      </c>
      <c r="I26" s="48">
        <f>BD!I241</f>
        <v>249.7</v>
      </c>
      <c r="J26" s="48">
        <f>BD!J241</f>
        <v>228.4</v>
      </c>
      <c r="K26" s="48">
        <f>BD!K241</f>
        <v>200.1</v>
      </c>
      <c r="L26" s="48">
        <f>BD!L241</f>
        <v>260.10000000000002</v>
      </c>
      <c r="M26" s="48">
        <f>BD!M241</f>
        <v>289.89999999999998</v>
      </c>
      <c r="N26" s="48">
        <f>BD!N241</f>
        <v>253.69999999999996</v>
      </c>
      <c r="O26" s="181">
        <f t="shared" ref="O26:BD26" si="26">O45</f>
        <v>267.76766499999997</v>
      </c>
      <c r="P26" s="181">
        <f t="shared" si="26"/>
        <v>285.41355412349998</v>
      </c>
      <c r="Q26" s="181">
        <f t="shared" si="26"/>
        <v>307.20487898082916</v>
      </c>
      <c r="R26" s="181">
        <f t="shared" si="26"/>
        <v>330.65997149101548</v>
      </c>
      <c r="S26" s="181">
        <f t="shared" si="26"/>
        <v>355.90586031435447</v>
      </c>
      <c r="T26" s="181">
        <f t="shared" si="26"/>
        <v>383.07927274935543</v>
      </c>
      <c r="U26" s="181">
        <f t="shared" si="26"/>
        <v>412.32737522376868</v>
      </c>
      <c r="V26" s="181">
        <f t="shared" si="26"/>
        <v>443.80857032210338</v>
      </c>
      <c r="W26" s="181">
        <f t="shared" si="26"/>
        <v>477.693354666196</v>
      </c>
      <c r="X26" s="181">
        <f t="shared" si="26"/>
        <v>514.16524229496008</v>
      </c>
      <c r="Y26" s="181">
        <f t="shared" si="26"/>
        <v>553.42175854418019</v>
      </c>
      <c r="Z26" s="181">
        <f t="shared" si="26"/>
        <v>595.67550980902831</v>
      </c>
      <c r="AA26" s="181">
        <f t="shared" si="26"/>
        <v>601.62669727152513</v>
      </c>
      <c r="AB26" s="181">
        <f t="shared" si="26"/>
        <v>603.59293926868088</v>
      </c>
      <c r="AC26" s="181">
        <f t="shared" si="26"/>
        <v>603.73074580704099</v>
      </c>
      <c r="AD26" s="181">
        <f t="shared" si="26"/>
        <v>601.81148072773874</v>
      </c>
      <c r="AE26" s="181">
        <f t="shared" si="26"/>
        <v>597.58504492115651</v>
      </c>
      <c r="AF26" s="181">
        <f t="shared" si="26"/>
        <v>590.77805733453511</v>
      </c>
      <c r="AG26" s="181">
        <f t="shared" si="26"/>
        <v>581.09188898618982</v>
      </c>
      <c r="AH26" s="181">
        <f t="shared" si="26"/>
        <v>568.20053839828552</v>
      </c>
      <c r="AI26" s="181">
        <f t="shared" si="26"/>
        <v>551.74833595895439</v>
      </c>
      <c r="AJ26" s="181">
        <f t="shared" si="26"/>
        <v>531.34746375380871</v>
      </c>
      <c r="AK26" s="181">
        <f t="shared" si="26"/>
        <v>506.57527636129777</v>
      </c>
      <c r="AL26" s="181">
        <f t="shared" si="26"/>
        <v>476.97140698011333</v>
      </c>
      <c r="AM26" s="181">
        <f t="shared" si="26"/>
        <v>442.03464204376377</v>
      </c>
      <c r="AN26" s="181">
        <f t="shared" si="26"/>
        <v>401.21954617085652</v>
      </c>
      <c r="AO26" s="181">
        <f t="shared" si="26"/>
        <v>353.93281789237</v>
      </c>
      <c r="AP26" s="181">
        <f t="shared" si="26"/>
        <v>299.52935508153286</v>
      </c>
      <c r="AQ26" s="181">
        <f t="shared" si="26"/>
        <v>237.30800737952669</v>
      </c>
      <c r="AR26" s="181">
        <f t="shared" si="26"/>
        <v>166.50699115216071</v>
      </c>
      <c r="AS26" s="181">
        <f t="shared" si="26"/>
        <v>86.298940619249677</v>
      </c>
      <c r="AT26" s="181">
        <f t="shared" si="26"/>
        <v>0</v>
      </c>
      <c r="AU26" s="181">
        <f t="shared" si="26"/>
        <v>0</v>
      </c>
      <c r="AV26" s="181">
        <f t="shared" si="26"/>
        <v>0</v>
      </c>
      <c r="AW26" s="181">
        <f t="shared" si="26"/>
        <v>0</v>
      </c>
      <c r="AX26" s="181">
        <f t="shared" si="26"/>
        <v>0</v>
      </c>
      <c r="AY26" s="181">
        <f t="shared" si="26"/>
        <v>0</v>
      </c>
      <c r="AZ26" s="181">
        <f t="shared" si="26"/>
        <v>0</v>
      </c>
      <c r="BA26" s="181">
        <f t="shared" si="26"/>
        <v>0</v>
      </c>
      <c r="BB26" s="181">
        <f t="shared" si="26"/>
        <v>0</v>
      </c>
      <c r="BC26" s="181">
        <f t="shared" si="26"/>
        <v>0</v>
      </c>
      <c r="BD26" s="181">
        <f t="shared" si="26"/>
        <v>0</v>
      </c>
    </row>
    <row r="27" spans="2:56" x14ac:dyDescent="0.3">
      <c r="B27" s="41"/>
      <c r="C27" s="521"/>
      <c r="D27" s="48"/>
      <c r="E27" s="48"/>
      <c r="F27" s="48"/>
      <c r="G27" s="48"/>
      <c r="H27" s="513">
        <f t="shared" ref="H27:N27" si="27">H26/G26-1</f>
        <v>-6.5983606557377006E-2</v>
      </c>
      <c r="I27" s="513">
        <f t="shared" si="27"/>
        <v>9.5655989469065394E-2</v>
      </c>
      <c r="J27" s="513">
        <f t="shared" si="27"/>
        <v>-8.5302362835402379E-2</v>
      </c>
      <c r="K27" s="513">
        <f t="shared" si="27"/>
        <v>-0.12390542907180391</v>
      </c>
      <c r="L27" s="513">
        <f t="shared" si="27"/>
        <v>0.29985007496251881</v>
      </c>
      <c r="M27" s="513">
        <f t="shared" si="27"/>
        <v>0.11457131872356774</v>
      </c>
      <c r="N27" s="513">
        <f t="shared" si="27"/>
        <v>-0.12487064505001733</v>
      </c>
      <c r="O27" s="513">
        <f>O26/N26-1</f>
        <v>5.5449999999999999E-2</v>
      </c>
      <c r="P27" s="513">
        <f t="shared" ref="P27:BD27" si="28">P26/O26-1</f>
        <v>6.590000000000007E-2</v>
      </c>
      <c r="Q27" s="513">
        <f t="shared" si="28"/>
        <v>7.6349999999999918E-2</v>
      </c>
      <c r="R27" s="513">
        <f t="shared" si="28"/>
        <v>7.635000000000014E-2</v>
      </c>
      <c r="S27" s="513">
        <f t="shared" si="28"/>
        <v>7.6349999999999918E-2</v>
      </c>
      <c r="T27" s="513">
        <f t="shared" si="28"/>
        <v>7.6349999999999918E-2</v>
      </c>
      <c r="U27" s="513">
        <f t="shared" si="28"/>
        <v>7.6349999999999918E-2</v>
      </c>
      <c r="V27" s="513">
        <f t="shared" si="28"/>
        <v>7.6349999999999918E-2</v>
      </c>
      <c r="W27" s="513">
        <f t="shared" si="28"/>
        <v>7.635000000000014E-2</v>
      </c>
      <c r="X27" s="513">
        <f t="shared" si="28"/>
        <v>7.635000000000014E-2</v>
      </c>
      <c r="Y27" s="513">
        <f t="shared" si="28"/>
        <v>7.6349999999999918E-2</v>
      </c>
      <c r="Z27" s="513">
        <f t="shared" si="28"/>
        <v>7.6349999999999918E-2</v>
      </c>
      <c r="AA27" s="513">
        <f t="shared" si="28"/>
        <v>9.9906532407296744E-3</v>
      </c>
      <c r="AB27" s="513">
        <f t="shared" si="28"/>
        <v>3.2682093498725973E-3</v>
      </c>
      <c r="AC27" s="513">
        <f t="shared" si="28"/>
        <v>2.2831038833404094E-4</v>
      </c>
      <c r="AD27" s="513">
        <f t="shared" si="28"/>
        <v>-3.1790083454117379E-3</v>
      </c>
      <c r="AE27" s="513">
        <f t="shared" si="28"/>
        <v>-7.0228567282755172E-3</v>
      </c>
      <c r="AF27" s="513">
        <f t="shared" si="28"/>
        <v>-1.139082653502399E-2</v>
      </c>
      <c r="AG27" s="513">
        <f t="shared" si="28"/>
        <v>-1.6395612917729618E-2</v>
      </c>
      <c r="AH27" s="513">
        <f t="shared" si="28"/>
        <v>-2.2184702337517348E-2</v>
      </c>
      <c r="AI27" s="513">
        <f t="shared" si="28"/>
        <v>-2.8954922298575547E-2</v>
      </c>
      <c r="AJ27" s="513">
        <f t="shared" si="28"/>
        <v>-3.6974959189842171E-2</v>
      </c>
      <c r="AK27" s="513">
        <f t="shared" si="28"/>
        <v>-4.6621446571896596E-2</v>
      </c>
      <c r="AL27" s="513">
        <f t="shared" si="28"/>
        <v>-5.843923057956435E-2</v>
      </c>
      <c r="AM27" s="513">
        <f t="shared" si="28"/>
        <v>-7.3247084468956891E-2</v>
      </c>
      <c r="AN27" s="513">
        <f t="shared" si="28"/>
        <v>-9.2334609079951613E-2</v>
      </c>
      <c r="AO27" s="513">
        <f t="shared" si="28"/>
        <v>-0.11785748907245364</v>
      </c>
      <c r="AP27" s="513">
        <f t="shared" si="28"/>
        <v>-0.15371126965508208</v>
      </c>
      <c r="AQ27" s="513">
        <f t="shared" si="28"/>
        <v>-0.2077303831708559</v>
      </c>
      <c r="AR27" s="513">
        <f t="shared" si="28"/>
        <v>-0.29835072574746246</v>
      </c>
      <c r="AS27" s="513">
        <f t="shared" si="28"/>
        <v>-0.48170980676489272</v>
      </c>
      <c r="AT27" s="513">
        <f t="shared" si="28"/>
        <v>-1</v>
      </c>
      <c r="AU27" s="513" t="e">
        <f t="shared" si="28"/>
        <v>#DIV/0!</v>
      </c>
      <c r="AV27" s="513" t="e">
        <f t="shared" si="28"/>
        <v>#DIV/0!</v>
      </c>
      <c r="AW27" s="513" t="e">
        <f t="shared" si="28"/>
        <v>#DIV/0!</v>
      </c>
      <c r="AX27" s="513" t="e">
        <f t="shared" si="28"/>
        <v>#DIV/0!</v>
      </c>
      <c r="AY27" s="513" t="e">
        <f t="shared" si="28"/>
        <v>#DIV/0!</v>
      </c>
      <c r="AZ27" s="513" t="e">
        <f t="shared" si="28"/>
        <v>#DIV/0!</v>
      </c>
      <c r="BA27" s="513" t="e">
        <f t="shared" si="28"/>
        <v>#DIV/0!</v>
      </c>
      <c r="BB27" s="513" t="e">
        <f t="shared" si="28"/>
        <v>#DIV/0!</v>
      </c>
      <c r="BC27" s="513" t="e">
        <f t="shared" si="28"/>
        <v>#DIV/0!</v>
      </c>
      <c r="BD27" s="513" t="e">
        <f t="shared" si="28"/>
        <v>#DIV/0!</v>
      </c>
    </row>
    <row r="28" spans="2:56" x14ac:dyDescent="0.3">
      <c r="B28" s="45" t="s">
        <v>448</v>
      </c>
      <c r="C28" s="34" t="s">
        <v>20</v>
      </c>
      <c r="D28" s="48">
        <f>BD!D214</f>
        <v>0</v>
      </c>
      <c r="E28" s="48">
        <f>BD!E214</f>
        <v>0</v>
      </c>
      <c r="F28" s="48">
        <f>BD!F214</f>
        <v>0</v>
      </c>
      <c r="G28" s="48">
        <f>BD!G238</f>
        <v>181.4</v>
      </c>
      <c r="H28" s="48">
        <f>BD!H238</f>
        <v>224.7</v>
      </c>
      <c r="I28" s="48">
        <f>BD!I238</f>
        <v>248</v>
      </c>
      <c r="J28" s="48">
        <f>BD!J238</f>
        <v>283.10000000000002</v>
      </c>
      <c r="K28" s="48">
        <f>BD!K238</f>
        <v>265.39999999999998</v>
      </c>
      <c r="L28" s="48">
        <f>BD!L238</f>
        <v>252.1</v>
      </c>
      <c r="M28" s="48">
        <f>BD!M238</f>
        <v>252.8</v>
      </c>
      <c r="N28" s="48">
        <f>BD!N238</f>
        <v>259.60000000000002</v>
      </c>
      <c r="O28" s="101">
        <f t="shared" ref="O28:BD28" si="29">O30*O32</f>
        <v>271.28200000000004</v>
      </c>
      <c r="P28" s="101">
        <f t="shared" si="29"/>
        <v>283.48969</v>
      </c>
      <c r="Q28" s="101">
        <f t="shared" si="29"/>
        <v>296.24672605000001</v>
      </c>
      <c r="R28" s="101">
        <f t="shared" si="29"/>
        <v>309.57782872224999</v>
      </c>
      <c r="S28" s="101">
        <f t="shared" si="29"/>
        <v>323.50883101475119</v>
      </c>
      <c r="T28" s="101">
        <f t="shared" si="29"/>
        <v>338.06672841041501</v>
      </c>
      <c r="U28" s="101">
        <f t="shared" si="29"/>
        <v>353.27973118888366</v>
      </c>
      <c r="V28" s="101">
        <f t="shared" si="29"/>
        <v>369.17731909238336</v>
      </c>
      <c r="W28" s="101">
        <f t="shared" si="29"/>
        <v>385.79029845154059</v>
      </c>
      <c r="X28" s="101">
        <f t="shared" si="29"/>
        <v>403.1508618818599</v>
      </c>
      <c r="Y28" s="101">
        <f t="shared" si="29"/>
        <v>421.29265066654358</v>
      </c>
      <c r="Z28" s="101">
        <f t="shared" si="29"/>
        <v>440.250819946538</v>
      </c>
      <c r="AA28" s="101">
        <f t="shared" si="29"/>
        <v>460.06210684413219</v>
      </c>
      <c r="AB28" s="101">
        <f t="shared" si="29"/>
        <v>480.76490165211806</v>
      </c>
      <c r="AC28" s="101">
        <f t="shared" si="29"/>
        <v>502.39932222646331</v>
      </c>
      <c r="AD28" s="101">
        <f t="shared" si="29"/>
        <v>525.0072917266541</v>
      </c>
      <c r="AE28" s="101">
        <f t="shared" si="29"/>
        <v>548.63261985435349</v>
      </c>
      <c r="AF28" s="101">
        <f t="shared" si="29"/>
        <v>573.32108774779931</v>
      </c>
      <c r="AG28" s="101">
        <f t="shared" si="29"/>
        <v>599.12053669645024</v>
      </c>
      <c r="AH28" s="101">
        <f t="shared" si="29"/>
        <v>626.08096084779049</v>
      </c>
      <c r="AI28" s="101">
        <f t="shared" si="29"/>
        <v>654.25460408594108</v>
      </c>
      <c r="AJ28" s="101">
        <f t="shared" si="29"/>
        <v>683.69606126980841</v>
      </c>
      <c r="AK28" s="101">
        <f t="shared" si="29"/>
        <v>714.46238402694974</v>
      </c>
      <c r="AL28" s="101">
        <f t="shared" si="29"/>
        <v>746.6131913081623</v>
      </c>
      <c r="AM28" s="101">
        <f t="shared" si="29"/>
        <v>780.21078491702963</v>
      </c>
      <c r="AN28" s="101">
        <f t="shared" si="29"/>
        <v>815.32027023829596</v>
      </c>
      <c r="AO28" s="101">
        <f t="shared" si="29"/>
        <v>852.0096823990192</v>
      </c>
      <c r="AP28" s="101">
        <f t="shared" si="29"/>
        <v>890.35011810697495</v>
      </c>
      <c r="AQ28" s="101">
        <f t="shared" si="29"/>
        <v>930.41587342178877</v>
      </c>
      <c r="AR28" s="101">
        <f t="shared" si="29"/>
        <v>972.28458772576926</v>
      </c>
      <c r="AS28" s="101">
        <f t="shared" si="29"/>
        <v>1016.0373941734289</v>
      </c>
      <c r="AT28" s="101">
        <f t="shared" si="29"/>
        <v>1061.759076911233</v>
      </c>
      <c r="AU28" s="101">
        <f t="shared" si="29"/>
        <v>1109.5382353722384</v>
      </c>
      <c r="AV28" s="101">
        <f t="shared" si="29"/>
        <v>1159.4674559639891</v>
      </c>
      <c r="AW28" s="101">
        <f t="shared" si="29"/>
        <v>1211.6434914823685</v>
      </c>
      <c r="AX28" s="101">
        <f t="shared" si="29"/>
        <v>1266.167448599075</v>
      </c>
      <c r="AY28" s="101">
        <f t="shared" si="29"/>
        <v>1323.1449837860332</v>
      </c>
      <c r="AZ28" s="101">
        <f t="shared" si="29"/>
        <v>1382.6865080564046</v>
      </c>
      <c r="BA28" s="101">
        <f t="shared" si="29"/>
        <v>1444.9074009189428</v>
      </c>
      <c r="BB28" s="101">
        <f t="shared" si="29"/>
        <v>1509.9282339602951</v>
      </c>
      <c r="BC28" s="101">
        <f t="shared" si="29"/>
        <v>1577.8750044885082</v>
      </c>
      <c r="BD28" s="527">
        <f t="shared" si="29"/>
        <v>1648.8793796904911</v>
      </c>
    </row>
    <row r="29" spans="2:56" x14ac:dyDescent="0.3">
      <c r="B29" s="45"/>
      <c r="C29" s="34"/>
      <c r="D29" s="48"/>
      <c r="E29" s="48"/>
      <c r="F29" s="48"/>
      <c r="G29" s="48"/>
      <c r="H29" s="556">
        <f>H28/G28-1</f>
        <v>0.23869900771775066</v>
      </c>
      <c r="I29" s="556">
        <f t="shared" ref="I29:BD29" si="30">I28/H28-1</f>
        <v>0.10369381397418787</v>
      </c>
      <c r="J29" s="556">
        <f t="shared" si="30"/>
        <v>0.14153225806451619</v>
      </c>
      <c r="K29" s="556">
        <f t="shared" si="30"/>
        <v>-6.2522077004592225E-2</v>
      </c>
      <c r="L29" s="556">
        <f t="shared" si="30"/>
        <v>-5.0113036925395593E-2</v>
      </c>
      <c r="M29" s="556">
        <f t="shared" si="30"/>
        <v>2.7766759222531689E-3</v>
      </c>
      <c r="N29" s="556">
        <f t="shared" si="30"/>
        <v>2.6898734177215333E-2</v>
      </c>
      <c r="O29" s="556">
        <f>O28/N28-1</f>
        <v>4.5000000000000151E-2</v>
      </c>
      <c r="P29" s="556">
        <f t="shared" si="30"/>
        <v>4.4999999999999929E-2</v>
      </c>
      <c r="Q29" s="556">
        <f t="shared" si="30"/>
        <v>4.4999999999999929E-2</v>
      </c>
      <c r="R29" s="556">
        <f t="shared" si="30"/>
        <v>4.4999999999999929E-2</v>
      </c>
      <c r="S29" s="556">
        <f t="shared" si="30"/>
        <v>4.4999999999999929E-2</v>
      </c>
      <c r="T29" s="556">
        <f t="shared" si="30"/>
        <v>4.4999999999999929E-2</v>
      </c>
      <c r="U29" s="556">
        <f t="shared" si="30"/>
        <v>4.4999999999999929E-2</v>
      </c>
      <c r="V29" s="556">
        <f t="shared" si="30"/>
        <v>4.4999999999999707E-2</v>
      </c>
      <c r="W29" s="556">
        <f t="shared" si="30"/>
        <v>4.4999999999999929E-2</v>
      </c>
      <c r="X29" s="556">
        <f t="shared" si="30"/>
        <v>4.4999999999999929E-2</v>
      </c>
      <c r="Y29" s="556">
        <f t="shared" si="30"/>
        <v>4.4999999999999929E-2</v>
      </c>
      <c r="Z29" s="556">
        <f t="shared" si="30"/>
        <v>4.4999999999999929E-2</v>
      </c>
      <c r="AA29" s="556">
        <f t="shared" si="30"/>
        <v>4.4999999999999929E-2</v>
      </c>
      <c r="AB29" s="556">
        <f t="shared" si="30"/>
        <v>4.4999999999999929E-2</v>
      </c>
      <c r="AC29" s="556">
        <f t="shared" si="30"/>
        <v>4.4999999999999929E-2</v>
      </c>
      <c r="AD29" s="556">
        <f t="shared" si="30"/>
        <v>4.4999999999999929E-2</v>
      </c>
      <c r="AE29" s="556">
        <f t="shared" si="30"/>
        <v>4.4999999999999929E-2</v>
      </c>
      <c r="AF29" s="556">
        <f t="shared" si="30"/>
        <v>4.4999999999999929E-2</v>
      </c>
      <c r="AG29" s="556">
        <f t="shared" si="30"/>
        <v>4.4999999999999929E-2</v>
      </c>
      <c r="AH29" s="556">
        <f t="shared" si="30"/>
        <v>4.4999999999999929E-2</v>
      </c>
      <c r="AI29" s="556">
        <f t="shared" si="30"/>
        <v>4.4999999999999929E-2</v>
      </c>
      <c r="AJ29" s="556">
        <f t="shared" si="30"/>
        <v>4.4999999999999929E-2</v>
      </c>
      <c r="AK29" s="556">
        <f t="shared" si="30"/>
        <v>4.4999999999999929E-2</v>
      </c>
      <c r="AL29" s="556">
        <f t="shared" si="30"/>
        <v>4.4999999999999707E-2</v>
      </c>
      <c r="AM29" s="556">
        <f t="shared" si="30"/>
        <v>4.4999999999999929E-2</v>
      </c>
      <c r="AN29" s="556">
        <f t="shared" si="30"/>
        <v>4.4999999999999929E-2</v>
      </c>
      <c r="AO29" s="556">
        <f t="shared" si="30"/>
        <v>4.4999999999999929E-2</v>
      </c>
      <c r="AP29" s="556">
        <f t="shared" si="30"/>
        <v>4.4999999999999929E-2</v>
      </c>
      <c r="AQ29" s="556">
        <f t="shared" si="30"/>
        <v>4.4999999999999929E-2</v>
      </c>
      <c r="AR29" s="556">
        <f t="shared" si="30"/>
        <v>4.4999999999999929E-2</v>
      </c>
      <c r="AS29" s="556">
        <f t="shared" si="30"/>
        <v>4.4999999999999929E-2</v>
      </c>
      <c r="AT29" s="556">
        <f t="shared" si="30"/>
        <v>4.4999999999999929E-2</v>
      </c>
      <c r="AU29" s="556">
        <f t="shared" si="30"/>
        <v>4.4999999999999929E-2</v>
      </c>
      <c r="AV29" s="556">
        <f t="shared" si="30"/>
        <v>4.4999999999999929E-2</v>
      </c>
      <c r="AW29" s="556">
        <f t="shared" si="30"/>
        <v>4.4999999999999929E-2</v>
      </c>
      <c r="AX29" s="556">
        <f t="shared" si="30"/>
        <v>4.4999999999999929E-2</v>
      </c>
      <c r="AY29" s="556">
        <f t="shared" si="30"/>
        <v>4.4999999999999929E-2</v>
      </c>
      <c r="AZ29" s="556">
        <f t="shared" si="30"/>
        <v>4.4999999999999929E-2</v>
      </c>
      <c r="BA29" s="556">
        <f t="shared" si="30"/>
        <v>4.4999999999999929E-2</v>
      </c>
      <c r="BB29" s="556">
        <f t="shared" si="30"/>
        <v>4.4999999999999929E-2</v>
      </c>
      <c r="BC29" s="556">
        <f t="shared" si="30"/>
        <v>4.4999999999999929E-2</v>
      </c>
      <c r="BD29" s="556">
        <f t="shared" si="30"/>
        <v>4.4999999999999929E-2</v>
      </c>
    </row>
    <row r="30" spans="2:56" x14ac:dyDescent="0.3">
      <c r="B30" s="45" t="s">
        <v>496</v>
      </c>
      <c r="C30" s="34"/>
      <c r="D30" s="48"/>
      <c r="E30" s="48"/>
      <c r="F30" s="48">
        <f>BD!F194</f>
        <v>0</v>
      </c>
      <c r="G30" s="48">
        <f>BD!G194</f>
        <v>193</v>
      </c>
      <c r="H30" s="48">
        <f>BD!H194</f>
        <v>231</v>
      </c>
      <c r="I30" s="48">
        <f>BD!I194</f>
        <v>241</v>
      </c>
      <c r="J30" s="48">
        <f>BD!J194</f>
        <v>239</v>
      </c>
      <c r="K30" s="48">
        <f>BD!K194</f>
        <v>229</v>
      </c>
      <c r="L30" s="48">
        <f>BD!L194</f>
        <v>223</v>
      </c>
      <c r="M30" s="48">
        <f>BD!M194</f>
        <v>231</v>
      </c>
      <c r="N30" s="48">
        <f>BD!N194</f>
        <v>232</v>
      </c>
      <c r="O30" s="518">
        <f>N30+O31</f>
        <v>232</v>
      </c>
      <c r="P30" s="518">
        <f t="shared" ref="P30:BD30" si="31">O30+P31</f>
        <v>232</v>
      </c>
      <c r="Q30" s="518">
        <f t="shared" si="31"/>
        <v>232</v>
      </c>
      <c r="R30" s="518">
        <f t="shared" si="31"/>
        <v>232</v>
      </c>
      <c r="S30" s="518">
        <f t="shared" si="31"/>
        <v>232</v>
      </c>
      <c r="T30" s="518">
        <f t="shared" si="31"/>
        <v>232</v>
      </c>
      <c r="U30" s="518">
        <f t="shared" si="31"/>
        <v>232</v>
      </c>
      <c r="V30" s="518">
        <f t="shared" si="31"/>
        <v>232</v>
      </c>
      <c r="W30" s="518">
        <f t="shared" si="31"/>
        <v>232</v>
      </c>
      <c r="X30" s="518">
        <f t="shared" si="31"/>
        <v>232</v>
      </c>
      <c r="Y30" s="518">
        <f t="shared" si="31"/>
        <v>232</v>
      </c>
      <c r="Z30" s="518">
        <f t="shared" si="31"/>
        <v>232</v>
      </c>
      <c r="AA30" s="518">
        <f t="shared" si="31"/>
        <v>232</v>
      </c>
      <c r="AB30" s="518">
        <f t="shared" si="31"/>
        <v>232</v>
      </c>
      <c r="AC30" s="518">
        <f t="shared" si="31"/>
        <v>232</v>
      </c>
      <c r="AD30" s="518">
        <f t="shared" si="31"/>
        <v>232</v>
      </c>
      <c r="AE30" s="518">
        <f t="shared" si="31"/>
        <v>232</v>
      </c>
      <c r="AF30" s="518">
        <f t="shared" si="31"/>
        <v>232</v>
      </c>
      <c r="AG30" s="518">
        <f t="shared" si="31"/>
        <v>232</v>
      </c>
      <c r="AH30" s="518">
        <f t="shared" si="31"/>
        <v>232</v>
      </c>
      <c r="AI30" s="518">
        <f t="shared" si="31"/>
        <v>232</v>
      </c>
      <c r="AJ30" s="518">
        <f t="shared" si="31"/>
        <v>232</v>
      </c>
      <c r="AK30" s="518">
        <f t="shared" si="31"/>
        <v>232</v>
      </c>
      <c r="AL30" s="518">
        <f t="shared" si="31"/>
        <v>232</v>
      </c>
      <c r="AM30" s="518">
        <f t="shared" si="31"/>
        <v>232</v>
      </c>
      <c r="AN30" s="518">
        <f t="shared" si="31"/>
        <v>232</v>
      </c>
      <c r="AO30" s="518">
        <f t="shared" si="31"/>
        <v>232</v>
      </c>
      <c r="AP30" s="518">
        <f t="shared" si="31"/>
        <v>232</v>
      </c>
      <c r="AQ30" s="518">
        <f t="shared" si="31"/>
        <v>232</v>
      </c>
      <c r="AR30" s="518">
        <f t="shared" si="31"/>
        <v>232</v>
      </c>
      <c r="AS30" s="518">
        <f t="shared" si="31"/>
        <v>232</v>
      </c>
      <c r="AT30" s="518">
        <f t="shared" si="31"/>
        <v>232</v>
      </c>
      <c r="AU30" s="518">
        <f t="shared" si="31"/>
        <v>232</v>
      </c>
      <c r="AV30" s="518">
        <f t="shared" si="31"/>
        <v>232</v>
      </c>
      <c r="AW30" s="518">
        <f t="shared" si="31"/>
        <v>232</v>
      </c>
      <c r="AX30" s="518">
        <f t="shared" si="31"/>
        <v>232</v>
      </c>
      <c r="AY30" s="518">
        <f t="shared" si="31"/>
        <v>232</v>
      </c>
      <c r="AZ30" s="518">
        <f t="shared" si="31"/>
        <v>232</v>
      </c>
      <c r="BA30" s="518">
        <f t="shared" si="31"/>
        <v>232</v>
      </c>
      <c r="BB30" s="518">
        <f t="shared" si="31"/>
        <v>232</v>
      </c>
      <c r="BC30" s="518">
        <f t="shared" si="31"/>
        <v>232</v>
      </c>
      <c r="BD30" s="518">
        <f t="shared" si="31"/>
        <v>232</v>
      </c>
    </row>
    <row r="31" spans="2:56" x14ac:dyDescent="0.3">
      <c r="B31" s="558" t="s">
        <v>498</v>
      </c>
      <c r="C31" s="34"/>
      <c r="D31" s="48"/>
      <c r="E31" s="48"/>
      <c r="F31" s="48"/>
      <c r="G31" s="48"/>
      <c r="H31" s="555">
        <f t="shared" ref="H31:N31" si="32">H30-G30</f>
        <v>38</v>
      </c>
      <c r="I31" s="555">
        <f t="shared" si="32"/>
        <v>10</v>
      </c>
      <c r="J31" s="555">
        <f t="shared" si="32"/>
        <v>-2</v>
      </c>
      <c r="K31" s="555">
        <f t="shared" si="32"/>
        <v>-10</v>
      </c>
      <c r="L31" s="555">
        <f t="shared" si="32"/>
        <v>-6</v>
      </c>
      <c r="M31" s="555">
        <f t="shared" si="32"/>
        <v>8</v>
      </c>
      <c r="N31" s="555">
        <f t="shared" si="32"/>
        <v>1</v>
      </c>
      <c r="O31" s="559">
        <v>0</v>
      </c>
      <c r="P31" s="559">
        <v>0</v>
      </c>
      <c r="Q31" s="559">
        <v>0</v>
      </c>
      <c r="R31" s="559">
        <v>0</v>
      </c>
      <c r="S31" s="559">
        <v>0</v>
      </c>
      <c r="T31" s="559">
        <v>0</v>
      </c>
      <c r="U31" s="559">
        <v>0</v>
      </c>
      <c r="V31" s="518">
        <f>U31</f>
        <v>0</v>
      </c>
      <c r="W31" s="518">
        <f t="shared" ref="W31:BD31" si="33">V31</f>
        <v>0</v>
      </c>
      <c r="X31" s="518">
        <f t="shared" si="33"/>
        <v>0</v>
      </c>
      <c r="Y31" s="518">
        <f t="shared" si="33"/>
        <v>0</v>
      </c>
      <c r="Z31" s="518">
        <f t="shared" si="33"/>
        <v>0</v>
      </c>
      <c r="AA31" s="518">
        <f t="shared" si="33"/>
        <v>0</v>
      </c>
      <c r="AB31" s="518">
        <f t="shared" si="33"/>
        <v>0</v>
      </c>
      <c r="AC31" s="518">
        <f t="shared" si="33"/>
        <v>0</v>
      </c>
      <c r="AD31" s="518">
        <f t="shared" si="33"/>
        <v>0</v>
      </c>
      <c r="AE31" s="518">
        <f t="shared" si="33"/>
        <v>0</v>
      </c>
      <c r="AF31" s="518">
        <f t="shared" si="33"/>
        <v>0</v>
      </c>
      <c r="AG31" s="518">
        <f t="shared" si="33"/>
        <v>0</v>
      </c>
      <c r="AH31" s="518">
        <f t="shared" si="33"/>
        <v>0</v>
      </c>
      <c r="AI31" s="518">
        <f t="shared" si="33"/>
        <v>0</v>
      </c>
      <c r="AJ31" s="518">
        <f t="shared" si="33"/>
        <v>0</v>
      </c>
      <c r="AK31" s="518">
        <f t="shared" si="33"/>
        <v>0</v>
      </c>
      <c r="AL31" s="518">
        <f t="shared" si="33"/>
        <v>0</v>
      </c>
      <c r="AM31" s="518">
        <f t="shared" si="33"/>
        <v>0</v>
      </c>
      <c r="AN31" s="518">
        <f t="shared" si="33"/>
        <v>0</v>
      </c>
      <c r="AO31" s="518">
        <f t="shared" si="33"/>
        <v>0</v>
      </c>
      <c r="AP31" s="518">
        <f t="shared" si="33"/>
        <v>0</v>
      </c>
      <c r="AQ31" s="518">
        <f t="shared" si="33"/>
        <v>0</v>
      </c>
      <c r="AR31" s="518">
        <f t="shared" si="33"/>
        <v>0</v>
      </c>
      <c r="AS31" s="518">
        <f t="shared" si="33"/>
        <v>0</v>
      </c>
      <c r="AT31" s="518">
        <f t="shared" si="33"/>
        <v>0</v>
      </c>
      <c r="AU31" s="518">
        <f t="shared" si="33"/>
        <v>0</v>
      </c>
      <c r="AV31" s="518">
        <f t="shared" si="33"/>
        <v>0</v>
      </c>
      <c r="AW31" s="518">
        <f t="shared" si="33"/>
        <v>0</v>
      </c>
      <c r="AX31" s="518">
        <f t="shared" si="33"/>
        <v>0</v>
      </c>
      <c r="AY31" s="518">
        <f t="shared" si="33"/>
        <v>0</v>
      </c>
      <c r="AZ31" s="518">
        <f t="shared" si="33"/>
        <v>0</v>
      </c>
      <c r="BA31" s="518">
        <f t="shared" si="33"/>
        <v>0</v>
      </c>
      <c r="BB31" s="518">
        <f t="shared" si="33"/>
        <v>0</v>
      </c>
      <c r="BC31" s="518">
        <f t="shared" si="33"/>
        <v>0</v>
      </c>
      <c r="BD31" s="518">
        <f t="shared" si="33"/>
        <v>0</v>
      </c>
    </row>
    <row r="32" spans="2:56" x14ac:dyDescent="0.3">
      <c r="B32" s="45" t="s">
        <v>491</v>
      </c>
      <c r="C32" s="34"/>
      <c r="D32" s="48"/>
      <c r="E32" s="48"/>
      <c r="F32" s="48"/>
      <c r="G32" s="517">
        <f t="shared" ref="G32:M32" si="34">G28/G30</f>
        <v>0.9398963730569948</v>
      </c>
      <c r="H32" s="517">
        <f t="shared" si="34"/>
        <v>0.97272727272727266</v>
      </c>
      <c r="I32" s="517">
        <f t="shared" si="34"/>
        <v>1.0290456431535269</v>
      </c>
      <c r="J32" s="517">
        <f t="shared" si="34"/>
        <v>1.1845188284518828</v>
      </c>
      <c r="K32" s="517">
        <f t="shared" si="34"/>
        <v>1.158951965065502</v>
      </c>
      <c r="L32" s="517">
        <f t="shared" si="34"/>
        <v>1.1304932735426008</v>
      </c>
      <c r="M32" s="517">
        <f t="shared" si="34"/>
        <v>1.0943722943722944</v>
      </c>
      <c r="N32" s="517">
        <f t="shared" ref="N32" si="35">N28/N30</f>
        <v>1.1189655172413795</v>
      </c>
      <c r="O32" s="519">
        <f>N32*(1+O33)</f>
        <v>1.1693189655172416</v>
      </c>
      <c r="P32" s="519">
        <f t="shared" ref="P32:BD32" si="36">O32*(1+P33)</f>
        <v>1.2219383189655173</v>
      </c>
      <c r="Q32" s="519">
        <f t="shared" si="36"/>
        <v>1.2769255433189655</v>
      </c>
      <c r="R32" s="519">
        <f t="shared" si="36"/>
        <v>1.3343871927683189</v>
      </c>
      <c r="S32" s="519">
        <f t="shared" si="36"/>
        <v>1.3944346164428931</v>
      </c>
      <c r="T32" s="519">
        <f t="shared" si="36"/>
        <v>1.4571841741828233</v>
      </c>
      <c r="U32" s="519">
        <f t="shared" si="36"/>
        <v>1.5227574620210502</v>
      </c>
      <c r="V32" s="519">
        <f t="shared" si="36"/>
        <v>1.5912815478119973</v>
      </c>
      <c r="W32" s="519">
        <f t="shared" si="36"/>
        <v>1.662889217463537</v>
      </c>
      <c r="X32" s="519">
        <f t="shared" si="36"/>
        <v>1.7377192322493962</v>
      </c>
      <c r="Y32" s="519">
        <f t="shared" si="36"/>
        <v>1.8159165977006189</v>
      </c>
      <c r="Z32" s="519">
        <f t="shared" si="36"/>
        <v>1.8976328445971467</v>
      </c>
      <c r="AA32" s="519">
        <f t="shared" si="36"/>
        <v>1.9830263226040181</v>
      </c>
      <c r="AB32" s="519">
        <f t="shared" si="36"/>
        <v>2.0722625071211986</v>
      </c>
      <c r="AC32" s="519">
        <f t="shared" si="36"/>
        <v>2.1655143199416522</v>
      </c>
      <c r="AD32" s="519">
        <f t="shared" si="36"/>
        <v>2.2629624643390263</v>
      </c>
      <c r="AE32" s="519">
        <f t="shared" si="36"/>
        <v>2.3647957752342821</v>
      </c>
      <c r="AF32" s="519">
        <f t="shared" si="36"/>
        <v>2.4712115851198244</v>
      </c>
      <c r="AG32" s="519">
        <f t="shared" si="36"/>
        <v>2.5824161064502165</v>
      </c>
      <c r="AH32" s="519">
        <f t="shared" si="36"/>
        <v>2.6986248312404761</v>
      </c>
      <c r="AI32" s="519">
        <f t="shared" si="36"/>
        <v>2.8200629486462976</v>
      </c>
      <c r="AJ32" s="519">
        <f t="shared" si="36"/>
        <v>2.9469657813353809</v>
      </c>
      <c r="AK32" s="519">
        <f t="shared" si="36"/>
        <v>3.0795792414954728</v>
      </c>
      <c r="AL32" s="519">
        <f t="shared" si="36"/>
        <v>3.2181603073627687</v>
      </c>
      <c r="AM32" s="519">
        <f t="shared" si="36"/>
        <v>3.3629775211940931</v>
      </c>
      <c r="AN32" s="519">
        <f t="shared" si="36"/>
        <v>3.5143115096478272</v>
      </c>
      <c r="AO32" s="519">
        <f t="shared" si="36"/>
        <v>3.6724555275819792</v>
      </c>
      <c r="AP32" s="519">
        <f t="shared" si="36"/>
        <v>3.837716026323168</v>
      </c>
      <c r="AQ32" s="519">
        <f t="shared" si="36"/>
        <v>4.0104132475077101</v>
      </c>
      <c r="AR32" s="519">
        <f t="shared" si="36"/>
        <v>4.190881843645557</v>
      </c>
      <c r="AS32" s="519">
        <f t="shared" si="36"/>
        <v>4.3794715266096071</v>
      </c>
      <c r="AT32" s="519">
        <f t="shared" si="36"/>
        <v>4.5765477453070389</v>
      </c>
      <c r="AU32" s="519">
        <f t="shared" si="36"/>
        <v>4.782492393845855</v>
      </c>
      <c r="AV32" s="519">
        <f t="shared" si="36"/>
        <v>4.9977045515689182</v>
      </c>
      <c r="AW32" s="519">
        <f t="shared" si="36"/>
        <v>5.2226012563895194</v>
      </c>
      <c r="AX32" s="519">
        <f t="shared" si="36"/>
        <v>5.457618312927047</v>
      </c>
      <c r="AY32" s="519">
        <f t="shared" si="36"/>
        <v>5.7032111370087639</v>
      </c>
      <c r="AZ32" s="519">
        <f t="shared" si="36"/>
        <v>5.9598556381741581</v>
      </c>
      <c r="BA32" s="519">
        <f t="shared" si="36"/>
        <v>6.2280491418919945</v>
      </c>
      <c r="BB32" s="519">
        <f t="shared" si="36"/>
        <v>6.5083113532771337</v>
      </c>
      <c r="BC32" s="519">
        <f t="shared" si="36"/>
        <v>6.8011853641746045</v>
      </c>
      <c r="BD32" s="528">
        <f t="shared" si="36"/>
        <v>7.1072387055624615</v>
      </c>
    </row>
    <row r="33" spans="2:56" x14ac:dyDescent="0.3">
      <c r="B33" s="42"/>
      <c r="C33" s="529"/>
      <c r="D33" s="49"/>
      <c r="E33" s="49"/>
      <c r="F33" s="49"/>
      <c r="G33" s="49"/>
      <c r="H33" s="49"/>
      <c r="I33" s="530">
        <f t="shared" ref="I33:N33" si="37">I32/H32-1</f>
        <v>5.7897390157831463E-2</v>
      </c>
      <c r="J33" s="530">
        <f t="shared" si="37"/>
        <v>0.15108482926170885</v>
      </c>
      <c r="K33" s="530">
        <f t="shared" si="37"/>
        <v>-2.1584176437107083E-2</v>
      </c>
      <c r="L33" s="530">
        <f t="shared" si="37"/>
        <v>-2.4555540161056433E-2</v>
      </c>
      <c r="M33" s="530">
        <f t="shared" si="37"/>
        <v>-3.1951520646482767E-2</v>
      </c>
      <c r="N33" s="530">
        <f t="shared" si="37"/>
        <v>2.247244652989977E-2</v>
      </c>
      <c r="O33" s="531">
        <f t="shared" ref="O33:BD33" si="38">O8</f>
        <v>4.4999999999999998E-2</v>
      </c>
      <c r="P33" s="531">
        <f t="shared" si="38"/>
        <v>4.4999999999999998E-2</v>
      </c>
      <c r="Q33" s="531">
        <f t="shared" si="38"/>
        <v>4.4999999999999998E-2</v>
      </c>
      <c r="R33" s="531">
        <f t="shared" si="38"/>
        <v>4.4999999999999998E-2</v>
      </c>
      <c r="S33" s="531">
        <f t="shared" si="38"/>
        <v>4.4999999999999998E-2</v>
      </c>
      <c r="T33" s="531">
        <f t="shared" si="38"/>
        <v>4.4999999999999998E-2</v>
      </c>
      <c r="U33" s="531">
        <f t="shared" si="38"/>
        <v>4.4999999999999998E-2</v>
      </c>
      <c r="V33" s="531">
        <f t="shared" si="38"/>
        <v>4.4999999999999998E-2</v>
      </c>
      <c r="W33" s="531">
        <f t="shared" si="38"/>
        <v>4.4999999999999998E-2</v>
      </c>
      <c r="X33" s="531">
        <f t="shared" si="38"/>
        <v>4.4999999999999998E-2</v>
      </c>
      <c r="Y33" s="531">
        <f t="shared" si="38"/>
        <v>4.4999999999999998E-2</v>
      </c>
      <c r="Z33" s="531">
        <f t="shared" si="38"/>
        <v>4.4999999999999998E-2</v>
      </c>
      <c r="AA33" s="531">
        <f t="shared" si="38"/>
        <v>4.4999999999999998E-2</v>
      </c>
      <c r="AB33" s="531">
        <f t="shared" si="38"/>
        <v>4.4999999999999998E-2</v>
      </c>
      <c r="AC33" s="531">
        <f t="shared" si="38"/>
        <v>4.4999999999999998E-2</v>
      </c>
      <c r="AD33" s="531">
        <f t="shared" si="38"/>
        <v>4.4999999999999998E-2</v>
      </c>
      <c r="AE33" s="531">
        <f t="shared" si="38"/>
        <v>4.4999999999999998E-2</v>
      </c>
      <c r="AF33" s="531">
        <f t="shared" si="38"/>
        <v>4.4999999999999998E-2</v>
      </c>
      <c r="AG33" s="531">
        <f t="shared" si="38"/>
        <v>4.4999999999999998E-2</v>
      </c>
      <c r="AH33" s="531">
        <f t="shared" si="38"/>
        <v>4.4999999999999998E-2</v>
      </c>
      <c r="AI33" s="531">
        <f t="shared" si="38"/>
        <v>4.4999999999999998E-2</v>
      </c>
      <c r="AJ33" s="531">
        <f t="shared" si="38"/>
        <v>4.4999999999999998E-2</v>
      </c>
      <c r="AK33" s="531">
        <f t="shared" si="38"/>
        <v>4.4999999999999998E-2</v>
      </c>
      <c r="AL33" s="531">
        <f t="shared" si="38"/>
        <v>4.4999999999999998E-2</v>
      </c>
      <c r="AM33" s="531">
        <f t="shared" si="38"/>
        <v>4.4999999999999998E-2</v>
      </c>
      <c r="AN33" s="531">
        <f t="shared" si="38"/>
        <v>4.4999999999999998E-2</v>
      </c>
      <c r="AO33" s="531">
        <f t="shared" si="38"/>
        <v>4.4999999999999998E-2</v>
      </c>
      <c r="AP33" s="531">
        <f t="shared" si="38"/>
        <v>4.4999999999999998E-2</v>
      </c>
      <c r="AQ33" s="531">
        <f t="shared" si="38"/>
        <v>4.4999999999999998E-2</v>
      </c>
      <c r="AR33" s="531">
        <f t="shared" si="38"/>
        <v>4.4999999999999998E-2</v>
      </c>
      <c r="AS33" s="531">
        <f t="shared" si="38"/>
        <v>4.4999999999999998E-2</v>
      </c>
      <c r="AT33" s="531">
        <f t="shared" si="38"/>
        <v>4.4999999999999998E-2</v>
      </c>
      <c r="AU33" s="531">
        <f t="shared" si="38"/>
        <v>4.4999999999999998E-2</v>
      </c>
      <c r="AV33" s="531">
        <f t="shared" si="38"/>
        <v>4.4999999999999998E-2</v>
      </c>
      <c r="AW33" s="531">
        <f t="shared" si="38"/>
        <v>4.4999999999999998E-2</v>
      </c>
      <c r="AX33" s="531">
        <f t="shared" si="38"/>
        <v>4.4999999999999998E-2</v>
      </c>
      <c r="AY33" s="531">
        <f t="shared" si="38"/>
        <v>4.4999999999999998E-2</v>
      </c>
      <c r="AZ33" s="531">
        <f t="shared" si="38"/>
        <v>4.4999999999999998E-2</v>
      </c>
      <c r="BA33" s="531">
        <f t="shared" si="38"/>
        <v>4.4999999999999998E-2</v>
      </c>
      <c r="BB33" s="531">
        <f t="shared" si="38"/>
        <v>4.4999999999999998E-2</v>
      </c>
      <c r="BC33" s="531">
        <f t="shared" si="38"/>
        <v>4.4999999999999998E-2</v>
      </c>
      <c r="BD33" s="532">
        <f t="shared" si="38"/>
        <v>4.4999999999999998E-2</v>
      </c>
    </row>
    <row r="34" spans="2:56" x14ac:dyDescent="0.3">
      <c r="B34" s="34"/>
      <c r="C34" s="34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</row>
    <row r="35" spans="2:56" s="31" customFormat="1" x14ac:dyDescent="0.3">
      <c r="B35" s="35" t="s">
        <v>78</v>
      </c>
      <c r="C35" s="35" t="s">
        <v>15</v>
      </c>
      <c r="D35" s="56">
        <f>BD!D236</f>
        <v>0</v>
      </c>
      <c r="E35" s="56">
        <f>BD!E236</f>
        <v>0</v>
      </c>
      <c r="F35" s="56">
        <f>BD!F236</f>
        <v>0</v>
      </c>
      <c r="G35" s="56">
        <f>BD!G236</f>
        <v>465.9</v>
      </c>
      <c r="H35" s="56">
        <f>BD!H236</f>
        <v>663.3</v>
      </c>
      <c r="I35" s="56">
        <f>BD!I236</f>
        <v>713.1</v>
      </c>
      <c r="J35" s="56">
        <f>BD!J236</f>
        <v>698.2</v>
      </c>
      <c r="K35" s="56">
        <f>BD!K236</f>
        <v>923.8</v>
      </c>
      <c r="L35" s="56">
        <f>BD!L236</f>
        <v>965.2</v>
      </c>
      <c r="M35" s="56">
        <f>BD!M236</f>
        <v>784.6</v>
      </c>
      <c r="N35" s="56">
        <f>BD!N236</f>
        <v>864.5</v>
      </c>
      <c r="O35" s="57">
        <f>N35*(1+O36)</f>
        <v>886.11249999999995</v>
      </c>
      <c r="P35" s="57">
        <f t="shared" ref="P35:BD35" si="39">O35*(1+P36)</f>
        <v>908.26531249999982</v>
      </c>
      <c r="Q35" s="57">
        <f t="shared" si="39"/>
        <v>930.97194531249977</v>
      </c>
      <c r="R35" s="57">
        <f t="shared" si="39"/>
        <v>954.24624394531213</v>
      </c>
      <c r="S35" s="57">
        <f t="shared" si="39"/>
        <v>978.10240004394484</v>
      </c>
      <c r="T35" s="57">
        <f t="shared" si="39"/>
        <v>1002.5549600450433</v>
      </c>
      <c r="U35" s="57">
        <f t="shared" si="39"/>
        <v>1027.6188340461692</v>
      </c>
      <c r="V35" s="57">
        <f t="shared" si="39"/>
        <v>1053.3093048973233</v>
      </c>
      <c r="W35" s="57">
        <f t="shared" si="39"/>
        <v>1079.6420375197563</v>
      </c>
      <c r="X35" s="57">
        <f t="shared" si="39"/>
        <v>1106.6330884577501</v>
      </c>
      <c r="Y35" s="57">
        <f t="shared" si="39"/>
        <v>1134.2989156691938</v>
      </c>
      <c r="Z35" s="57">
        <f t="shared" si="39"/>
        <v>1162.6563885609235</v>
      </c>
      <c r="AA35" s="57">
        <f t="shared" si="39"/>
        <v>1191.7227982749464</v>
      </c>
      <c r="AB35" s="57">
        <f t="shared" si="39"/>
        <v>1221.5158682318199</v>
      </c>
      <c r="AC35" s="57">
        <f t="shared" si="39"/>
        <v>1252.0537649376154</v>
      </c>
      <c r="AD35" s="57">
        <f t="shared" si="39"/>
        <v>1283.3551090610556</v>
      </c>
      <c r="AE35" s="57">
        <f t="shared" si="39"/>
        <v>1315.4389867875818</v>
      </c>
      <c r="AF35" s="57">
        <f t="shared" si="39"/>
        <v>1348.3249614572712</v>
      </c>
      <c r="AG35" s="57">
        <f t="shared" si="39"/>
        <v>1382.0330854937029</v>
      </c>
      <c r="AH35" s="57">
        <f t="shared" si="39"/>
        <v>1416.5839126310452</v>
      </c>
      <c r="AI35" s="57">
        <f t="shared" si="39"/>
        <v>1451.9985104468212</v>
      </c>
      <c r="AJ35" s="57">
        <f t="shared" si="39"/>
        <v>1488.2984732079917</v>
      </c>
      <c r="AK35" s="57">
        <f t="shared" si="39"/>
        <v>1525.5059350381914</v>
      </c>
      <c r="AL35" s="57">
        <f t="shared" si="39"/>
        <v>1563.643583414146</v>
      </c>
      <c r="AM35" s="57">
        <f t="shared" si="39"/>
        <v>1602.7346729994995</v>
      </c>
      <c r="AN35" s="57">
        <f t="shared" si="39"/>
        <v>1642.8030398244869</v>
      </c>
      <c r="AO35" s="57">
        <f t="shared" si="39"/>
        <v>1683.873115820099</v>
      </c>
      <c r="AP35" s="57">
        <f t="shared" si="39"/>
        <v>1725.9699437156014</v>
      </c>
      <c r="AQ35" s="57">
        <f t="shared" si="39"/>
        <v>1769.1191923084914</v>
      </c>
      <c r="AR35" s="57">
        <f t="shared" si="39"/>
        <v>1813.3471721162034</v>
      </c>
      <c r="AS35" s="57">
        <f t="shared" si="39"/>
        <v>1858.6808514191084</v>
      </c>
      <c r="AT35" s="57">
        <f t="shared" si="39"/>
        <v>1905.147872704586</v>
      </c>
      <c r="AU35" s="57">
        <f t="shared" si="39"/>
        <v>1952.7765695222006</v>
      </c>
      <c r="AV35" s="57">
        <f t="shared" si="39"/>
        <v>2001.5959837602554</v>
      </c>
      <c r="AW35" s="57">
        <f t="shared" si="39"/>
        <v>2051.6358833542618</v>
      </c>
      <c r="AX35" s="57">
        <f t="shared" si="39"/>
        <v>2102.9267804381179</v>
      </c>
      <c r="AY35" s="57">
        <f t="shared" si="39"/>
        <v>2155.4999499490705</v>
      </c>
      <c r="AZ35" s="57">
        <f t="shared" si="39"/>
        <v>2209.387448697797</v>
      </c>
      <c r="BA35" s="57">
        <f t="shared" si="39"/>
        <v>2264.6221349152415</v>
      </c>
      <c r="BB35" s="57">
        <f t="shared" si="39"/>
        <v>2321.2376882881222</v>
      </c>
      <c r="BC35" s="57">
        <f t="shared" si="39"/>
        <v>2379.2686304953249</v>
      </c>
      <c r="BD35" s="523">
        <f t="shared" si="39"/>
        <v>2438.7503462577079</v>
      </c>
    </row>
    <row r="36" spans="2:56" s="31" customFormat="1" x14ac:dyDescent="0.3">
      <c r="B36" s="560" t="s">
        <v>499</v>
      </c>
      <c r="C36" s="529"/>
      <c r="D36" s="533"/>
      <c r="E36" s="533"/>
      <c r="F36" s="533"/>
      <c r="G36" s="534" t="e">
        <f t="shared" ref="G36:L36" si="40">G35/F35-1</f>
        <v>#DIV/0!</v>
      </c>
      <c r="H36" s="534">
        <f t="shared" si="40"/>
        <v>0.42369607211848037</v>
      </c>
      <c r="I36" s="534">
        <f t="shared" si="40"/>
        <v>7.507914970601548E-2</v>
      </c>
      <c r="J36" s="534">
        <f t="shared" si="40"/>
        <v>-2.0894685177394456E-2</v>
      </c>
      <c r="K36" s="534">
        <f t="shared" si="40"/>
        <v>0.32311658550558575</v>
      </c>
      <c r="L36" s="534">
        <f t="shared" si="40"/>
        <v>4.4814894998917554E-2</v>
      </c>
      <c r="M36" s="534">
        <f>M35/L35-1</f>
        <v>-0.18711147948611684</v>
      </c>
      <c r="N36" s="534">
        <f>N35/M35-1</f>
        <v>0.10183533010451185</v>
      </c>
      <c r="O36" s="535">
        <f t="shared" ref="O36:BD36" si="41">O9</f>
        <v>2.5000000000000001E-2</v>
      </c>
      <c r="P36" s="535">
        <f t="shared" si="41"/>
        <v>2.5000000000000001E-2</v>
      </c>
      <c r="Q36" s="535">
        <f t="shared" si="41"/>
        <v>2.5000000000000001E-2</v>
      </c>
      <c r="R36" s="535">
        <f t="shared" si="41"/>
        <v>2.5000000000000001E-2</v>
      </c>
      <c r="S36" s="535">
        <f t="shared" si="41"/>
        <v>2.5000000000000001E-2</v>
      </c>
      <c r="T36" s="535">
        <f t="shared" si="41"/>
        <v>2.5000000000000001E-2</v>
      </c>
      <c r="U36" s="535">
        <f t="shared" si="41"/>
        <v>2.5000000000000001E-2</v>
      </c>
      <c r="V36" s="535">
        <f t="shared" si="41"/>
        <v>2.5000000000000001E-2</v>
      </c>
      <c r="W36" s="535">
        <f t="shared" si="41"/>
        <v>2.5000000000000001E-2</v>
      </c>
      <c r="X36" s="535">
        <f t="shared" si="41"/>
        <v>2.5000000000000001E-2</v>
      </c>
      <c r="Y36" s="535">
        <f t="shared" si="41"/>
        <v>2.5000000000000001E-2</v>
      </c>
      <c r="Z36" s="535">
        <f t="shared" si="41"/>
        <v>2.5000000000000001E-2</v>
      </c>
      <c r="AA36" s="535">
        <f t="shared" si="41"/>
        <v>2.5000000000000001E-2</v>
      </c>
      <c r="AB36" s="535">
        <f t="shared" si="41"/>
        <v>2.5000000000000001E-2</v>
      </c>
      <c r="AC36" s="535">
        <f t="shared" si="41"/>
        <v>2.5000000000000001E-2</v>
      </c>
      <c r="AD36" s="535">
        <f t="shared" si="41"/>
        <v>2.5000000000000001E-2</v>
      </c>
      <c r="AE36" s="535">
        <f t="shared" si="41"/>
        <v>2.5000000000000001E-2</v>
      </c>
      <c r="AF36" s="535">
        <f t="shared" si="41"/>
        <v>2.5000000000000001E-2</v>
      </c>
      <c r="AG36" s="535">
        <f t="shared" si="41"/>
        <v>2.5000000000000001E-2</v>
      </c>
      <c r="AH36" s="535">
        <f t="shared" si="41"/>
        <v>2.5000000000000001E-2</v>
      </c>
      <c r="AI36" s="535">
        <f t="shared" si="41"/>
        <v>2.5000000000000001E-2</v>
      </c>
      <c r="AJ36" s="535">
        <f t="shared" si="41"/>
        <v>2.5000000000000001E-2</v>
      </c>
      <c r="AK36" s="535">
        <f t="shared" si="41"/>
        <v>2.5000000000000001E-2</v>
      </c>
      <c r="AL36" s="535">
        <f t="shared" si="41"/>
        <v>2.5000000000000001E-2</v>
      </c>
      <c r="AM36" s="535">
        <f t="shared" si="41"/>
        <v>2.5000000000000001E-2</v>
      </c>
      <c r="AN36" s="535">
        <f t="shared" si="41"/>
        <v>2.5000000000000001E-2</v>
      </c>
      <c r="AO36" s="535">
        <f t="shared" si="41"/>
        <v>2.5000000000000001E-2</v>
      </c>
      <c r="AP36" s="535">
        <f t="shared" si="41"/>
        <v>2.5000000000000001E-2</v>
      </c>
      <c r="AQ36" s="535">
        <f t="shared" si="41"/>
        <v>2.5000000000000001E-2</v>
      </c>
      <c r="AR36" s="535">
        <f t="shared" si="41"/>
        <v>2.5000000000000001E-2</v>
      </c>
      <c r="AS36" s="535">
        <f t="shared" si="41"/>
        <v>2.5000000000000001E-2</v>
      </c>
      <c r="AT36" s="535">
        <f t="shared" si="41"/>
        <v>2.5000000000000001E-2</v>
      </c>
      <c r="AU36" s="535">
        <f t="shared" si="41"/>
        <v>2.5000000000000001E-2</v>
      </c>
      <c r="AV36" s="535">
        <f t="shared" si="41"/>
        <v>2.5000000000000001E-2</v>
      </c>
      <c r="AW36" s="535">
        <f t="shared" si="41"/>
        <v>2.5000000000000001E-2</v>
      </c>
      <c r="AX36" s="535">
        <f t="shared" si="41"/>
        <v>2.5000000000000001E-2</v>
      </c>
      <c r="AY36" s="535">
        <f t="shared" si="41"/>
        <v>2.5000000000000001E-2</v>
      </c>
      <c r="AZ36" s="535">
        <f t="shared" si="41"/>
        <v>2.5000000000000001E-2</v>
      </c>
      <c r="BA36" s="535">
        <f t="shared" si="41"/>
        <v>2.5000000000000001E-2</v>
      </c>
      <c r="BB36" s="535">
        <f t="shared" si="41"/>
        <v>2.5000000000000001E-2</v>
      </c>
      <c r="BC36" s="535">
        <f t="shared" si="41"/>
        <v>2.5000000000000001E-2</v>
      </c>
      <c r="BD36" s="536">
        <f t="shared" si="41"/>
        <v>2.5000000000000001E-2</v>
      </c>
    </row>
    <row r="37" spans="2:56" s="31" customFormat="1" x14ac:dyDescent="0.3">
      <c r="B37" s="34"/>
      <c r="C37" s="34"/>
      <c r="D37" s="58"/>
      <c r="E37" s="58"/>
      <c r="F37" s="58"/>
      <c r="G37" s="59"/>
      <c r="H37" s="59"/>
      <c r="I37" s="59"/>
      <c r="J37" s="59"/>
      <c r="K37" s="59"/>
      <c r="L37" s="59"/>
      <c r="M37" s="59"/>
      <c r="N37" s="59"/>
      <c r="O37" s="514"/>
      <c r="P37" s="514"/>
      <c r="Q37" s="514"/>
      <c r="R37" s="514"/>
      <c r="S37" s="514"/>
      <c r="T37" s="514"/>
      <c r="U37" s="514"/>
      <c r="V37" s="514"/>
      <c r="W37" s="514"/>
      <c r="X37" s="514"/>
      <c r="Y37" s="514"/>
      <c r="Z37" s="514"/>
      <c r="AA37" s="514"/>
      <c r="AB37" s="514"/>
      <c r="AC37" s="514"/>
      <c r="AD37" s="514"/>
      <c r="AE37" s="514"/>
      <c r="AF37" s="514"/>
      <c r="AG37" s="514"/>
      <c r="AH37" s="514"/>
      <c r="AI37" s="514"/>
      <c r="AJ37" s="514"/>
      <c r="AK37" s="514"/>
      <c r="AL37" s="514"/>
      <c r="AM37" s="514"/>
      <c r="AN37" s="514"/>
      <c r="AO37" s="514"/>
      <c r="AP37" s="514"/>
      <c r="AQ37" s="514"/>
      <c r="AR37" s="514"/>
      <c r="AS37" s="514"/>
      <c r="AT37" s="514"/>
      <c r="AU37" s="514"/>
      <c r="AV37" s="514"/>
      <c r="AW37" s="514"/>
      <c r="AX37" s="514"/>
      <c r="AY37" s="514"/>
      <c r="AZ37" s="514"/>
      <c r="BA37" s="514"/>
      <c r="BB37" s="514"/>
      <c r="BC37" s="514"/>
      <c r="BD37" s="514"/>
    </row>
    <row r="38" spans="2:56" s="31" customFormat="1" x14ac:dyDescent="0.3">
      <c r="B38" s="537" t="s">
        <v>490</v>
      </c>
      <c r="C38" s="538" t="s">
        <v>19</v>
      </c>
      <c r="D38" s="539">
        <f>BD!D242</f>
        <v>0</v>
      </c>
      <c r="E38" s="539">
        <f>BD!E242</f>
        <v>0</v>
      </c>
      <c r="F38" s="539">
        <f>BD!F242</f>
        <v>0</v>
      </c>
      <c r="G38" s="539">
        <f>BD!G242</f>
        <v>0</v>
      </c>
      <c r="H38" s="539">
        <f>BD!H242</f>
        <v>0</v>
      </c>
      <c r="I38" s="539">
        <f>BD!I242</f>
        <v>0</v>
      </c>
      <c r="J38" s="539">
        <f>BD!J242</f>
        <v>0</v>
      </c>
      <c r="K38" s="539">
        <f>BD!K242</f>
        <v>-75</v>
      </c>
      <c r="L38" s="539">
        <f>BD!L242</f>
        <v>-62.3</v>
      </c>
      <c r="M38" s="539">
        <f>BD!M242</f>
        <v>-74.2</v>
      </c>
      <c r="N38" s="539">
        <f>BD!N242</f>
        <v>-75.800000000000011</v>
      </c>
      <c r="O38" s="540">
        <f t="shared" ref="O38:BD38" si="42">O39*(O35+O20)</f>
        <v>-75.473269150255348</v>
      </c>
      <c r="P38" s="540">
        <f t="shared" si="42"/>
        <v>-82.826922526309872</v>
      </c>
      <c r="Q38" s="540">
        <f t="shared" si="42"/>
        <v>-86.678306365325128</v>
      </c>
      <c r="R38" s="540">
        <f t="shared" si="42"/>
        <v>-90.627764749682882</v>
      </c>
      <c r="S38" s="540">
        <f t="shared" si="42"/>
        <v>-96.577076973591815</v>
      </c>
      <c r="T38" s="540">
        <f t="shared" si="42"/>
        <v>-101.75187061003228</v>
      </c>
      <c r="U38" s="540">
        <f t="shared" si="42"/>
        <v>-107.44566003658315</v>
      </c>
      <c r="V38" s="540">
        <f t="shared" si="42"/>
        <v>-113.83114355065349</v>
      </c>
      <c r="W38" s="540">
        <f t="shared" si="42"/>
        <v>-120.36033869267368</v>
      </c>
      <c r="X38" s="540">
        <f t="shared" si="42"/>
        <v>-127.41448557622896</v>
      </c>
      <c r="Y38" s="540">
        <f t="shared" si="42"/>
        <v>-134.99305449184826</v>
      </c>
      <c r="Z38" s="540">
        <f t="shared" si="42"/>
        <v>-143.02267870613164</v>
      </c>
      <c r="AA38" s="540">
        <f t="shared" si="42"/>
        <v>-150.38341608708751</v>
      </c>
      <c r="AB38" s="540">
        <f t="shared" si="42"/>
        <v>-158.10376989010624</v>
      </c>
      <c r="AC38" s="540">
        <f t="shared" si="42"/>
        <v>-166.26914164652132</v>
      </c>
      <c r="AD38" s="540">
        <f t="shared" si="42"/>
        <v>-174.92986730158074</v>
      </c>
      <c r="AE38" s="540">
        <f t="shared" si="42"/>
        <v>-184.11018182924755</v>
      </c>
      <c r="AF38" s="540">
        <f t="shared" si="42"/>
        <v>-193.84249655019082</v>
      </c>
      <c r="AG38" s="540">
        <f t="shared" si="42"/>
        <v>-204.16787678664355</v>
      </c>
      <c r="AH38" s="540">
        <f t="shared" si="42"/>
        <v>-215.12340293406376</v>
      </c>
      <c r="AI38" s="540">
        <f t="shared" si="42"/>
        <v>-226.75122970247961</v>
      </c>
      <c r="AJ38" s="540">
        <f t="shared" si="42"/>
        <v>-239.09729897437072</v>
      </c>
      <c r="AK38" s="540">
        <f t="shared" si="42"/>
        <v>-252.20932065109685</v>
      </c>
      <c r="AL38" s="540">
        <f t="shared" si="42"/>
        <v>-266.13912675796649</v>
      </c>
      <c r="AM38" s="540">
        <f t="shared" si="42"/>
        <v>-280.94225987879702</v>
      </c>
      <c r="AN38" s="540">
        <f t="shared" si="42"/>
        <v>-296.67792078643339</v>
      </c>
      <c r="AO38" s="540">
        <f t="shared" si="42"/>
        <v>-313.40972865017255</v>
      </c>
      <c r="AP38" s="540">
        <f t="shared" si="42"/>
        <v>-331.2058192481951</v>
      </c>
      <c r="AQ38" s="540">
        <f t="shared" si="42"/>
        <v>-350.13915270884348</v>
      </c>
      <c r="AR38" s="540">
        <f t="shared" si="42"/>
        <v>-370.28796902642688</v>
      </c>
      <c r="AS38" s="540">
        <f t="shared" si="42"/>
        <v>-391.73611455202268</v>
      </c>
      <c r="AT38" s="540">
        <f t="shared" si="42"/>
        <v>-414.28858834315884</v>
      </c>
      <c r="AU38" s="540">
        <f t="shared" si="42"/>
        <v>-431.73079550536733</v>
      </c>
      <c r="AV38" s="540">
        <f t="shared" si="42"/>
        <v>-449.92788299578393</v>
      </c>
      <c r="AW38" s="540">
        <f t="shared" si="42"/>
        <v>-468.91306876286035</v>
      </c>
      <c r="AX38" s="540">
        <f t="shared" si="42"/>
        <v>-488.72104897655339</v>
      </c>
      <c r="AY38" s="540">
        <f t="shared" si="42"/>
        <v>-509.38806064099316</v>
      </c>
      <c r="AZ38" s="540">
        <f t="shared" si="42"/>
        <v>-530.95195180262272</v>
      </c>
      <c r="BA38" s="540">
        <f t="shared" si="42"/>
        <v>-553.4522538602713</v>
      </c>
      <c r="BB38" s="540">
        <f t="shared" si="42"/>
        <v>-576.93025610897325</v>
      </c>
      <c r="BC38" s="540">
        <f t="shared" si="42"/>
        <v>-601.42908470446309</v>
      </c>
      <c r="BD38" s="541">
        <f t="shared" si="42"/>
        <v>-626.99378478351753</v>
      </c>
    </row>
    <row r="39" spans="2:56" x14ac:dyDescent="0.3">
      <c r="B39" s="542"/>
      <c r="C39" s="542"/>
      <c r="D39" s="543"/>
      <c r="E39" s="543"/>
      <c r="F39" s="543"/>
      <c r="G39" s="543"/>
      <c r="H39" s="530">
        <f t="shared" ref="H39:M39" si="43">H38/(H20+H35)</f>
        <v>0</v>
      </c>
      <c r="I39" s="530">
        <f t="shared" si="43"/>
        <v>0</v>
      </c>
      <c r="J39" s="530">
        <f t="shared" si="43"/>
        <v>0</v>
      </c>
      <c r="K39" s="530">
        <f t="shared" si="43"/>
        <v>-3.2022543870885101E-2</v>
      </c>
      <c r="L39" s="530">
        <f t="shared" si="43"/>
        <v>-2.6247050893158073E-2</v>
      </c>
      <c r="M39" s="530">
        <f t="shared" si="43"/>
        <v>-3.2645518940560517E-2</v>
      </c>
      <c r="N39" s="530">
        <f t="shared" ref="N39" si="44">N38/(N20+N35)</f>
        <v>-3.2515442690459855E-2</v>
      </c>
      <c r="O39" s="531">
        <f>AVERAGE(L39:N39)</f>
        <v>-3.0469337508059479E-2</v>
      </c>
      <c r="P39" s="531">
        <f>AVERAGE(M39:O39)</f>
        <v>-3.1876766379693285E-2</v>
      </c>
      <c r="Q39" s="531">
        <f>AVERAGE(N39:P39)</f>
        <v>-3.1620515526070869E-2</v>
      </c>
      <c r="R39" s="531">
        <f t="shared" ref="R39:BD39" si="45">AVERAGE(O39:Q39)</f>
        <v>-3.1322206471274545E-2</v>
      </c>
      <c r="S39" s="531">
        <f t="shared" si="45"/>
        <v>-3.1606496125679562E-2</v>
      </c>
      <c r="T39" s="531">
        <f t="shared" si="45"/>
        <v>-3.1516406041008325E-2</v>
      </c>
      <c r="U39" s="531">
        <f t="shared" si="45"/>
        <v>-3.1481702879320811E-2</v>
      </c>
      <c r="V39" s="531">
        <f t="shared" si="45"/>
        <v>-3.1534868348669566E-2</v>
      </c>
      <c r="W39" s="531">
        <f t="shared" si="45"/>
        <v>-3.1510992422999567E-2</v>
      </c>
      <c r="X39" s="531">
        <f t="shared" si="45"/>
        <v>-3.150918788366331E-2</v>
      </c>
      <c r="Y39" s="531">
        <f t="shared" si="45"/>
        <v>-3.1518349551777479E-2</v>
      </c>
      <c r="Z39" s="531">
        <f t="shared" si="45"/>
        <v>-3.1512843286146786E-2</v>
      </c>
      <c r="AA39" s="531">
        <f t="shared" si="45"/>
        <v>-3.1513460240529194E-2</v>
      </c>
      <c r="AB39" s="531">
        <f t="shared" si="45"/>
        <v>-3.1514884359484491E-2</v>
      </c>
      <c r="AC39" s="531">
        <f t="shared" si="45"/>
        <v>-3.1513729295386823E-2</v>
      </c>
      <c r="AD39" s="531">
        <f t="shared" si="45"/>
        <v>-3.1514024631800169E-2</v>
      </c>
      <c r="AE39" s="531">
        <f t="shared" si="45"/>
        <v>-3.1514212762223826E-2</v>
      </c>
      <c r="AF39" s="531">
        <f t="shared" si="45"/>
        <v>-3.1513988896470273E-2</v>
      </c>
      <c r="AG39" s="531">
        <f t="shared" si="45"/>
        <v>-3.151407543016476E-2</v>
      </c>
      <c r="AH39" s="531">
        <f t="shared" si="45"/>
        <v>-3.151409236295296E-2</v>
      </c>
      <c r="AI39" s="531">
        <f t="shared" si="45"/>
        <v>-3.1514052229862664E-2</v>
      </c>
      <c r="AJ39" s="531">
        <f t="shared" si="45"/>
        <v>-3.1514073340993459E-2</v>
      </c>
      <c r="AK39" s="531">
        <f t="shared" si="45"/>
        <v>-3.1514072644603028E-2</v>
      </c>
      <c r="AL39" s="531">
        <f t="shared" si="45"/>
        <v>-3.1514066071819717E-2</v>
      </c>
      <c r="AM39" s="531">
        <f t="shared" si="45"/>
        <v>-3.1514070685805397E-2</v>
      </c>
      <c r="AN39" s="531">
        <f t="shared" si="45"/>
        <v>-3.1514069800742707E-2</v>
      </c>
      <c r="AO39" s="531">
        <f t="shared" si="45"/>
        <v>-3.1514068852789269E-2</v>
      </c>
      <c r="AP39" s="531">
        <f t="shared" si="45"/>
        <v>-3.1514069779779129E-2</v>
      </c>
      <c r="AQ39" s="531">
        <f t="shared" si="45"/>
        <v>-3.1514069477770364E-2</v>
      </c>
      <c r="AR39" s="531">
        <f t="shared" si="45"/>
        <v>-3.1514069370112918E-2</v>
      </c>
      <c r="AS39" s="531">
        <f t="shared" si="45"/>
        <v>-3.1514069542554139E-2</v>
      </c>
      <c r="AT39" s="531">
        <f t="shared" si="45"/>
        <v>-3.1514069463479143E-2</v>
      </c>
      <c r="AU39" s="531">
        <f t="shared" si="45"/>
        <v>-3.1514069458715405E-2</v>
      </c>
      <c r="AV39" s="531">
        <f t="shared" si="45"/>
        <v>-3.1514069488249564E-2</v>
      </c>
      <c r="AW39" s="531">
        <f t="shared" si="45"/>
        <v>-3.1514069470148037E-2</v>
      </c>
      <c r="AX39" s="531">
        <f t="shared" si="45"/>
        <v>-3.1514069472371002E-2</v>
      </c>
      <c r="AY39" s="531">
        <f t="shared" si="45"/>
        <v>-3.1514069476922868E-2</v>
      </c>
      <c r="AZ39" s="531">
        <f t="shared" si="45"/>
        <v>-3.1514069473147305E-2</v>
      </c>
      <c r="BA39" s="531">
        <f t="shared" si="45"/>
        <v>-3.1514069474147061E-2</v>
      </c>
      <c r="BB39" s="531">
        <f t="shared" si="45"/>
        <v>-3.151406947473908E-2</v>
      </c>
      <c r="BC39" s="531">
        <f t="shared" si="45"/>
        <v>-3.1514069474011148E-2</v>
      </c>
      <c r="BD39" s="532">
        <f t="shared" si="45"/>
        <v>-3.1514069474299099E-2</v>
      </c>
    </row>
    <row r="40" spans="2:56" x14ac:dyDescent="0.3">
      <c r="B40" s="657" t="s">
        <v>443</v>
      </c>
      <c r="C40" s="617"/>
      <c r="D40" s="618"/>
      <c r="E40" s="618"/>
      <c r="F40" s="618"/>
      <c r="G40" s="618"/>
      <c r="H40" s="513"/>
      <c r="I40" s="513"/>
      <c r="J40" s="513"/>
      <c r="K40" s="513"/>
      <c r="L40" s="513"/>
      <c r="M40" s="513"/>
      <c r="N40" s="513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  <c r="AC40" s="619"/>
      <c r="AD40" s="619"/>
      <c r="AE40" s="619"/>
      <c r="AF40" s="619"/>
      <c r="AG40" s="619"/>
      <c r="AH40" s="619"/>
      <c r="AI40" s="619"/>
      <c r="AJ40" s="619"/>
      <c r="AK40" s="619"/>
      <c r="AL40" s="619"/>
      <c r="AM40" s="619"/>
      <c r="AN40" s="619"/>
      <c r="AO40" s="619"/>
      <c r="AP40" s="619"/>
      <c r="AQ40" s="619"/>
      <c r="AR40" s="619"/>
      <c r="AS40" s="619"/>
      <c r="AT40" s="619"/>
      <c r="AU40" s="619"/>
      <c r="AV40" s="619"/>
      <c r="AW40" s="619"/>
      <c r="AX40" s="619"/>
      <c r="AY40" s="619"/>
      <c r="AZ40" s="619"/>
      <c r="BA40" s="619"/>
      <c r="BB40" s="619"/>
      <c r="BC40" s="619"/>
      <c r="BD40" s="619"/>
    </row>
    <row r="41" spans="2:56" x14ac:dyDescent="0.3">
      <c r="B41" s="657"/>
      <c r="C41" s="617"/>
      <c r="D41" s="618"/>
      <c r="E41" s="618"/>
      <c r="F41" s="618"/>
      <c r="G41" s="618"/>
      <c r="H41" s="513"/>
      <c r="I41" s="513"/>
      <c r="J41" s="513"/>
      <c r="K41" s="513"/>
      <c r="L41" s="513"/>
      <c r="M41" s="513"/>
      <c r="N41" s="513"/>
      <c r="O41" s="518">
        <f t="shared" ref="O41:BD41" si="46">O17</f>
        <v>2401.550365849745</v>
      </c>
      <c r="P41" s="518">
        <f t="shared" si="46"/>
        <v>2515.5207749701899</v>
      </c>
      <c r="Q41" s="518">
        <f t="shared" si="46"/>
        <v>2654.5264122566573</v>
      </c>
      <c r="R41" s="518">
        <f t="shared" si="46"/>
        <v>2802.7751898856236</v>
      </c>
      <c r="S41" s="518">
        <f t="shared" si="46"/>
        <v>2959.0313836910855</v>
      </c>
      <c r="T41" s="518">
        <f t="shared" si="46"/>
        <v>3126.7847359318243</v>
      </c>
      <c r="U41" s="518">
        <f t="shared" si="46"/>
        <v>3305.5101272807642</v>
      </c>
      <c r="V41" s="518">
        <f t="shared" si="46"/>
        <v>3495.8602714273306</v>
      </c>
      <c r="W41" s="518">
        <f t="shared" si="46"/>
        <v>3699.2698740588557</v>
      </c>
      <c r="X41" s="518">
        <f t="shared" si="46"/>
        <v>3916.3103494357847</v>
      </c>
      <c r="Y41" s="518">
        <f t="shared" si="46"/>
        <v>4148.0057830610313</v>
      </c>
      <c r="Z41" s="518">
        <f t="shared" si="46"/>
        <v>4395.5293461759002</v>
      </c>
      <c r="AA41" s="518">
        <f t="shared" si="46"/>
        <v>4621.654149425337</v>
      </c>
      <c r="AB41" s="518">
        <f t="shared" si="46"/>
        <v>4858.6929946686842</v>
      </c>
      <c r="AC41" s="518">
        <f t="shared" si="46"/>
        <v>5109.8167220110317</v>
      </c>
      <c r="AD41" s="518">
        <f t="shared" si="46"/>
        <v>5375.927864943209</v>
      </c>
      <c r="AE41" s="518">
        <f t="shared" si="46"/>
        <v>5658.0215324663714</v>
      </c>
      <c r="AF41" s="518">
        <f t="shared" si="46"/>
        <v>5957.1559437615706</v>
      </c>
      <c r="AG41" s="518">
        <f t="shared" si="46"/>
        <v>6274.4571185453588</v>
      </c>
      <c r="AH41" s="518">
        <f t="shared" si="46"/>
        <v>6611.1370667140009</v>
      </c>
      <c r="AI41" s="518">
        <f t="shared" si="46"/>
        <v>6968.4906912209908</v>
      </c>
      <c r="AJ41" s="518">
        <f t="shared" si="46"/>
        <v>7347.9034796064579</v>
      </c>
      <c r="AK41" s="518">
        <f t="shared" si="46"/>
        <v>7750.8604030042234</v>
      </c>
      <c r="AL41" s="518">
        <f t="shared" si="46"/>
        <v>8178.9509530636124</v>
      </c>
      <c r="AM41" s="518">
        <f t="shared" si="46"/>
        <v>8633.8774941220508</v>
      </c>
      <c r="AN41" s="518">
        <f t="shared" si="46"/>
        <v>9117.4638470737573</v>
      </c>
      <c r="AO41" s="518">
        <f t="shared" si="46"/>
        <v>9631.6636959905518</v>
      </c>
      <c r="AP41" s="518">
        <f t="shared" si="46"/>
        <v>10178.570339866359</v>
      </c>
      <c r="AQ41" s="518">
        <f t="shared" si="46"/>
        <v>10760.426969379176</v>
      </c>
      <c r="AR41" s="518">
        <f t="shared" si="46"/>
        <v>11379.637585735405</v>
      </c>
      <c r="AS41" s="518">
        <f t="shared" si="46"/>
        <v>12038.778897895127</v>
      </c>
      <c r="AT41" s="518">
        <f t="shared" si="46"/>
        <v>12731.858367487708</v>
      </c>
      <c r="AU41" s="518">
        <f t="shared" si="46"/>
        <v>13267.889815883796</v>
      </c>
      <c r="AV41" s="518">
        <f t="shared" si="46"/>
        <v>13827.120124515448</v>
      </c>
      <c r="AW41" s="518">
        <f t="shared" si="46"/>
        <v>14410.57017941117</v>
      </c>
      <c r="AX41" s="518">
        <f t="shared" si="46"/>
        <v>15019.306227698224</v>
      </c>
      <c r="AY41" s="518">
        <f t="shared" si="46"/>
        <v>15654.441907875387</v>
      </c>
      <c r="AZ41" s="518">
        <f t="shared" si="46"/>
        <v>16317.14036629801</v>
      </c>
      <c r="BA41" s="518">
        <f t="shared" si="46"/>
        <v>17008.616469580931</v>
      </c>
      <c r="BB41" s="518">
        <f t="shared" si="46"/>
        <v>17730.139117188777</v>
      </c>
      <c r="BC41" s="518">
        <f t="shared" si="46"/>
        <v>18483.033656625921</v>
      </c>
      <c r="BD41" s="518">
        <f t="shared" si="46"/>
        <v>19268.684407296831</v>
      </c>
    </row>
    <row r="42" spans="2:56" x14ac:dyDescent="0.3">
      <c r="B42" s="390" t="s">
        <v>444</v>
      </c>
      <c r="C42" s="617"/>
      <c r="D42" s="618"/>
      <c r="E42" s="618"/>
      <c r="F42" s="618"/>
      <c r="G42" s="618"/>
      <c r="H42" s="513"/>
      <c r="I42" s="621">
        <f>BD!I210</f>
        <v>2043</v>
      </c>
      <c r="J42" s="621">
        <f>BD!J210</f>
        <v>2092</v>
      </c>
      <c r="K42" s="621">
        <f>BD!K210</f>
        <v>2267.1</v>
      </c>
      <c r="L42" s="621">
        <f>BD!L210</f>
        <v>2311.2999999999997</v>
      </c>
      <c r="M42" s="621">
        <f>BD!M210</f>
        <v>2198.7000000000003</v>
      </c>
      <c r="N42" s="621">
        <f>BD!N210</f>
        <v>2255.4000000000005</v>
      </c>
      <c r="O42" s="554">
        <f t="shared" ref="O42:BD42" si="47">SUM(O43:O46)</f>
        <v>2369.854135</v>
      </c>
      <c r="P42" s="554">
        <f t="shared" si="47"/>
        <v>2504.0778199964998</v>
      </c>
      <c r="Q42" s="554">
        <f t="shared" si="47"/>
        <v>2660.8580028844826</v>
      </c>
      <c r="R42" s="554">
        <f t="shared" si="47"/>
        <v>2828.060075595869</v>
      </c>
      <c r="S42" s="554">
        <f t="shared" si="47"/>
        <v>3006.4100769473716</v>
      </c>
      <c r="T42" s="554">
        <f t="shared" si="47"/>
        <v>3196.6863435581513</v>
      </c>
      <c r="U42" s="554">
        <f t="shared" si="47"/>
        <v>3399.7233617002762</v>
      </c>
      <c r="V42" s="554">
        <f t="shared" si="47"/>
        <v>3616.4159068890685</v>
      </c>
      <c r="W42" s="554">
        <f t="shared" si="47"/>
        <v>3847.723492896559</v>
      </c>
      <c r="X42" s="554">
        <f t="shared" si="47"/>
        <v>4094.6751535139647</v>
      </c>
      <c r="Y42" s="554">
        <f t="shared" si="47"/>
        <v>4358.3745821565726</v>
      </c>
      <c r="Z42" s="554">
        <f t="shared" si="47"/>
        <v>4640.0056563062763</v>
      </c>
      <c r="AA42" s="554">
        <f t="shared" si="47"/>
        <v>4901.3097381219777</v>
      </c>
      <c r="AB42" s="554">
        <f t="shared" si="47"/>
        <v>5175.7206409012733</v>
      </c>
      <c r="AC42" s="554">
        <f t="shared" si="47"/>
        <v>5466.5916318000836</v>
      </c>
      <c r="AD42" s="554">
        <f t="shared" si="47"/>
        <v>5774.9773352524862</v>
      </c>
      <c r="AE42" s="554">
        <f t="shared" si="47"/>
        <v>6102.0038016198832</v>
      </c>
      <c r="AF42" s="554">
        <f t="shared" si="47"/>
        <v>6448.8735513013689</v>
      </c>
      <c r="AG42" s="554">
        <f t="shared" si="47"/>
        <v>6816.8709855452871</v>
      </c>
      <c r="AH42" s="554">
        <f t="shared" si="47"/>
        <v>7207.3681911308213</v>
      </c>
      <c r="AI42" s="554">
        <f t="shared" si="47"/>
        <v>7621.8311681255727</v>
      </c>
      <c r="AJ42" s="554">
        <f t="shared" si="47"/>
        <v>8061.8265121159611</v>
      </c>
      <c r="AK42" s="554">
        <f t="shared" si="47"/>
        <v>8529.0285846636943</v>
      </c>
      <c r="AL42" s="554">
        <f t="shared" si="47"/>
        <v>9025.2272082760937</v>
      </c>
      <c r="AM42" s="554">
        <f t="shared" si="47"/>
        <v>9552.3359249040986</v>
      </c>
      <c r="AN42" s="554">
        <f t="shared" si="47"/>
        <v>10112.400859914076</v>
      </c>
      <c r="AO42" s="554">
        <f t="shared" si="47"/>
        <v>10707.610236633525</v>
      </c>
      <c r="AP42" s="554">
        <f t="shared" si="47"/>
        <v>11340.304589963433</v>
      </c>
      <c r="AQ42" s="554">
        <f t="shared" si="47"/>
        <v>12012.987731199408</v>
      </c>
      <c r="AR42" s="554">
        <f t="shared" si="47"/>
        <v>12728.338520129404</v>
      </c>
      <c r="AS42" s="554">
        <f t="shared" si="47"/>
        <v>13489.223504698586</v>
      </c>
      <c r="AT42" s="554">
        <f t="shared" si="47"/>
        <v>14289.670947262002</v>
      </c>
      <c r="AU42" s="554">
        <f t="shared" si="47"/>
        <v>14932.706139888791</v>
      </c>
      <c r="AV42" s="554">
        <f t="shared" si="47"/>
        <v>15604.677916183786</v>
      </c>
      <c r="AW42" s="554">
        <f t="shared" si="47"/>
        <v>16306.888422412056</v>
      </c>
      <c r="AX42" s="554">
        <f t="shared" si="47"/>
        <v>17040.698401420595</v>
      </c>
      <c r="AY42" s="554">
        <f t="shared" si="47"/>
        <v>17807.529829484527</v>
      </c>
      <c r="AZ42" s="554">
        <f t="shared" si="47"/>
        <v>18608.868671811328</v>
      </c>
      <c r="BA42" s="554">
        <f t="shared" si="47"/>
        <v>19446.267762042837</v>
      </c>
      <c r="BB42" s="554">
        <f t="shared" si="47"/>
        <v>20321.34981133476</v>
      </c>
      <c r="BC42" s="554">
        <f t="shared" si="47"/>
        <v>21235.810552844821</v>
      </c>
      <c r="BD42" s="554">
        <f t="shared" si="47"/>
        <v>22191.422027722838</v>
      </c>
    </row>
    <row r="43" spans="2:56" x14ac:dyDescent="0.3">
      <c r="B43" s="399" t="s">
        <v>445</v>
      </c>
      <c r="C43" s="617"/>
      <c r="D43" s="618"/>
      <c r="E43" s="618"/>
      <c r="F43" s="618"/>
      <c r="G43" s="618"/>
      <c r="H43" s="513"/>
      <c r="I43" s="621">
        <f>BD!I211</f>
        <v>1121.3</v>
      </c>
      <c r="J43" s="621">
        <f>BD!J211</f>
        <v>1087.9000000000001</v>
      </c>
      <c r="K43" s="621">
        <f>BD!K211</f>
        <v>1083.5999999999999</v>
      </c>
      <c r="L43" s="621">
        <f>BD!L211</f>
        <v>1023.6</v>
      </c>
      <c r="M43" s="621">
        <f>BD!M211</f>
        <v>987</v>
      </c>
      <c r="N43" s="621">
        <f>BD!N211</f>
        <v>996.6</v>
      </c>
      <c r="O43" s="624">
        <f t="shared" ref="O43:BD43" si="48">O51*O62/1000</f>
        <v>1051.8614700000001</v>
      </c>
      <c r="P43" s="624">
        <f t="shared" si="48"/>
        <v>1121.1791408730001</v>
      </c>
      <c r="Q43" s="624">
        <f t="shared" si="48"/>
        <v>1206.7811682786535</v>
      </c>
      <c r="R43" s="624">
        <f t="shared" si="48"/>
        <v>1298.9189104767288</v>
      </c>
      <c r="S43" s="624">
        <f t="shared" si="48"/>
        <v>1398.091369291627</v>
      </c>
      <c r="T43" s="624">
        <f t="shared" si="48"/>
        <v>1504.8356453370427</v>
      </c>
      <c r="U43" s="624">
        <f t="shared" si="48"/>
        <v>1619.7298468585259</v>
      </c>
      <c r="V43" s="624">
        <f t="shared" si="48"/>
        <v>1743.3962206661745</v>
      </c>
      <c r="W43" s="624">
        <f t="shared" si="48"/>
        <v>1876.5045221140372</v>
      </c>
      <c r="X43" s="624">
        <f t="shared" si="48"/>
        <v>2019.7756423774438</v>
      </c>
      <c r="Y43" s="624">
        <f t="shared" si="48"/>
        <v>2173.9855126729617</v>
      </c>
      <c r="Z43" s="624">
        <f t="shared" si="48"/>
        <v>2339.9693065655424</v>
      </c>
      <c r="AA43" s="624">
        <f t="shared" si="48"/>
        <v>2518.6259631218209</v>
      </c>
      <c r="AB43" s="624">
        <f t="shared" si="48"/>
        <v>2710.9230554061719</v>
      </c>
      <c r="AC43" s="624">
        <f t="shared" si="48"/>
        <v>2917.9020306864331</v>
      </c>
      <c r="AD43" s="624">
        <f t="shared" si="48"/>
        <v>3140.6838507293414</v>
      </c>
      <c r="AE43" s="624">
        <f t="shared" si="48"/>
        <v>3380.475062732527</v>
      </c>
      <c r="AF43" s="624">
        <f t="shared" si="48"/>
        <v>3638.5743337721556</v>
      </c>
      <c r="AG43" s="624">
        <f t="shared" si="48"/>
        <v>3916.3794841556592</v>
      </c>
      <c r="AH43" s="624">
        <f t="shared" si="48"/>
        <v>4215.3950577709429</v>
      </c>
      <c r="AI43" s="624">
        <f t="shared" si="48"/>
        <v>4537.2404704317541</v>
      </c>
      <c r="AJ43" s="624">
        <f t="shared" si="48"/>
        <v>4883.6587803492193</v>
      </c>
      <c r="AK43" s="624">
        <f t="shared" si="48"/>
        <v>5256.5261282288811</v>
      </c>
      <c r="AL43" s="624">
        <f t="shared" si="48"/>
        <v>5657.8618981191576</v>
      </c>
      <c r="AM43" s="624">
        <f t="shared" si="48"/>
        <v>6089.8396540405547</v>
      </c>
      <c r="AN43" s="624">
        <f t="shared" si="48"/>
        <v>6554.7989116265508</v>
      </c>
      <c r="AO43" s="624">
        <f t="shared" si="48"/>
        <v>7055.2578085292371</v>
      </c>
      <c r="AP43" s="624">
        <f t="shared" si="48"/>
        <v>7593.926742210444</v>
      </c>
      <c r="AQ43" s="624">
        <f t="shared" si="48"/>
        <v>8173.7230489782114</v>
      </c>
      <c r="AR43" s="624">
        <f t="shared" si="48"/>
        <v>8797.7868037676981</v>
      </c>
      <c r="AS43" s="624">
        <f t="shared" si="48"/>
        <v>9469.4978262353616</v>
      </c>
      <c r="AT43" s="624">
        <f t="shared" si="48"/>
        <v>10179.240006215048</v>
      </c>
      <c r="AU43" s="624">
        <f t="shared" si="48"/>
        <v>10637.305806494725</v>
      </c>
      <c r="AV43" s="624">
        <f t="shared" si="48"/>
        <v>11115.984567786987</v>
      </c>
      <c r="AW43" s="624">
        <f t="shared" si="48"/>
        <v>11616.203873337401</v>
      </c>
      <c r="AX43" s="624">
        <f t="shared" si="48"/>
        <v>12138.933047637584</v>
      </c>
      <c r="AY43" s="624">
        <f t="shared" si="48"/>
        <v>12685.185034781276</v>
      </c>
      <c r="AZ43" s="624">
        <f t="shared" si="48"/>
        <v>13256.018361346431</v>
      </c>
      <c r="BA43" s="624">
        <f t="shared" si="48"/>
        <v>13852.539187607021</v>
      </c>
      <c r="BB43" s="624">
        <f t="shared" si="48"/>
        <v>14475.903451049333</v>
      </c>
      <c r="BC43" s="624">
        <f t="shared" si="48"/>
        <v>15127.319106346553</v>
      </c>
      <c r="BD43" s="624">
        <f t="shared" si="48"/>
        <v>15808.048466132148</v>
      </c>
    </row>
    <row r="44" spans="2:56" x14ac:dyDescent="0.3">
      <c r="B44" s="416" t="s">
        <v>446</v>
      </c>
      <c r="C44" s="617"/>
      <c r="D44" s="618"/>
      <c r="E44" s="618"/>
      <c r="F44" s="618"/>
      <c r="G44" s="618"/>
      <c r="H44" s="513"/>
      <c r="I44" s="621">
        <f>BD!I212</f>
        <v>424</v>
      </c>
      <c r="J44" s="621">
        <f>BD!J212</f>
        <v>492.6</v>
      </c>
      <c r="K44" s="621">
        <f>BD!K212</f>
        <v>718</v>
      </c>
      <c r="L44" s="621">
        <f>BD!L212</f>
        <v>775.5</v>
      </c>
      <c r="M44" s="621">
        <f>BD!M212</f>
        <v>669</v>
      </c>
      <c r="N44" s="621">
        <f>BD!N212</f>
        <v>745.4</v>
      </c>
      <c r="O44" s="624">
        <f t="shared" ref="O44:BD44" si="49">O52*O63/1000</f>
        <v>778.94299999999987</v>
      </c>
      <c r="P44" s="624">
        <f t="shared" si="49"/>
        <v>813.99543499999982</v>
      </c>
      <c r="Q44" s="624">
        <f t="shared" si="49"/>
        <v>850.62522957499993</v>
      </c>
      <c r="R44" s="624">
        <f t="shared" si="49"/>
        <v>888.90336490587481</v>
      </c>
      <c r="S44" s="624">
        <f t="shared" si="49"/>
        <v>928.90401632663918</v>
      </c>
      <c r="T44" s="624">
        <f t="shared" si="49"/>
        <v>970.70469706133804</v>
      </c>
      <c r="U44" s="624">
        <f t="shared" si="49"/>
        <v>1014.3864084290981</v>
      </c>
      <c r="V44" s="624">
        <f t="shared" si="49"/>
        <v>1060.0337968084075</v>
      </c>
      <c r="W44" s="624">
        <f t="shared" si="49"/>
        <v>1107.7353176647857</v>
      </c>
      <c r="X44" s="624">
        <f t="shared" si="49"/>
        <v>1157.5834069597011</v>
      </c>
      <c r="Y44" s="624">
        <f t="shared" si="49"/>
        <v>1209.6746602728874</v>
      </c>
      <c r="Z44" s="624">
        <f t="shared" si="49"/>
        <v>1264.1100199851676</v>
      </c>
      <c r="AA44" s="624">
        <f t="shared" si="49"/>
        <v>1320.9949708844999</v>
      </c>
      <c r="AB44" s="624">
        <f t="shared" si="49"/>
        <v>1380.439744574302</v>
      </c>
      <c r="AC44" s="624">
        <f t="shared" si="49"/>
        <v>1442.5595330801457</v>
      </c>
      <c r="AD44" s="624">
        <f t="shared" si="49"/>
        <v>1507.4747120687521</v>
      </c>
      <c r="AE44" s="624">
        <f t="shared" si="49"/>
        <v>1575.311074111846</v>
      </c>
      <c r="AF44" s="624">
        <f t="shared" si="49"/>
        <v>1646.2000724468789</v>
      </c>
      <c r="AG44" s="624">
        <f t="shared" si="49"/>
        <v>1720.2790757069881</v>
      </c>
      <c r="AH44" s="624">
        <f t="shared" si="49"/>
        <v>1797.6916341138024</v>
      </c>
      <c r="AI44" s="624">
        <f t="shared" si="49"/>
        <v>1878.5877576489231</v>
      </c>
      <c r="AJ44" s="624">
        <f t="shared" si="49"/>
        <v>1963.1242067431247</v>
      </c>
      <c r="AK44" s="624">
        <f t="shared" si="49"/>
        <v>2051.464796046565</v>
      </c>
      <c r="AL44" s="624">
        <f t="shared" si="49"/>
        <v>2143.7807118686605</v>
      </c>
      <c r="AM44" s="624">
        <f t="shared" si="49"/>
        <v>2240.2508439027501</v>
      </c>
      <c r="AN44" s="624">
        <f t="shared" si="49"/>
        <v>2341.0621318783737</v>
      </c>
      <c r="AO44" s="624">
        <f t="shared" si="49"/>
        <v>2446.4099278129002</v>
      </c>
      <c r="AP44" s="624">
        <f t="shared" si="49"/>
        <v>2556.4983745644804</v>
      </c>
      <c r="AQ44" s="624">
        <f t="shared" si="49"/>
        <v>2671.540801419882</v>
      </c>
      <c r="AR44" s="624">
        <f t="shared" si="49"/>
        <v>2791.7601374837764</v>
      </c>
      <c r="AS44" s="624">
        <f t="shared" si="49"/>
        <v>2917.3893436705462</v>
      </c>
      <c r="AT44" s="624">
        <f t="shared" si="49"/>
        <v>3048.6718641357202</v>
      </c>
      <c r="AU44" s="624">
        <f t="shared" si="49"/>
        <v>3185.862098021827</v>
      </c>
      <c r="AV44" s="624">
        <f t="shared" si="49"/>
        <v>3329.2258924328094</v>
      </c>
      <c r="AW44" s="624">
        <f t="shared" si="49"/>
        <v>3479.0410575922856</v>
      </c>
      <c r="AX44" s="624">
        <f t="shared" si="49"/>
        <v>3635.5979051839381</v>
      </c>
      <c r="AY44" s="624">
        <f t="shared" si="49"/>
        <v>3799.1998109172155</v>
      </c>
      <c r="AZ44" s="624">
        <f t="shared" si="49"/>
        <v>3970.16380240849</v>
      </c>
      <c r="BA44" s="624">
        <f t="shared" si="49"/>
        <v>4148.8211735168716</v>
      </c>
      <c r="BB44" s="624">
        <f t="shared" si="49"/>
        <v>4335.5181263251307</v>
      </c>
      <c r="BC44" s="624">
        <f t="shared" si="49"/>
        <v>4530.6164420097612</v>
      </c>
      <c r="BD44" s="624">
        <f t="shared" si="49"/>
        <v>4734.4941819002006</v>
      </c>
    </row>
    <row r="45" spans="2:56" x14ac:dyDescent="0.3">
      <c r="B45" s="399" t="s">
        <v>447</v>
      </c>
      <c r="C45" s="617"/>
      <c r="D45" s="618"/>
      <c r="E45" s="618"/>
      <c r="F45" s="618"/>
      <c r="G45" s="618"/>
      <c r="H45" s="513"/>
      <c r="I45" s="621">
        <f>BD!I213</f>
        <v>249.7</v>
      </c>
      <c r="J45" s="621">
        <f>BD!J213</f>
        <v>228.4</v>
      </c>
      <c r="K45" s="621">
        <f>BD!K213</f>
        <v>200.1</v>
      </c>
      <c r="L45" s="621">
        <f>BD!L213</f>
        <v>260.10000000000002</v>
      </c>
      <c r="M45" s="621">
        <f>BD!M213</f>
        <v>289.89999999999998</v>
      </c>
      <c r="N45" s="621">
        <f>BD!N213</f>
        <v>253.69999999999996</v>
      </c>
      <c r="O45" s="624">
        <f t="shared" ref="O45:BD45" si="50">O53*O64/1000</f>
        <v>267.76766499999997</v>
      </c>
      <c r="P45" s="624">
        <f t="shared" si="50"/>
        <v>285.41355412349998</v>
      </c>
      <c r="Q45" s="624">
        <f t="shared" si="50"/>
        <v>307.20487898082916</v>
      </c>
      <c r="R45" s="624">
        <f t="shared" si="50"/>
        <v>330.65997149101548</v>
      </c>
      <c r="S45" s="624">
        <f t="shared" si="50"/>
        <v>355.90586031435447</v>
      </c>
      <c r="T45" s="624">
        <f t="shared" si="50"/>
        <v>383.07927274935543</v>
      </c>
      <c r="U45" s="624">
        <f t="shared" si="50"/>
        <v>412.32737522376868</v>
      </c>
      <c r="V45" s="624">
        <f t="shared" si="50"/>
        <v>443.80857032210338</v>
      </c>
      <c r="W45" s="624">
        <f t="shared" si="50"/>
        <v>477.693354666196</v>
      </c>
      <c r="X45" s="624">
        <f t="shared" si="50"/>
        <v>514.16524229496008</v>
      </c>
      <c r="Y45" s="624">
        <f t="shared" si="50"/>
        <v>553.42175854418019</v>
      </c>
      <c r="Z45" s="624">
        <f t="shared" si="50"/>
        <v>595.67550980902831</v>
      </c>
      <c r="AA45" s="624">
        <f t="shared" si="50"/>
        <v>601.62669727152513</v>
      </c>
      <c r="AB45" s="624">
        <f t="shared" si="50"/>
        <v>603.59293926868088</v>
      </c>
      <c r="AC45" s="624">
        <f t="shared" si="50"/>
        <v>603.73074580704099</v>
      </c>
      <c r="AD45" s="624">
        <f t="shared" si="50"/>
        <v>601.81148072773874</v>
      </c>
      <c r="AE45" s="624">
        <f t="shared" si="50"/>
        <v>597.58504492115651</v>
      </c>
      <c r="AF45" s="624">
        <f t="shared" si="50"/>
        <v>590.77805733453511</v>
      </c>
      <c r="AG45" s="624">
        <f t="shared" si="50"/>
        <v>581.09188898618982</v>
      </c>
      <c r="AH45" s="624">
        <f t="shared" si="50"/>
        <v>568.20053839828552</v>
      </c>
      <c r="AI45" s="624">
        <f t="shared" si="50"/>
        <v>551.74833595895439</v>
      </c>
      <c r="AJ45" s="624">
        <f t="shared" si="50"/>
        <v>531.34746375380871</v>
      </c>
      <c r="AK45" s="624">
        <f t="shared" si="50"/>
        <v>506.57527636129777</v>
      </c>
      <c r="AL45" s="624">
        <f t="shared" si="50"/>
        <v>476.97140698011333</v>
      </c>
      <c r="AM45" s="624">
        <f t="shared" si="50"/>
        <v>442.03464204376377</v>
      </c>
      <c r="AN45" s="624">
        <f t="shared" si="50"/>
        <v>401.21954617085652</v>
      </c>
      <c r="AO45" s="624">
        <f t="shared" si="50"/>
        <v>353.93281789237</v>
      </c>
      <c r="AP45" s="624">
        <f t="shared" si="50"/>
        <v>299.52935508153286</v>
      </c>
      <c r="AQ45" s="624">
        <f t="shared" si="50"/>
        <v>237.30800737952669</v>
      </c>
      <c r="AR45" s="624">
        <f t="shared" si="50"/>
        <v>166.50699115216071</v>
      </c>
      <c r="AS45" s="624">
        <f t="shared" si="50"/>
        <v>86.298940619249677</v>
      </c>
      <c r="AT45" s="624">
        <f t="shared" si="50"/>
        <v>0</v>
      </c>
      <c r="AU45" s="624">
        <f t="shared" si="50"/>
        <v>0</v>
      </c>
      <c r="AV45" s="624">
        <f t="shared" si="50"/>
        <v>0</v>
      </c>
      <c r="AW45" s="624">
        <f t="shared" si="50"/>
        <v>0</v>
      </c>
      <c r="AX45" s="624">
        <f t="shared" si="50"/>
        <v>0</v>
      </c>
      <c r="AY45" s="624">
        <f t="shared" si="50"/>
        <v>0</v>
      </c>
      <c r="AZ45" s="624">
        <f t="shared" si="50"/>
        <v>0</v>
      </c>
      <c r="BA45" s="624">
        <f t="shared" si="50"/>
        <v>0</v>
      </c>
      <c r="BB45" s="624">
        <f t="shared" si="50"/>
        <v>0</v>
      </c>
      <c r="BC45" s="624">
        <f t="shared" si="50"/>
        <v>0</v>
      </c>
      <c r="BD45" s="624">
        <f t="shared" si="50"/>
        <v>0</v>
      </c>
    </row>
    <row r="46" spans="2:56" x14ac:dyDescent="0.3">
      <c r="B46" s="399" t="s">
        <v>448</v>
      </c>
      <c r="C46" s="617"/>
      <c r="D46" s="618"/>
      <c r="E46" s="618"/>
      <c r="F46" s="618"/>
      <c r="G46" s="618"/>
      <c r="H46" s="513"/>
      <c r="I46" s="621">
        <f>BD!I214</f>
        <v>248</v>
      </c>
      <c r="J46" s="621">
        <f>BD!J214</f>
        <v>283.10000000000002</v>
      </c>
      <c r="K46" s="621">
        <f>BD!K214</f>
        <v>265.39999999999998</v>
      </c>
      <c r="L46" s="621">
        <f>BD!L214</f>
        <v>252.1</v>
      </c>
      <c r="M46" s="621">
        <f>BD!M214</f>
        <v>252.8</v>
      </c>
      <c r="N46" s="621">
        <f>BD!N214</f>
        <v>259.60000000000002</v>
      </c>
      <c r="O46" s="628">
        <f t="shared" ref="O46:BD46" si="51">O28</f>
        <v>271.28200000000004</v>
      </c>
      <c r="P46" s="628">
        <f t="shared" si="51"/>
        <v>283.48969</v>
      </c>
      <c r="Q46" s="628">
        <f t="shared" si="51"/>
        <v>296.24672605000001</v>
      </c>
      <c r="R46" s="628">
        <f t="shared" si="51"/>
        <v>309.57782872224999</v>
      </c>
      <c r="S46" s="628">
        <f t="shared" si="51"/>
        <v>323.50883101475119</v>
      </c>
      <c r="T46" s="628">
        <f t="shared" si="51"/>
        <v>338.06672841041501</v>
      </c>
      <c r="U46" s="628">
        <f t="shared" si="51"/>
        <v>353.27973118888366</v>
      </c>
      <c r="V46" s="628">
        <f t="shared" si="51"/>
        <v>369.17731909238336</v>
      </c>
      <c r="W46" s="628">
        <f t="shared" si="51"/>
        <v>385.79029845154059</v>
      </c>
      <c r="X46" s="628">
        <f t="shared" si="51"/>
        <v>403.1508618818599</v>
      </c>
      <c r="Y46" s="628">
        <f t="shared" si="51"/>
        <v>421.29265066654358</v>
      </c>
      <c r="Z46" s="628">
        <f t="shared" si="51"/>
        <v>440.250819946538</v>
      </c>
      <c r="AA46" s="628">
        <f t="shared" si="51"/>
        <v>460.06210684413219</v>
      </c>
      <c r="AB46" s="628">
        <f t="shared" si="51"/>
        <v>480.76490165211806</v>
      </c>
      <c r="AC46" s="628">
        <f t="shared" si="51"/>
        <v>502.39932222646331</v>
      </c>
      <c r="AD46" s="628">
        <f t="shared" si="51"/>
        <v>525.0072917266541</v>
      </c>
      <c r="AE46" s="628">
        <f t="shared" si="51"/>
        <v>548.63261985435349</v>
      </c>
      <c r="AF46" s="628">
        <f t="shared" si="51"/>
        <v>573.32108774779931</v>
      </c>
      <c r="AG46" s="628">
        <f t="shared" si="51"/>
        <v>599.12053669645024</v>
      </c>
      <c r="AH46" s="628">
        <f t="shared" si="51"/>
        <v>626.08096084779049</v>
      </c>
      <c r="AI46" s="628">
        <f t="shared" si="51"/>
        <v>654.25460408594108</v>
      </c>
      <c r="AJ46" s="628">
        <f t="shared" si="51"/>
        <v>683.69606126980841</v>
      </c>
      <c r="AK46" s="628">
        <f t="shared" si="51"/>
        <v>714.46238402694974</v>
      </c>
      <c r="AL46" s="628">
        <f t="shared" si="51"/>
        <v>746.6131913081623</v>
      </c>
      <c r="AM46" s="628">
        <f t="shared" si="51"/>
        <v>780.21078491702963</v>
      </c>
      <c r="AN46" s="628">
        <f t="shared" si="51"/>
        <v>815.32027023829596</v>
      </c>
      <c r="AO46" s="628">
        <f t="shared" si="51"/>
        <v>852.0096823990192</v>
      </c>
      <c r="AP46" s="628">
        <f t="shared" si="51"/>
        <v>890.35011810697495</v>
      </c>
      <c r="AQ46" s="628">
        <f t="shared" si="51"/>
        <v>930.41587342178877</v>
      </c>
      <c r="AR46" s="628">
        <f t="shared" si="51"/>
        <v>972.28458772576926</v>
      </c>
      <c r="AS46" s="628">
        <f t="shared" si="51"/>
        <v>1016.0373941734289</v>
      </c>
      <c r="AT46" s="628">
        <f t="shared" si="51"/>
        <v>1061.759076911233</v>
      </c>
      <c r="AU46" s="628">
        <f t="shared" si="51"/>
        <v>1109.5382353722384</v>
      </c>
      <c r="AV46" s="628">
        <f t="shared" si="51"/>
        <v>1159.4674559639891</v>
      </c>
      <c r="AW46" s="628">
        <f t="shared" si="51"/>
        <v>1211.6434914823685</v>
      </c>
      <c r="AX46" s="628">
        <f t="shared" si="51"/>
        <v>1266.167448599075</v>
      </c>
      <c r="AY46" s="628">
        <f t="shared" si="51"/>
        <v>1323.1449837860332</v>
      </c>
      <c r="AZ46" s="628">
        <f t="shared" si="51"/>
        <v>1382.6865080564046</v>
      </c>
      <c r="BA46" s="628">
        <f t="shared" si="51"/>
        <v>1444.9074009189428</v>
      </c>
      <c r="BB46" s="628">
        <f t="shared" si="51"/>
        <v>1509.9282339602951</v>
      </c>
      <c r="BC46" s="628">
        <f t="shared" si="51"/>
        <v>1577.8750044885082</v>
      </c>
      <c r="BD46" s="628">
        <f t="shared" si="51"/>
        <v>1648.8793796904911</v>
      </c>
    </row>
    <row r="47" spans="2:56" x14ac:dyDescent="0.3">
      <c r="C47" s="617"/>
      <c r="D47" s="618"/>
      <c r="E47" s="618"/>
      <c r="F47" s="618"/>
      <c r="G47" s="618"/>
      <c r="H47" s="513"/>
      <c r="I47" s="513"/>
      <c r="J47" s="513"/>
      <c r="K47" s="513"/>
      <c r="L47" s="513"/>
      <c r="M47" s="513"/>
      <c r="N47" s="513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  <c r="AC47" s="619"/>
      <c r="AD47" s="619"/>
      <c r="AE47" s="619"/>
      <c r="AF47" s="619"/>
      <c r="AG47" s="619"/>
      <c r="AH47" s="619"/>
      <c r="AI47" s="619"/>
      <c r="AJ47" s="619"/>
      <c r="AK47" s="619"/>
      <c r="AL47" s="619"/>
      <c r="AM47" s="619"/>
      <c r="AN47" s="619"/>
      <c r="AO47" s="619"/>
      <c r="AP47" s="619"/>
      <c r="AQ47" s="619"/>
      <c r="AR47" s="619"/>
      <c r="AS47" s="619"/>
      <c r="AT47" s="619"/>
      <c r="AU47" s="619"/>
      <c r="AV47" s="619"/>
      <c r="AW47" s="619"/>
      <c r="AX47" s="619"/>
      <c r="AY47" s="619"/>
      <c r="AZ47" s="619"/>
      <c r="BA47" s="619"/>
      <c r="BB47" s="619"/>
      <c r="BC47" s="619"/>
      <c r="BD47" s="619"/>
    </row>
    <row r="48" spans="2:56" x14ac:dyDescent="0.3">
      <c r="B48" s="657" t="s">
        <v>449</v>
      </c>
      <c r="C48" s="617"/>
      <c r="D48" s="618"/>
      <c r="E48" s="618"/>
      <c r="F48" s="618"/>
      <c r="G48" s="618"/>
      <c r="H48" s="513"/>
      <c r="I48" s="513"/>
      <c r="J48" s="513"/>
      <c r="K48" s="513"/>
      <c r="L48" s="513"/>
      <c r="M48" s="513"/>
      <c r="N48" s="513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  <c r="AC48" s="619"/>
      <c r="AD48" s="619"/>
      <c r="AE48" s="619"/>
      <c r="AF48" s="619"/>
      <c r="AG48" s="619"/>
      <c r="AH48" s="619"/>
      <c r="AI48" s="619"/>
      <c r="AJ48" s="619"/>
      <c r="AK48" s="619"/>
      <c r="AL48" s="619"/>
      <c r="AM48" s="619"/>
      <c r="AN48" s="619"/>
      <c r="AO48" s="619"/>
      <c r="AP48" s="619"/>
      <c r="AQ48" s="619"/>
      <c r="AR48" s="619"/>
      <c r="AS48" s="619"/>
      <c r="AT48" s="619"/>
      <c r="AU48" s="619"/>
      <c r="AV48" s="619"/>
      <c r="AW48" s="619"/>
      <c r="AX48" s="619"/>
      <c r="AY48" s="619"/>
      <c r="AZ48" s="619"/>
      <c r="BA48" s="619"/>
      <c r="BB48" s="619"/>
      <c r="BC48" s="619"/>
      <c r="BD48" s="619"/>
    </row>
    <row r="49" spans="2:56" x14ac:dyDescent="0.3">
      <c r="B49" s="657"/>
      <c r="C49" s="617"/>
      <c r="D49" s="618"/>
      <c r="E49" s="618"/>
      <c r="F49" s="618"/>
      <c r="G49" s="618"/>
      <c r="H49" s="513"/>
      <c r="I49" s="513"/>
      <c r="J49" s="513"/>
      <c r="K49" s="513"/>
      <c r="L49" s="513"/>
      <c r="M49" s="513"/>
      <c r="N49" s="513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  <c r="AC49" s="619"/>
      <c r="AD49" s="619"/>
      <c r="AE49" s="619"/>
      <c r="AF49" s="619"/>
      <c r="AG49" s="619"/>
      <c r="AH49" s="619"/>
      <c r="AI49" s="619"/>
      <c r="AJ49" s="619"/>
      <c r="AK49" s="619"/>
      <c r="AL49" s="619"/>
      <c r="AM49" s="619"/>
      <c r="AN49" s="619"/>
      <c r="AO49" s="619"/>
      <c r="AP49" s="619"/>
      <c r="AQ49" s="619"/>
      <c r="AR49" s="619"/>
      <c r="AS49" s="619"/>
      <c r="AT49" s="619"/>
      <c r="AU49" s="619"/>
      <c r="AV49" s="619"/>
      <c r="AW49" s="619"/>
      <c r="AX49" s="619"/>
      <c r="AY49" s="619"/>
      <c r="AZ49" s="619"/>
      <c r="BA49" s="619"/>
      <c r="BB49" s="619"/>
      <c r="BC49" s="619"/>
      <c r="BD49" s="619"/>
    </row>
    <row r="50" spans="2:56" x14ac:dyDescent="0.3">
      <c r="B50" s="390" t="s">
        <v>450</v>
      </c>
      <c r="C50" s="617"/>
      <c r="D50" s="618"/>
      <c r="E50" s="618"/>
      <c r="F50" s="618"/>
      <c r="G50" s="621"/>
      <c r="H50" s="621"/>
      <c r="I50" s="621">
        <f>BD!I218</f>
        <v>119154</v>
      </c>
      <c r="J50" s="621">
        <f>BD!J218</f>
        <v>111639</v>
      </c>
      <c r="K50" s="621">
        <f>BD!K218</f>
        <v>102739</v>
      </c>
      <c r="L50" s="621">
        <f>BD!L218</f>
        <v>107093</v>
      </c>
      <c r="M50" s="621">
        <f>BD!M218</f>
        <v>104320</v>
      </c>
      <c r="N50" s="621">
        <f>BD!N218</f>
        <v>98142</v>
      </c>
      <c r="O50" s="624">
        <f t="shared" ref="O50:T50" si="52">SUM(O51:O53)</f>
        <v>98685.02</v>
      </c>
      <c r="P50" s="624">
        <f t="shared" si="52"/>
        <v>99781.920400000003</v>
      </c>
      <c r="Q50" s="624">
        <f t="shared" si="52"/>
        <v>101460.178012</v>
      </c>
      <c r="R50" s="624">
        <f t="shared" si="52"/>
        <v>103188.78335236001</v>
      </c>
      <c r="S50" s="624">
        <f t="shared" si="52"/>
        <v>104969.24685293081</v>
      </c>
      <c r="T50" s="624">
        <f t="shared" si="52"/>
        <v>106803.12425851874</v>
      </c>
      <c r="U50" s="624">
        <f t="shared" ref="U50:Z50" si="53">SUM(U51:U53)</f>
        <v>108692.0179862743</v>
      </c>
      <c r="V50" s="624">
        <f t="shared" si="53"/>
        <v>110637.57852586254</v>
      </c>
      <c r="W50" s="624">
        <f t="shared" si="53"/>
        <v>112641.50588163843</v>
      </c>
      <c r="X50" s="624">
        <f t="shared" si="53"/>
        <v>114705.55105808757</v>
      </c>
      <c r="Y50" s="624">
        <f t="shared" si="53"/>
        <v>116831.51758983021</v>
      </c>
      <c r="Z50" s="624">
        <f t="shared" si="53"/>
        <v>119021.26311752512</v>
      </c>
      <c r="AA50" s="623">
        <f t="shared" ref="AA50:BD50" si="54">AA56</f>
        <v>119154</v>
      </c>
      <c r="AB50" s="623">
        <f t="shared" si="54"/>
        <v>119154</v>
      </c>
      <c r="AC50" s="623">
        <f t="shared" si="54"/>
        <v>119154</v>
      </c>
      <c r="AD50" s="623">
        <f t="shared" si="54"/>
        <v>119154</v>
      </c>
      <c r="AE50" s="623">
        <f t="shared" si="54"/>
        <v>119154</v>
      </c>
      <c r="AF50" s="623">
        <f t="shared" si="54"/>
        <v>119154</v>
      </c>
      <c r="AG50" s="623">
        <f t="shared" si="54"/>
        <v>119154</v>
      </c>
      <c r="AH50" s="623">
        <f t="shared" si="54"/>
        <v>119154</v>
      </c>
      <c r="AI50" s="623">
        <f t="shared" si="54"/>
        <v>119154</v>
      </c>
      <c r="AJ50" s="623">
        <f t="shared" si="54"/>
        <v>119154</v>
      </c>
      <c r="AK50" s="623">
        <f t="shared" si="54"/>
        <v>119154</v>
      </c>
      <c r="AL50" s="623">
        <f t="shared" si="54"/>
        <v>119154</v>
      </c>
      <c r="AM50" s="623">
        <f t="shared" si="54"/>
        <v>119154</v>
      </c>
      <c r="AN50" s="623">
        <f t="shared" si="54"/>
        <v>119154</v>
      </c>
      <c r="AO50" s="623">
        <f t="shared" si="54"/>
        <v>119154</v>
      </c>
      <c r="AP50" s="623">
        <f t="shared" si="54"/>
        <v>119154</v>
      </c>
      <c r="AQ50" s="623">
        <f t="shared" si="54"/>
        <v>119154</v>
      </c>
      <c r="AR50" s="623">
        <f t="shared" si="54"/>
        <v>119154</v>
      </c>
      <c r="AS50" s="623">
        <f t="shared" si="54"/>
        <v>119154</v>
      </c>
      <c r="AT50" s="623">
        <f t="shared" si="54"/>
        <v>119154</v>
      </c>
      <c r="AU50" s="623">
        <f t="shared" si="54"/>
        <v>119154</v>
      </c>
      <c r="AV50" s="623">
        <f t="shared" si="54"/>
        <v>119154</v>
      </c>
      <c r="AW50" s="623">
        <f t="shared" si="54"/>
        <v>119154</v>
      </c>
      <c r="AX50" s="623">
        <f t="shared" si="54"/>
        <v>119154</v>
      </c>
      <c r="AY50" s="623">
        <f t="shared" si="54"/>
        <v>119154</v>
      </c>
      <c r="AZ50" s="623">
        <f t="shared" si="54"/>
        <v>119154</v>
      </c>
      <c r="BA50" s="623">
        <f t="shared" si="54"/>
        <v>119154</v>
      </c>
      <c r="BB50" s="623">
        <f t="shared" si="54"/>
        <v>119154</v>
      </c>
      <c r="BC50" s="623">
        <f t="shared" si="54"/>
        <v>119154</v>
      </c>
      <c r="BD50" s="623">
        <f t="shared" si="54"/>
        <v>119154</v>
      </c>
    </row>
    <row r="51" spans="2:56" x14ac:dyDescent="0.3">
      <c r="B51" s="399" t="s">
        <v>445</v>
      </c>
      <c r="C51" s="617"/>
      <c r="D51" s="618"/>
      <c r="E51" s="618"/>
      <c r="F51" s="618"/>
      <c r="G51" s="621"/>
      <c r="H51" s="621"/>
      <c r="I51" s="621">
        <f>BD!I219</f>
        <v>49426</v>
      </c>
      <c r="J51" s="621">
        <f>BD!J219</f>
        <v>41735</v>
      </c>
      <c r="K51" s="621">
        <f>BD!K219</f>
        <v>35451</v>
      </c>
      <c r="L51" s="621">
        <f>BD!L219</f>
        <v>32772</v>
      </c>
      <c r="M51" s="621">
        <f>BD!M219</f>
        <v>31514</v>
      </c>
      <c r="N51" s="621">
        <f>BD!N219</f>
        <v>30158</v>
      </c>
      <c r="O51" s="624">
        <f>N51*(1+SGPS_MultPIB*O$5)</f>
        <v>30459.58</v>
      </c>
      <c r="P51" s="624">
        <f t="shared" ref="P51:Z51" si="55">O51*(1+SGPS_MultPIB*P$5)</f>
        <v>31068.771600000004</v>
      </c>
      <c r="Q51" s="624">
        <f t="shared" si="55"/>
        <v>32000.834748000005</v>
      </c>
      <c r="R51" s="624">
        <f t="shared" si="55"/>
        <v>32960.859790440009</v>
      </c>
      <c r="S51" s="624">
        <f t="shared" si="55"/>
        <v>33949.685584153209</v>
      </c>
      <c r="T51" s="624">
        <f t="shared" si="55"/>
        <v>34968.176151677806</v>
      </c>
      <c r="U51" s="624">
        <f t="shared" si="55"/>
        <v>36017.221436228145</v>
      </c>
      <c r="V51" s="624">
        <f t="shared" si="55"/>
        <v>37097.738079314993</v>
      </c>
      <c r="W51" s="624">
        <f t="shared" si="55"/>
        <v>38210.670221694447</v>
      </c>
      <c r="X51" s="624">
        <f t="shared" si="55"/>
        <v>39356.99032834528</v>
      </c>
      <c r="Y51" s="624">
        <f t="shared" si="55"/>
        <v>40537.700038195639</v>
      </c>
      <c r="Z51" s="624">
        <f t="shared" si="55"/>
        <v>41753.831039341509</v>
      </c>
      <c r="AA51" s="626">
        <f t="shared" ref="AA51:BD51" si="56">MIN(Z51*(1+SGPS_MultPIB*AA$5),AA50-AA52)</f>
        <v>43006.445970521752</v>
      </c>
      <c r="AB51" s="626">
        <f t="shared" si="56"/>
        <v>44296.639349637408</v>
      </c>
      <c r="AC51" s="626">
        <f t="shared" si="56"/>
        <v>45625.538530126534</v>
      </c>
      <c r="AD51" s="626">
        <f t="shared" si="56"/>
        <v>46994.304686030329</v>
      </c>
      <c r="AE51" s="626">
        <f t="shared" si="56"/>
        <v>48404.133826611243</v>
      </c>
      <c r="AF51" s="626">
        <f t="shared" si="56"/>
        <v>49856.257841409584</v>
      </c>
      <c r="AG51" s="626">
        <f t="shared" si="56"/>
        <v>51351.945576651873</v>
      </c>
      <c r="AH51" s="626">
        <f t="shared" si="56"/>
        <v>52892.503943951429</v>
      </c>
      <c r="AI51" s="626">
        <f t="shared" si="56"/>
        <v>54479.279062269976</v>
      </c>
      <c r="AJ51" s="626">
        <f t="shared" si="56"/>
        <v>56113.657434138076</v>
      </c>
      <c r="AK51" s="626">
        <f t="shared" si="56"/>
        <v>57797.067157162222</v>
      </c>
      <c r="AL51" s="626">
        <f t="shared" si="56"/>
        <v>59530.979171877094</v>
      </c>
      <c r="AM51" s="626">
        <f t="shared" si="56"/>
        <v>61316.90854703341</v>
      </c>
      <c r="AN51" s="626">
        <f t="shared" si="56"/>
        <v>63156.415803444412</v>
      </c>
      <c r="AO51" s="626">
        <f t="shared" si="56"/>
        <v>65051.108277547748</v>
      </c>
      <c r="AP51" s="626">
        <f t="shared" si="56"/>
        <v>67002.641525874176</v>
      </c>
      <c r="AQ51" s="626">
        <f t="shared" si="56"/>
        <v>69012.720771650405</v>
      </c>
      <c r="AR51" s="626">
        <f t="shared" si="56"/>
        <v>71083.10239479992</v>
      </c>
      <c r="AS51" s="626">
        <f t="shared" si="56"/>
        <v>73215.595466643921</v>
      </c>
      <c r="AT51" s="626">
        <f t="shared" si="56"/>
        <v>75314</v>
      </c>
      <c r="AU51" s="626">
        <f t="shared" si="56"/>
        <v>75314</v>
      </c>
      <c r="AV51" s="626">
        <f t="shared" si="56"/>
        <v>75314</v>
      </c>
      <c r="AW51" s="626">
        <f t="shared" si="56"/>
        <v>75314</v>
      </c>
      <c r="AX51" s="626">
        <f t="shared" si="56"/>
        <v>75314</v>
      </c>
      <c r="AY51" s="626">
        <f t="shared" si="56"/>
        <v>75314</v>
      </c>
      <c r="AZ51" s="626">
        <f t="shared" si="56"/>
        <v>75314</v>
      </c>
      <c r="BA51" s="626">
        <f t="shared" si="56"/>
        <v>75314</v>
      </c>
      <c r="BB51" s="626">
        <f t="shared" si="56"/>
        <v>75314</v>
      </c>
      <c r="BC51" s="626">
        <f t="shared" si="56"/>
        <v>75314</v>
      </c>
      <c r="BD51" s="626">
        <f t="shared" si="56"/>
        <v>75314</v>
      </c>
    </row>
    <row r="52" spans="2:56" x14ac:dyDescent="0.3">
      <c r="B52" s="416" t="s">
        <v>446</v>
      </c>
      <c r="C52" s="617"/>
      <c r="D52" s="618"/>
      <c r="E52" s="618"/>
      <c r="F52" s="618"/>
      <c r="G52" s="621"/>
      <c r="H52" s="621"/>
      <c r="I52" s="621">
        <f>BD!I220</f>
        <v>38158</v>
      </c>
      <c r="J52" s="621">
        <f>BD!J220</f>
        <v>40677</v>
      </c>
      <c r="K52" s="621">
        <f>BD!K220</f>
        <v>42475</v>
      </c>
      <c r="L52" s="621">
        <f>BD!L220</f>
        <v>46333</v>
      </c>
      <c r="M52" s="621">
        <f>BD!M220</f>
        <v>44651</v>
      </c>
      <c r="N52" s="621">
        <f>BD!N220</f>
        <v>43840</v>
      </c>
      <c r="O52" s="624">
        <f>N52</f>
        <v>43840</v>
      </c>
      <c r="P52" s="624">
        <f t="shared" ref="P52:BD52" si="57">O52</f>
        <v>43840</v>
      </c>
      <c r="Q52" s="624">
        <f t="shared" si="57"/>
        <v>43840</v>
      </c>
      <c r="R52" s="624">
        <f t="shared" si="57"/>
        <v>43840</v>
      </c>
      <c r="S52" s="624">
        <f t="shared" si="57"/>
        <v>43840</v>
      </c>
      <c r="T52" s="624">
        <f t="shared" si="57"/>
        <v>43840</v>
      </c>
      <c r="U52" s="624">
        <f t="shared" si="57"/>
        <v>43840</v>
      </c>
      <c r="V52" s="624">
        <f t="shared" si="57"/>
        <v>43840</v>
      </c>
      <c r="W52" s="624">
        <f t="shared" si="57"/>
        <v>43840</v>
      </c>
      <c r="X52" s="624">
        <f t="shared" si="57"/>
        <v>43840</v>
      </c>
      <c r="Y52" s="624">
        <f t="shared" si="57"/>
        <v>43840</v>
      </c>
      <c r="Z52" s="624">
        <f t="shared" si="57"/>
        <v>43840</v>
      </c>
      <c r="AA52" s="624">
        <f t="shared" si="57"/>
        <v>43840</v>
      </c>
      <c r="AB52" s="624">
        <f t="shared" si="57"/>
        <v>43840</v>
      </c>
      <c r="AC52" s="624">
        <f t="shared" si="57"/>
        <v>43840</v>
      </c>
      <c r="AD52" s="624">
        <f t="shared" si="57"/>
        <v>43840</v>
      </c>
      <c r="AE52" s="624">
        <f t="shared" si="57"/>
        <v>43840</v>
      </c>
      <c r="AF52" s="624">
        <f t="shared" si="57"/>
        <v>43840</v>
      </c>
      <c r="AG52" s="624">
        <f t="shared" si="57"/>
        <v>43840</v>
      </c>
      <c r="AH52" s="624">
        <f t="shared" si="57"/>
        <v>43840</v>
      </c>
      <c r="AI52" s="624">
        <f t="shared" si="57"/>
        <v>43840</v>
      </c>
      <c r="AJ52" s="624">
        <f t="shared" si="57"/>
        <v>43840</v>
      </c>
      <c r="AK52" s="624">
        <f t="shared" si="57"/>
        <v>43840</v>
      </c>
      <c r="AL52" s="624">
        <f t="shared" si="57"/>
        <v>43840</v>
      </c>
      <c r="AM52" s="624">
        <f t="shared" si="57"/>
        <v>43840</v>
      </c>
      <c r="AN52" s="624">
        <f t="shared" si="57"/>
        <v>43840</v>
      </c>
      <c r="AO52" s="624">
        <f t="shared" si="57"/>
        <v>43840</v>
      </c>
      <c r="AP52" s="624">
        <f t="shared" si="57"/>
        <v>43840</v>
      </c>
      <c r="AQ52" s="624">
        <f t="shared" si="57"/>
        <v>43840</v>
      </c>
      <c r="AR52" s="624">
        <f t="shared" si="57"/>
        <v>43840</v>
      </c>
      <c r="AS52" s="624">
        <f t="shared" si="57"/>
        <v>43840</v>
      </c>
      <c r="AT52" s="624">
        <f t="shared" si="57"/>
        <v>43840</v>
      </c>
      <c r="AU52" s="624">
        <f t="shared" si="57"/>
        <v>43840</v>
      </c>
      <c r="AV52" s="624">
        <f t="shared" si="57"/>
        <v>43840</v>
      </c>
      <c r="AW52" s="624">
        <f t="shared" si="57"/>
        <v>43840</v>
      </c>
      <c r="AX52" s="624">
        <f t="shared" si="57"/>
        <v>43840</v>
      </c>
      <c r="AY52" s="624">
        <f t="shared" si="57"/>
        <v>43840</v>
      </c>
      <c r="AZ52" s="624">
        <f t="shared" si="57"/>
        <v>43840</v>
      </c>
      <c r="BA52" s="624">
        <f t="shared" si="57"/>
        <v>43840</v>
      </c>
      <c r="BB52" s="624">
        <f t="shared" si="57"/>
        <v>43840</v>
      </c>
      <c r="BC52" s="624">
        <f t="shared" si="57"/>
        <v>43840</v>
      </c>
      <c r="BD52" s="624">
        <f t="shared" si="57"/>
        <v>43840</v>
      </c>
    </row>
    <row r="53" spans="2:56" x14ac:dyDescent="0.3">
      <c r="B53" s="399" t="s">
        <v>447</v>
      </c>
      <c r="C53" s="617"/>
      <c r="D53" s="618"/>
      <c r="E53" s="618"/>
      <c r="F53" s="618"/>
      <c r="G53" s="621"/>
      <c r="H53" s="621"/>
      <c r="I53" s="621">
        <f>BD!I221</f>
        <v>31570</v>
      </c>
      <c r="J53" s="621">
        <f>BD!J221</f>
        <v>29227</v>
      </c>
      <c r="K53" s="621">
        <f>BD!K221</f>
        <v>24813</v>
      </c>
      <c r="L53" s="621">
        <f>BD!L221</f>
        <v>27988</v>
      </c>
      <c r="M53" s="621">
        <f>BD!M221</f>
        <v>28155</v>
      </c>
      <c r="N53" s="621">
        <f>BD!N221</f>
        <v>24144</v>
      </c>
      <c r="O53" s="624">
        <f>N53*(1+O$5)</f>
        <v>24385.439999999999</v>
      </c>
      <c r="P53" s="624">
        <f t="shared" ref="P53:Z53" si="58">O53*(1+P$5)</f>
        <v>24873.148799999999</v>
      </c>
      <c r="Q53" s="624">
        <f t="shared" si="58"/>
        <v>25619.343263999999</v>
      </c>
      <c r="R53" s="624">
        <f t="shared" si="58"/>
        <v>26387.923561920001</v>
      </c>
      <c r="S53" s="624">
        <f t="shared" si="58"/>
        <v>27179.561268777601</v>
      </c>
      <c r="T53" s="624">
        <f t="shared" si="58"/>
        <v>27994.94810684093</v>
      </c>
      <c r="U53" s="624">
        <f t="shared" si="58"/>
        <v>28834.796550046158</v>
      </c>
      <c r="V53" s="624">
        <f t="shared" si="58"/>
        <v>29699.840446547543</v>
      </c>
      <c r="W53" s="624">
        <f t="shared" si="58"/>
        <v>30590.835659943972</v>
      </c>
      <c r="X53" s="624">
        <f t="shared" si="58"/>
        <v>31508.560729742294</v>
      </c>
      <c r="Y53" s="624">
        <f t="shared" si="58"/>
        <v>32453.817551634562</v>
      </c>
      <c r="Z53" s="624">
        <f t="shared" si="58"/>
        <v>33427.4320781836</v>
      </c>
      <c r="AA53" s="625">
        <f>AA50-AA51-AA52</f>
        <v>32307.554029478255</v>
      </c>
      <c r="AB53" s="625">
        <f t="shared" ref="AB53:BD53" si="59">AB50-AB51-AB52</f>
        <v>31017.360650362592</v>
      </c>
      <c r="AC53" s="625">
        <f t="shared" si="59"/>
        <v>29688.461469873466</v>
      </c>
      <c r="AD53" s="625">
        <f t="shared" si="59"/>
        <v>28319.695313969671</v>
      </c>
      <c r="AE53" s="625">
        <f t="shared" si="59"/>
        <v>26909.866173388757</v>
      </c>
      <c r="AF53" s="625">
        <f t="shared" si="59"/>
        <v>25457.742158590409</v>
      </c>
      <c r="AG53" s="625">
        <f t="shared" si="59"/>
        <v>23962.054423348134</v>
      </c>
      <c r="AH53" s="625">
        <f t="shared" si="59"/>
        <v>22421.496056048578</v>
      </c>
      <c r="AI53" s="625">
        <f t="shared" si="59"/>
        <v>20834.720937730024</v>
      </c>
      <c r="AJ53" s="625">
        <f t="shared" si="59"/>
        <v>19200.342565861924</v>
      </c>
      <c r="AK53" s="625">
        <f t="shared" si="59"/>
        <v>17516.932842837778</v>
      </c>
      <c r="AL53" s="625">
        <f t="shared" si="59"/>
        <v>15783.020828122906</v>
      </c>
      <c r="AM53" s="625">
        <f t="shared" si="59"/>
        <v>13997.09145296659</v>
      </c>
      <c r="AN53" s="625">
        <f t="shared" si="59"/>
        <v>12157.584196555588</v>
      </c>
      <c r="AO53" s="625">
        <f t="shared" si="59"/>
        <v>10262.891722452252</v>
      </c>
      <c r="AP53" s="625">
        <f t="shared" si="59"/>
        <v>8311.3584741258237</v>
      </c>
      <c r="AQ53" s="625">
        <f t="shared" si="59"/>
        <v>6301.2792283495946</v>
      </c>
      <c r="AR53" s="625">
        <f t="shared" si="59"/>
        <v>4230.8976052000799</v>
      </c>
      <c r="AS53" s="625">
        <f t="shared" si="59"/>
        <v>2098.4045333560789</v>
      </c>
      <c r="AT53" s="625">
        <f t="shared" si="59"/>
        <v>0</v>
      </c>
      <c r="AU53" s="625">
        <f t="shared" si="59"/>
        <v>0</v>
      </c>
      <c r="AV53" s="625">
        <f t="shared" si="59"/>
        <v>0</v>
      </c>
      <c r="AW53" s="625">
        <f t="shared" si="59"/>
        <v>0</v>
      </c>
      <c r="AX53" s="625">
        <f t="shared" si="59"/>
        <v>0</v>
      </c>
      <c r="AY53" s="625">
        <f t="shared" si="59"/>
        <v>0</v>
      </c>
      <c r="AZ53" s="625">
        <f t="shared" si="59"/>
        <v>0</v>
      </c>
      <c r="BA53" s="625">
        <f t="shared" si="59"/>
        <v>0</v>
      </c>
      <c r="BB53" s="625">
        <f t="shared" si="59"/>
        <v>0</v>
      </c>
      <c r="BC53" s="625">
        <f t="shared" si="59"/>
        <v>0</v>
      </c>
      <c r="BD53" s="625">
        <f t="shared" si="59"/>
        <v>0</v>
      </c>
    </row>
    <row r="54" spans="2:56" x14ac:dyDescent="0.3">
      <c r="B54" s="399" t="s">
        <v>448</v>
      </c>
      <c r="C54" s="617"/>
      <c r="D54" s="618"/>
      <c r="E54" s="618"/>
      <c r="F54" s="618"/>
      <c r="G54" s="621"/>
      <c r="H54" s="621"/>
      <c r="I54" s="621">
        <f>BD!I222</f>
        <v>0</v>
      </c>
      <c r="J54" s="621">
        <f>BD!J222</f>
        <v>0</v>
      </c>
      <c r="K54" s="621">
        <f>BD!K222</f>
        <v>0</v>
      </c>
      <c r="L54" s="621">
        <f>BD!L222</f>
        <v>0</v>
      </c>
      <c r="M54" s="621">
        <f>BD!M222</f>
        <v>0</v>
      </c>
      <c r="N54" s="621">
        <f>BD!N222</f>
        <v>0</v>
      </c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  <c r="AC54" s="619"/>
      <c r="AD54" s="619"/>
      <c r="AE54" s="619"/>
      <c r="AF54" s="619"/>
      <c r="AG54" s="619"/>
      <c r="AH54" s="619"/>
      <c r="AI54" s="619"/>
      <c r="AJ54" s="619"/>
      <c r="AK54" s="619"/>
      <c r="AL54" s="619"/>
      <c r="AM54" s="619"/>
      <c r="AN54" s="619"/>
      <c r="AO54" s="619"/>
      <c r="AP54" s="619"/>
      <c r="AQ54" s="619"/>
      <c r="AR54" s="619"/>
      <c r="AS54" s="619"/>
      <c r="AT54" s="619"/>
      <c r="AU54" s="619"/>
      <c r="AV54" s="619"/>
      <c r="AW54" s="619"/>
      <c r="AX54" s="619"/>
      <c r="AY54" s="619"/>
      <c r="AZ54" s="619"/>
      <c r="BA54" s="619"/>
      <c r="BB54" s="619"/>
      <c r="BC54" s="619"/>
      <c r="BD54" s="619"/>
    </row>
    <row r="55" spans="2:56" x14ac:dyDescent="0.3">
      <c r="C55" s="617"/>
      <c r="D55" s="618"/>
      <c r="E55" s="618"/>
      <c r="F55" s="618"/>
      <c r="G55" s="618"/>
      <c r="H55" s="513"/>
      <c r="I55" s="513"/>
      <c r="J55" s="513"/>
      <c r="K55" s="513"/>
      <c r="L55" s="513"/>
      <c r="M55" s="513"/>
      <c r="N55" s="513"/>
      <c r="O55" s="619"/>
      <c r="P55" s="619"/>
      <c r="Q55" s="619"/>
      <c r="R55" s="619"/>
      <c r="S55" s="619"/>
      <c r="T55" s="619"/>
      <c r="U55" s="619"/>
      <c r="V55" s="619"/>
      <c r="W55" s="619"/>
      <c r="X55" s="619"/>
      <c r="Y55" s="619"/>
      <c r="Z55" s="619"/>
      <c r="AA55" s="619"/>
      <c r="AB55" s="619"/>
      <c r="AC55" s="619"/>
      <c r="AD55" s="619"/>
      <c r="AE55" s="619"/>
      <c r="AF55" s="619"/>
      <c r="AG55" s="619"/>
      <c r="AH55" s="619"/>
      <c r="AI55" s="619"/>
      <c r="AJ55" s="619"/>
      <c r="AK55" s="619"/>
      <c r="AL55" s="619"/>
      <c r="AM55" s="619"/>
      <c r="AN55" s="619"/>
      <c r="AO55" s="619"/>
      <c r="AP55" s="619"/>
      <c r="AQ55" s="619"/>
      <c r="AR55" s="619"/>
      <c r="AS55" s="619"/>
      <c r="AT55" s="619"/>
      <c r="AU55" s="619"/>
      <c r="AV55" s="619"/>
      <c r="AW55" s="619"/>
      <c r="AX55" s="619"/>
      <c r="AY55" s="619"/>
      <c r="AZ55" s="619"/>
      <c r="BA55" s="619"/>
      <c r="BB55" s="619"/>
      <c r="BC55" s="619"/>
      <c r="BD55" s="619"/>
    </row>
    <row r="56" spans="2:56" x14ac:dyDescent="0.3">
      <c r="B56" s="404" t="s">
        <v>510</v>
      </c>
      <c r="C56" s="617"/>
      <c r="D56" s="618"/>
      <c r="E56" s="618"/>
      <c r="F56" s="618"/>
      <c r="G56" s="618"/>
      <c r="H56" s="513"/>
      <c r="I56" s="547">
        <f>MAX($I$50:$I$50)</f>
        <v>119154</v>
      </c>
      <c r="J56" s="547">
        <f t="shared" ref="J56:BD56" si="60">MAX($I$50:$I$50)</f>
        <v>119154</v>
      </c>
      <c r="K56" s="547">
        <f t="shared" si="60"/>
        <v>119154</v>
      </c>
      <c r="L56" s="547">
        <f t="shared" si="60"/>
        <v>119154</v>
      </c>
      <c r="M56" s="547">
        <f t="shared" si="60"/>
        <v>119154</v>
      </c>
      <c r="N56" s="547">
        <f t="shared" si="60"/>
        <v>119154</v>
      </c>
      <c r="O56" s="547">
        <f t="shared" si="60"/>
        <v>119154</v>
      </c>
      <c r="P56" s="547">
        <f t="shared" si="60"/>
        <v>119154</v>
      </c>
      <c r="Q56" s="547">
        <f t="shared" si="60"/>
        <v>119154</v>
      </c>
      <c r="R56" s="547">
        <f t="shared" si="60"/>
        <v>119154</v>
      </c>
      <c r="S56" s="547">
        <f t="shared" si="60"/>
        <v>119154</v>
      </c>
      <c r="T56" s="547">
        <f t="shared" si="60"/>
        <v>119154</v>
      </c>
      <c r="U56" s="547">
        <f t="shared" si="60"/>
        <v>119154</v>
      </c>
      <c r="V56" s="547">
        <f t="shared" si="60"/>
        <v>119154</v>
      </c>
      <c r="W56" s="547">
        <f t="shared" si="60"/>
        <v>119154</v>
      </c>
      <c r="X56" s="547">
        <f t="shared" si="60"/>
        <v>119154</v>
      </c>
      <c r="Y56" s="547">
        <f t="shared" si="60"/>
        <v>119154</v>
      </c>
      <c r="Z56" s="547">
        <f t="shared" si="60"/>
        <v>119154</v>
      </c>
      <c r="AA56" s="547">
        <f t="shared" si="60"/>
        <v>119154</v>
      </c>
      <c r="AB56" s="547">
        <f t="shared" si="60"/>
        <v>119154</v>
      </c>
      <c r="AC56" s="547">
        <f t="shared" si="60"/>
        <v>119154</v>
      </c>
      <c r="AD56" s="547">
        <f t="shared" si="60"/>
        <v>119154</v>
      </c>
      <c r="AE56" s="547">
        <f t="shared" si="60"/>
        <v>119154</v>
      </c>
      <c r="AF56" s="547">
        <f t="shared" si="60"/>
        <v>119154</v>
      </c>
      <c r="AG56" s="547">
        <f t="shared" si="60"/>
        <v>119154</v>
      </c>
      <c r="AH56" s="547">
        <f t="shared" si="60"/>
        <v>119154</v>
      </c>
      <c r="AI56" s="547">
        <f t="shared" si="60"/>
        <v>119154</v>
      </c>
      <c r="AJ56" s="547">
        <f t="shared" si="60"/>
        <v>119154</v>
      </c>
      <c r="AK56" s="547">
        <f t="shared" si="60"/>
        <v>119154</v>
      </c>
      <c r="AL56" s="547">
        <f t="shared" si="60"/>
        <v>119154</v>
      </c>
      <c r="AM56" s="547">
        <f t="shared" si="60"/>
        <v>119154</v>
      </c>
      <c r="AN56" s="547">
        <f t="shared" si="60"/>
        <v>119154</v>
      </c>
      <c r="AO56" s="547">
        <f t="shared" si="60"/>
        <v>119154</v>
      </c>
      <c r="AP56" s="547">
        <f t="shared" si="60"/>
        <v>119154</v>
      </c>
      <c r="AQ56" s="547">
        <f t="shared" si="60"/>
        <v>119154</v>
      </c>
      <c r="AR56" s="547">
        <f t="shared" si="60"/>
        <v>119154</v>
      </c>
      <c r="AS56" s="547">
        <f t="shared" si="60"/>
        <v>119154</v>
      </c>
      <c r="AT56" s="547">
        <f t="shared" si="60"/>
        <v>119154</v>
      </c>
      <c r="AU56" s="547">
        <f t="shared" si="60"/>
        <v>119154</v>
      </c>
      <c r="AV56" s="547">
        <f t="shared" si="60"/>
        <v>119154</v>
      </c>
      <c r="AW56" s="547">
        <f t="shared" si="60"/>
        <v>119154</v>
      </c>
      <c r="AX56" s="547">
        <f t="shared" si="60"/>
        <v>119154</v>
      </c>
      <c r="AY56" s="547">
        <f t="shared" si="60"/>
        <v>119154</v>
      </c>
      <c r="AZ56" s="547">
        <f t="shared" si="60"/>
        <v>119154</v>
      </c>
      <c r="BA56" s="547">
        <f t="shared" si="60"/>
        <v>119154</v>
      </c>
      <c r="BB56" s="547">
        <f t="shared" si="60"/>
        <v>119154</v>
      </c>
      <c r="BC56" s="547">
        <f t="shared" si="60"/>
        <v>119154</v>
      </c>
      <c r="BD56" s="547">
        <f t="shared" si="60"/>
        <v>119154</v>
      </c>
    </row>
    <row r="57" spans="2:56" x14ac:dyDescent="0.3">
      <c r="B57" s="404" t="s">
        <v>511</v>
      </c>
      <c r="C57" s="617"/>
      <c r="D57" s="618"/>
      <c r="E57" s="618"/>
      <c r="F57" s="618"/>
      <c r="G57" s="618"/>
      <c r="H57" s="513"/>
      <c r="I57" s="622">
        <f t="shared" ref="I57:N57" si="61">I50/I56</f>
        <v>1</v>
      </c>
      <c r="J57" s="622">
        <f t="shared" si="61"/>
        <v>0.93693035903116972</v>
      </c>
      <c r="K57" s="622">
        <f t="shared" si="61"/>
        <v>0.86223710492304073</v>
      </c>
      <c r="L57" s="622">
        <f t="shared" si="61"/>
        <v>0.89877805193279281</v>
      </c>
      <c r="M57" s="622">
        <f t="shared" si="61"/>
        <v>0.87550564815281062</v>
      </c>
      <c r="N57" s="622">
        <f t="shared" si="61"/>
        <v>0.82365678030112288</v>
      </c>
      <c r="O57" s="622">
        <f t="shared" ref="O57:BD57" si="62">O50/O56</f>
        <v>0.8282140759017742</v>
      </c>
      <c r="P57" s="622">
        <f t="shared" si="62"/>
        <v>0.83741981301508972</v>
      </c>
      <c r="Q57" s="622">
        <f t="shared" si="62"/>
        <v>0.85150459079846252</v>
      </c>
      <c r="R57" s="622">
        <f t="shared" si="62"/>
        <v>0.86601191191533655</v>
      </c>
      <c r="S57" s="622">
        <f t="shared" si="62"/>
        <v>0.8809544526657167</v>
      </c>
      <c r="T57" s="622">
        <f t="shared" si="62"/>
        <v>0.89634526963860839</v>
      </c>
      <c r="U57" s="622">
        <f t="shared" si="62"/>
        <v>0.91219781112068665</v>
      </c>
      <c r="V57" s="622">
        <f t="shared" si="62"/>
        <v>0.9285259288472274</v>
      </c>
      <c r="W57" s="622">
        <f t="shared" si="62"/>
        <v>0.94534389010556441</v>
      </c>
      <c r="X57" s="622">
        <f t="shared" si="62"/>
        <v>0.96266639020165135</v>
      </c>
      <c r="Y57" s="622">
        <f t="shared" si="62"/>
        <v>0.98050856530062114</v>
      </c>
      <c r="Z57" s="622">
        <f t="shared" si="62"/>
        <v>0.99888600565255981</v>
      </c>
      <c r="AA57" s="622">
        <f t="shared" si="62"/>
        <v>1</v>
      </c>
      <c r="AB57" s="622">
        <f t="shared" si="62"/>
        <v>1</v>
      </c>
      <c r="AC57" s="622">
        <f t="shared" si="62"/>
        <v>1</v>
      </c>
      <c r="AD57" s="622">
        <f t="shared" si="62"/>
        <v>1</v>
      </c>
      <c r="AE57" s="622">
        <f t="shared" si="62"/>
        <v>1</v>
      </c>
      <c r="AF57" s="622">
        <f t="shared" si="62"/>
        <v>1</v>
      </c>
      <c r="AG57" s="622">
        <f t="shared" si="62"/>
        <v>1</v>
      </c>
      <c r="AH57" s="622">
        <f t="shared" si="62"/>
        <v>1</v>
      </c>
      <c r="AI57" s="622">
        <f t="shared" si="62"/>
        <v>1</v>
      </c>
      <c r="AJ57" s="622">
        <f t="shared" si="62"/>
        <v>1</v>
      </c>
      <c r="AK57" s="622">
        <f t="shared" si="62"/>
        <v>1</v>
      </c>
      <c r="AL57" s="622">
        <f t="shared" si="62"/>
        <v>1</v>
      </c>
      <c r="AM57" s="622">
        <f t="shared" si="62"/>
        <v>1</v>
      </c>
      <c r="AN57" s="622">
        <f t="shared" si="62"/>
        <v>1</v>
      </c>
      <c r="AO57" s="622">
        <f t="shared" si="62"/>
        <v>1</v>
      </c>
      <c r="AP57" s="622">
        <f t="shared" si="62"/>
        <v>1</v>
      </c>
      <c r="AQ57" s="622">
        <f t="shared" si="62"/>
        <v>1</v>
      </c>
      <c r="AR57" s="622">
        <f t="shared" si="62"/>
        <v>1</v>
      </c>
      <c r="AS57" s="622">
        <f t="shared" si="62"/>
        <v>1</v>
      </c>
      <c r="AT57" s="622">
        <f t="shared" si="62"/>
        <v>1</v>
      </c>
      <c r="AU57" s="622">
        <f t="shared" si="62"/>
        <v>1</v>
      </c>
      <c r="AV57" s="622">
        <f t="shared" si="62"/>
        <v>1</v>
      </c>
      <c r="AW57" s="622">
        <f t="shared" si="62"/>
        <v>1</v>
      </c>
      <c r="AX57" s="622">
        <f t="shared" si="62"/>
        <v>1</v>
      </c>
      <c r="AY57" s="622">
        <f t="shared" si="62"/>
        <v>1</v>
      </c>
      <c r="AZ57" s="622">
        <f t="shared" si="62"/>
        <v>1</v>
      </c>
      <c r="BA57" s="622">
        <f t="shared" si="62"/>
        <v>1</v>
      </c>
      <c r="BB57" s="622">
        <f t="shared" si="62"/>
        <v>1</v>
      </c>
      <c r="BC57" s="622">
        <f t="shared" si="62"/>
        <v>1</v>
      </c>
      <c r="BD57" s="622">
        <f t="shared" si="62"/>
        <v>1</v>
      </c>
    </row>
    <row r="58" spans="2:56" x14ac:dyDescent="0.3">
      <c r="C58" s="617"/>
      <c r="D58" s="618"/>
      <c r="E58" s="618"/>
      <c r="F58" s="618"/>
      <c r="G58" s="618"/>
      <c r="H58" s="513"/>
      <c r="I58" s="513"/>
      <c r="J58" s="513"/>
      <c r="K58" s="513"/>
      <c r="L58" s="513"/>
      <c r="M58" s="513"/>
      <c r="N58" s="513"/>
      <c r="O58" s="619"/>
      <c r="P58" s="619"/>
      <c r="Q58" s="619"/>
      <c r="R58" s="619"/>
      <c r="S58" s="619"/>
      <c r="T58" s="619"/>
      <c r="U58" s="619"/>
      <c r="V58" s="619"/>
      <c r="W58" s="619"/>
      <c r="X58" s="619"/>
      <c r="Y58" s="619"/>
      <c r="Z58" s="619"/>
      <c r="AA58" s="619"/>
      <c r="AB58" s="619"/>
      <c r="AC58" s="619"/>
      <c r="AD58" s="619"/>
      <c r="AE58" s="619"/>
      <c r="AF58" s="619"/>
      <c r="AG58" s="619"/>
      <c r="AH58" s="619"/>
      <c r="AI58" s="619"/>
      <c r="AJ58" s="619"/>
      <c r="AK58" s="619"/>
      <c r="AL58" s="619"/>
      <c r="AM58" s="619"/>
      <c r="AN58" s="619"/>
      <c r="AO58" s="619"/>
      <c r="AP58" s="619"/>
      <c r="AQ58" s="619"/>
      <c r="AR58" s="619"/>
      <c r="AS58" s="619"/>
      <c r="AT58" s="619"/>
      <c r="AU58" s="619"/>
      <c r="AV58" s="619"/>
      <c r="AW58" s="619"/>
      <c r="AX58" s="619"/>
      <c r="AY58" s="619"/>
      <c r="AZ58" s="619"/>
      <c r="BA58" s="619"/>
      <c r="BB58" s="619"/>
      <c r="BC58" s="619"/>
      <c r="BD58" s="619"/>
    </row>
    <row r="59" spans="2:56" x14ac:dyDescent="0.3">
      <c r="B59" s="657" t="s">
        <v>451</v>
      </c>
      <c r="C59" s="617"/>
      <c r="D59" s="618"/>
      <c r="E59" s="618"/>
      <c r="F59" s="618"/>
      <c r="G59" s="618"/>
      <c r="H59" s="513"/>
      <c r="I59" s="513"/>
      <c r="J59" s="513"/>
      <c r="K59" s="513"/>
      <c r="L59" s="513"/>
      <c r="M59" s="513"/>
      <c r="N59" s="513"/>
      <c r="O59" s="619"/>
      <c r="P59" s="619"/>
      <c r="Q59" s="619"/>
      <c r="R59" s="619"/>
      <c r="S59" s="619"/>
      <c r="T59" s="619"/>
      <c r="U59" s="619"/>
      <c r="V59" s="619"/>
      <c r="W59" s="619"/>
      <c r="X59" s="619"/>
      <c r="Y59" s="619"/>
      <c r="Z59" s="619"/>
      <c r="AA59" s="619"/>
      <c r="AB59" s="619"/>
      <c r="AC59" s="619"/>
      <c r="AD59" s="619"/>
      <c r="AE59" s="619"/>
      <c r="AF59" s="619"/>
      <c r="AG59" s="619"/>
      <c r="AH59" s="619"/>
      <c r="AI59" s="619"/>
      <c r="AJ59" s="619"/>
      <c r="AK59" s="619"/>
      <c r="AL59" s="619"/>
      <c r="AM59" s="619"/>
      <c r="AN59" s="619"/>
      <c r="AO59" s="619"/>
      <c r="AP59" s="619"/>
      <c r="AQ59" s="619"/>
      <c r="AR59" s="619"/>
      <c r="AS59" s="619"/>
      <c r="AT59" s="619"/>
      <c r="AU59" s="619"/>
      <c r="AV59" s="619"/>
      <c r="AW59" s="619"/>
      <c r="AX59" s="619"/>
      <c r="AY59" s="619"/>
      <c r="AZ59" s="619"/>
      <c r="BA59" s="619"/>
      <c r="BB59" s="619"/>
      <c r="BC59" s="619"/>
      <c r="BD59" s="619"/>
    </row>
    <row r="60" spans="2:56" x14ac:dyDescent="0.3">
      <c r="B60" s="657"/>
      <c r="C60" s="617"/>
      <c r="D60" s="618"/>
      <c r="E60" s="618"/>
      <c r="F60" s="618"/>
      <c r="G60" s="618"/>
      <c r="H60" s="513"/>
      <c r="I60" s="513"/>
      <c r="J60" s="513">
        <f t="shared" ref="J60:O60" si="63">J61/I61-1</f>
        <v>9.291403239245577E-2</v>
      </c>
      <c r="K60" s="513">
        <f t="shared" si="63"/>
        <v>0.17757777430295119</v>
      </c>
      <c r="L60" s="513">
        <f t="shared" si="63"/>
        <v>-2.1952624650920405E-2</v>
      </c>
      <c r="M60" s="513">
        <f t="shared" si="63"/>
        <v>-2.3430484255268058E-2</v>
      </c>
      <c r="N60" s="513">
        <f t="shared" si="63"/>
        <v>9.0360911465691363E-2</v>
      </c>
      <c r="O60" s="513">
        <f t="shared" si="63"/>
        <v>4.4999999999999929E-2</v>
      </c>
      <c r="P60" s="619"/>
      <c r="Q60" s="619"/>
      <c r="R60" s="619"/>
      <c r="S60" s="619"/>
      <c r="T60" s="619"/>
      <c r="U60" s="619"/>
      <c r="V60" s="619"/>
      <c r="W60" s="619"/>
      <c r="X60" s="619"/>
      <c r="Y60" s="619"/>
      <c r="Z60" s="619"/>
      <c r="AA60" s="619"/>
      <c r="AB60" s="619"/>
      <c r="AC60" s="619"/>
      <c r="AD60" s="619"/>
      <c r="AE60" s="619"/>
      <c r="AF60" s="619"/>
      <c r="AG60" s="619"/>
      <c r="AH60" s="619"/>
      <c r="AI60" s="619"/>
      <c r="AJ60" s="619"/>
      <c r="AK60" s="619"/>
      <c r="AL60" s="619"/>
      <c r="AM60" s="619"/>
      <c r="AN60" s="619"/>
      <c r="AO60" s="619"/>
      <c r="AP60" s="619"/>
      <c r="AQ60" s="619"/>
      <c r="AR60" s="619"/>
      <c r="AS60" s="619"/>
      <c r="AT60" s="619"/>
      <c r="AU60" s="619"/>
      <c r="AV60" s="619"/>
      <c r="AW60" s="619"/>
      <c r="AX60" s="619"/>
      <c r="AY60" s="619"/>
      <c r="AZ60" s="619"/>
      <c r="BA60" s="619"/>
      <c r="BB60" s="619"/>
      <c r="BC60" s="619"/>
      <c r="BD60" s="619"/>
    </row>
    <row r="61" spans="2:56" x14ac:dyDescent="0.3">
      <c r="B61" s="390" t="s">
        <v>452</v>
      </c>
      <c r="C61" s="617"/>
      <c r="D61" s="618"/>
      <c r="E61" s="618"/>
      <c r="F61" s="618"/>
      <c r="G61" s="618"/>
      <c r="H61" s="513"/>
      <c r="I61" s="517">
        <f t="shared" ref="I61:M64" si="64">1000*I42/I50</f>
        <v>17.145878443023314</v>
      </c>
      <c r="J61" s="517">
        <f t="shared" si="64"/>
        <v>18.738971148075493</v>
      </c>
      <c r="K61" s="517">
        <f t="shared" si="64"/>
        <v>22.066595937277956</v>
      </c>
      <c r="L61" s="517">
        <f t="shared" si="64"/>
        <v>21.582176239343369</v>
      </c>
      <c r="M61" s="517">
        <f t="shared" si="64"/>
        <v>21.076495398773012</v>
      </c>
      <c r="N61" s="517">
        <f t="shared" ref="N61" si="65">1000*N42/N50</f>
        <v>22.980986733508594</v>
      </c>
      <c r="O61" s="627">
        <f>N61*(1+O$8)</f>
        <v>24.01513113651648</v>
      </c>
      <c r="P61" s="627">
        <f t="shared" ref="P61:BD64" si="66">O61*(1+P$8)</f>
        <v>25.095812037659719</v>
      </c>
      <c r="Q61" s="627">
        <f t="shared" si="66"/>
        <v>26.225123579354406</v>
      </c>
      <c r="R61" s="627">
        <f t="shared" si="66"/>
        <v>27.405254140425352</v>
      </c>
      <c r="S61" s="627">
        <f t="shared" si="66"/>
        <v>28.638490576744491</v>
      </c>
      <c r="T61" s="627">
        <f t="shared" si="66"/>
        <v>29.927222652697992</v>
      </c>
      <c r="U61" s="627">
        <f t="shared" si="66"/>
        <v>31.273947672069401</v>
      </c>
      <c r="V61" s="627">
        <f t="shared" si="66"/>
        <v>32.681275317312519</v>
      </c>
      <c r="W61" s="627">
        <f t="shared" si="66"/>
        <v>34.15193270659158</v>
      </c>
      <c r="X61" s="627">
        <f t="shared" si="66"/>
        <v>35.688769678388198</v>
      </c>
      <c r="Y61" s="627">
        <f t="shared" si="66"/>
        <v>37.294764313915664</v>
      </c>
      <c r="Z61" s="627">
        <f t="shared" si="66"/>
        <v>38.973028708041866</v>
      </c>
      <c r="AA61" s="627">
        <f t="shared" si="66"/>
        <v>40.726814999903745</v>
      </c>
      <c r="AB61" s="627">
        <f t="shared" si="66"/>
        <v>42.559521674899408</v>
      </c>
      <c r="AC61" s="627">
        <f t="shared" si="66"/>
        <v>44.474700150269875</v>
      </c>
      <c r="AD61" s="627">
        <f t="shared" si="66"/>
        <v>46.47606165703202</v>
      </c>
      <c r="AE61" s="627">
        <f t="shared" si="66"/>
        <v>48.567484431598459</v>
      </c>
      <c r="AF61" s="627">
        <f t="shared" si="66"/>
        <v>50.753021231020384</v>
      </c>
      <c r="AG61" s="627">
        <f t="shared" si="66"/>
        <v>53.0369071864163</v>
      </c>
      <c r="AH61" s="627">
        <f t="shared" si="66"/>
        <v>55.423568009805031</v>
      </c>
      <c r="AI61" s="627">
        <f t="shared" si="66"/>
        <v>57.917628570246251</v>
      </c>
      <c r="AJ61" s="627">
        <f t="shared" si="66"/>
        <v>60.523921855907325</v>
      </c>
      <c r="AK61" s="627">
        <f t="shared" si="66"/>
        <v>63.247498339423153</v>
      </c>
      <c r="AL61" s="627">
        <f t="shared" si="66"/>
        <v>66.093635764697197</v>
      </c>
      <c r="AM61" s="627">
        <f t="shared" si="66"/>
        <v>69.067849374108562</v>
      </c>
      <c r="AN61" s="627">
        <f t="shared" si="66"/>
        <v>72.175902595943441</v>
      </c>
      <c r="AO61" s="627">
        <f t="shared" si="66"/>
        <v>75.423818212760892</v>
      </c>
      <c r="AP61" s="627">
        <f t="shared" si="66"/>
        <v>78.817890032335129</v>
      </c>
      <c r="AQ61" s="627">
        <f t="shared" si="66"/>
        <v>82.36469508379021</v>
      </c>
      <c r="AR61" s="627">
        <f t="shared" si="66"/>
        <v>86.071106362560769</v>
      </c>
      <c r="AS61" s="627">
        <f t="shared" si="66"/>
        <v>89.944306148875995</v>
      </c>
      <c r="AT61" s="627">
        <f t="shared" si="66"/>
        <v>93.991799925575407</v>
      </c>
      <c r="AU61" s="627">
        <f t="shared" si="66"/>
        <v>98.22143092222629</v>
      </c>
      <c r="AV61" s="627">
        <f t="shared" si="66"/>
        <v>102.64139531372646</v>
      </c>
      <c r="AW61" s="627">
        <f t="shared" si="66"/>
        <v>107.26025810284415</v>
      </c>
      <c r="AX61" s="627">
        <f t="shared" si="66"/>
        <v>112.08696971747213</v>
      </c>
      <c r="AY61" s="627">
        <f t="shared" si="66"/>
        <v>117.13088335475837</v>
      </c>
      <c r="AZ61" s="627">
        <f t="shared" si="66"/>
        <v>122.40177310572248</v>
      </c>
      <c r="BA61" s="627">
        <f t="shared" si="66"/>
        <v>127.90985289547999</v>
      </c>
      <c r="BB61" s="627">
        <f t="shared" si="66"/>
        <v>133.66579627577659</v>
      </c>
      <c r="BC61" s="627">
        <f t="shared" si="66"/>
        <v>139.68075710818653</v>
      </c>
      <c r="BD61" s="627">
        <f t="shared" si="66"/>
        <v>145.96639117805492</v>
      </c>
    </row>
    <row r="62" spans="2:56" x14ac:dyDescent="0.3">
      <c r="B62" s="399" t="s">
        <v>445</v>
      </c>
      <c r="C62" s="617"/>
      <c r="D62" s="618"/>
      <c r="E62" s="618"/>
      <c r="F62" s="618"/>
      <c r="G62" s="618"/>
      <c r="H62" s="513"/>
      <c r="I62" s="517">
        <f t="shared" si="64"/>
        <v>22.686440335046331</v>
      </c>
      <c r="J62" s="517">
        <f t="shared" si="64"/>
        <v>26.066850365400743</v>
      </c>
      <c r="K62" s="517">
        <f t="shared" si="64"/>
        <v>30.566133536430566</v>
      </c>
      <c r="L62" s="517">
        <f t="shared" si="64"/>
        <v>31.233980227023068</v>
      </c>
      <c r="M62" s="517">
        <f t="shared" si="64"/>
        <v>31.319413593958242</v>
      </c>
      <c r="N62" s="517">
        <f t="shared" ref="N62" si="67">1000*N43/N51</f>
        <v>33.045957954771538</v>
      </c>
      <c r="O62" s="627">
        <f>N62*(1+O$8)</f>
        <v>34.533026062736255</v>
      </c>
      <c r="P62" s="627">
        <f t="shared" ref="P62:AC62" si="68">O62*(1+P$8)</f>
        <v>36.087012235559385</v>
      </c>
      <c r="Q62" s="627">
        <f t="shared" si="68"/>
        <v>37.710927786159552</v>
      </c>
      <c r="R62" s="627">
        <f t="shared" si="68"/>
        <v>39.407919536536731</v>
      </c>
      <c r="S62" s="627">
        <f t="shared" si="68"/>
        <v>41.181275915680878</v>
      </c>
      <c r="T62" s="627">
        <f t="shared" si="68"/>
        <v>43.034433331886518</v>
      </c>
      <c r="U62" s="627">
        <f t="shared" si="68"/>
        <v>44.970982831821409</v>
      </c>
      <c r="V62" s="627">
        <f t="shared" si="68"/>
        <v>46.99467705925337</v>
      </c>
      <c r="W62" s="627">
        <f t="shared" si="68"/>
        <v>49.10943752691977</v>
      </c>
      <c r="X62" s="627">
        <f t="shared" si="68"/>
        <v>51.319362215631159</v>
      </c>
      <c r="Y62" s="627">
        <f t="shared" si="68"/>
        <v>53.628733515334559</v>
      </c>
      <c r="Z62" s="627">
        <f t="shared" si="68"/>
        <v>56.042026523524612</v>
      </c>
      <c r="AA62" s="627">
        <f t="shared" si="68"/>
        <v>58.563917717083214</v>
      </c>
      <c r="AB62" s="627">
        <f t="shared" si="68"/>
        <v>61.199294014351956</v>
      </c>
      <c r="AC62" s="627">
        <f t="shared" si="68"/>
        <v>63.953262244997788</v>
      </c>
      <c r="AD62" s="627">
        <f t="shared" si="66"/>
        <v>66.831159046022677</v>
      </c>
      <c r="AE62" s="627">
        <f t="shared" si="66"/>
        <v>69.83856120309369</v>
      </c>
      <c r="AF62" s="627">
        <f t="shared" si="66"/>
        <v>72.981296457232901</v>
      </c>
      <c r="AG62" s="627">
        <f t="shared" si="66"/>
        <v>76.265454797808374</v>
      </c>
      <c r="AH62" s="627">
        <f t="shared" si="66"/>
        <v>79.697400263709739</v>
      </c>
      <c r="AI62" s="627">
        <f t="shared" si="66"/>
        <v>83.283783275576667</v>
      </c>
      <c r="AJ62" s="627">
        <f t="shared" si="66"/>
        <v>87.031553522977617</v>
      </c>
      <c r="AK62" s="627">
        <f t="shared" si="66"/>
        <v>90.947973431511599</v>
      </c>
      <c r="AL62" s="627">
        <f t="shared" si="66"/>
        <v>95.040632235929621</v>
      </c>
      <c r="AM62" s="627">
        <f t="shared" si="66"/>
        <v>99.317460686546454</v>
      </c>
      <c r="AN62" s="627">
        <f t="shared" si="66"/>
        <v>103.78674641744104</v>
      </c>
      <c r="AO62" s="627">
        <f t="shared" si="66"/>
        <v>108.45715000622587</v>
      </c>
      <c r="AP62" s="627">
        <f t="shared" si="66"/>
        <v>113.33772175650603</v>
      </c>
      <c r="AQ62" s="627">
        <f t="shared" si="66"/>
        <v>118.43791923554879</v>
      </c>
      <c r="AR62" s="627">
        <f t="shared" si="66"/>
        <v>123.76762560114848</v>
      </c>
      <c r="AS62" s="627">
        <f t="shared" si="66"/>
        <v>129.33716875320016</v>
      </c>
      <c r="AT62" s="627">
        <f t="shared" si="66"/>
        <v>135.15734134709416</v>
      </c>
      <c r="AU62" s="627">
        <f t="shared" si="66"/>
        <v>141.23942170771338</v>
      </c>
      <c r="AV62" s="627">
        <f t="shared" si="66"/>
        <v>147.59519568456048</v>
      </c>
      <c r="AW62" s="627">
        <f t="shared" si="66"/>
        <v>154.23697949036568</v>
      </c>
      <c r="AX62" s="627">
        <f t="shared" si="66"/>
        <v>161.17764356743214</v>
      </c>
      <c r="AY62" s="627">
        <f t="shared" si="66"/>
        <v>168.43063752796658</v>
      </c>
      <c r="AZ62" s="627">
        <f t="shared" si="66"/>
        <v>176.01001621672506</v>
      </c>
      <c r="BA62" s="627">
        <f t="shared" si="66"/>
        <v>183.93046694647768</v>
      </c>
      <c r="BB62" s="627">
        <f t="shared" si="66"/>
        <v>192.20733795906915</v>
      </c>
      <c r="BC62" s="627">
        <f t="shared" si="66"/>
        <v>200.85666816722724</v>
      </c>
      <c r="BD62" s="627">
        <f t="shared" si="66"/>
        <v>209.89521823475246</v>
      </c>
    </row>
    <row r="63" spans="2:56" x14ac:dyDescent="0.3">
      <c r="B63" s="416" t="s">
        <v>446</v>
      </c>
      <c r="C63" s="617"/>
      <c r="D63" s="618"/>
      <c r="E63" s="618"/>
      <c r="F63" s="618"/>
      <c r="G63" s="618"/>
      <c r="H63" s="513"/>
      <c r="I63" s="517">
        <f t="shared" si="64"/>
        <v>11.111693484983491</v>
      </c>
      <c r="J63" s="517">
        <f t="shared" si="64"/>
        <v>12.110037613393319</v>
      </c>
      <c r="K63" s="517">
        <f t="shared" si="64"/>
        <v>16.904061212477927</v>
      </c>
      <c r="L63" s="517">
        <f t="shared" si="64"/>
        <v>16.737530485830835</v>
      </c>
      <c r="M63" s="517">
        <f t="shared" si="64"/>
        <v>14.982867125036393</v>
      </c>
      <c r="N63" s="517">
        <f t="shared" ref="N63" si="69">1000*N44/N52</f>
        <v>17.002737226277372</v>
      </c>
      <c r="O63" s="627">
        <f>N63*(1+O$8)</f>
        <v>17.767860401459853</v>
      </c>
      <c r="P63" s="627">
        <f t="shared" si="66"/>
        <v>18.567414119525544</v>
      </c>
      <c r="Q63" s="627">
        <f t="shared" si="66"/>
        <v>19.402947754904194</v>
      </c>
      <c r="R63" s="627">
        <f t="shared" si="66"/>
        <v>20.276080403874882</v>
      </c>
      <c r="S63" s="627">
        <f t="shared" si="66"/>
        <v>21.188504022049251</v>
      </c>
      <c r="T63" s="627">
        <f t="shared" si="66"/>
        <v>22.141986703041468</v>
      </c>
      <c r="U63" s="627">
        <f t="shared" si="66"/>
        <v>23.138376104678333</v>
      </c>
      <c r="V63" s="627">
        <f t="shared" si="66"/>
        <v>24.179603029388858</v>
      </c>
      <c r="W63" s="627">
        <f t="shared" si="66"/>
        <v>25.267685165711356</v>
      </c>
      <c r="X63" s="627">
        <f t="shared" si="66"/>
        <v>26.404730998168365</v>
      </c>
      <c r="Y63" s="627">
        <f t="shared" si="66"/>
        <v>27.592943893085938</v>
      </c>
      <c r="Z63" s="627">
        <f t="shared" si="66"/>
        <v>28.834626368274805</v>
      </c>
      <c r="AA63" s="627">
        <f t="shared" si="66"/>
        <v>30.132184554847168</v>
      </c>
      <c r="AB63" s="627">
        <f t="shared" si="66"/>
        <v>31.488132859815288</v>
      </c>
      <c r="AC63" s="627">
        <f t="shared" si="66"/>
        <v>32.905098838506973</v>
      </c>
      <c r="AD63" s="627">
        <f t="shared" si="66"/>
        <v>34.385828286239786</v>
      </c>
      <c r="AE63" s="627">
        <f t="shared" si="66"/>
        <v>35.933190559120575</v>
      </c>
      <c r="AF63" s="627">
        <f t="shared" si="66"/>
        <v>37.550184134280997</v>
      </c>
      <c r="AG63" s="627">
        <f t="shared" si="66"/>
        <v>39.239942420323636</v>
      </c>
      <c r="AH63" s="627">
        <f t="shared" si="66"/>
        <v>41.005739829238195</v>
      </c>
      <c r="AI63" s="627">
        <f t="shared" si="66"/>
        <v>42.850998121553907</v>
      </c>
      <c r="AJ63" s="627">
        <f t="shared" si="66"/>
        <v>44.779293037023827</v>
      </c>
      <c r="AK63" s="627">
        <f t="shared" si="66"/>
        <v>46.794361223689897</v>
      </c>
      <c r="AL63" s="627">
        <f t="shared" si="66"/>
        <v>48.900107478755942</v>
      </c>
      <c r="AM63" s="627">
        <f t="shared" si="66"/>
        <v>51.100612315299955</v>
      </c>
      <c r="AN63" s="627">
        <f t="shared" si="66"/>
        <v>53.400139869488449</v>
      </c>
      <c r="AO63" s="627">
        <f t="shared" si="66"/>
        <v>55.803146163615423</v>
      </c>
      <c r="AP63" s="627">
        <f t="shared" si="66"/>
        <v>58.314287740978116</v>
      </c>
      <c r="AQ63" s="627">
        <f t="shared" si="66"/>
        <v>60.938430689322125</v>
      </c>
      <c r="AR63" s="627">
        <f t="shared" si="66"/>
        <v>63.680660070341617</v>
      </c>
      <c r="AS63" s="627">
        <f t="shared" si="66"/>
        <v>66.546289773506984</v>
      </c>
      <c r="AT63" s="627">
        <f t="shared" si="66"/>
        <v>69.540872813314792</v>
      </c>
      <c r="AU63" s="627">
        <f t="shared" si="66"/>
        <v>72.670212089913946</v>
      </c>
      <c r="AV63" s="627">
        <f t="shared" si="66"/>
        <v>75.940371633960069</v>
      </c>
      <c r="AW63" s="627">
        <f t="shared" si="66"/>
        <v>79.357688357488271</v>
      </c>
      <c r="AX63" s="627">
        <f t="shared" si="66"/>
        <v>82.928784333575237</v>
      </c>
      <c r="AY63" s="627">
        <f t="shared" si="66"/>
        <v>86.66057962858612</v>
      </c>
      <c r="AZ63" s="627">
        <f t="shared" si="66"/>
        <v>90.560305711872488</v>
      </c>
      <c r="BA63" s="627">
        <f t="shared" si="66"/>
        <v>94.63551946890675</v>
      </c>
      <c r="BB63" s="627">
        <f t="shared" si="66"/>
        <v>98.894117845007543</v>
      </c>
      <c r="BC63" s="627">
        <f t="shared" si="66"/>
        <v>103.34435314803288</v>
      </c>
      <c r="BD63" s="627">
        <f t="shared" si="66"/>
        <v>107.99484903969436</v>
      </c>
    </row>
    <row r="64" spans="2:56" x14ac:dyDescent="0.3">
      <c r="B64" s="399" t="s">
        <v>447</v>
      </c>
      <c r="C64" s="617"/>
      <c r="D64" s="618"/>
      <c r="E64" s="618"/>
      <c r="F64" s="618"/>
      <c r="G64" s="618"/>
      <c r="H64" s="513"/>
      <c r="I64" s="517">
        <f t="shared" si="64"/>
        <v>7.9094076655052268</v>
      </c>
      <c r="J64" s="517">
        <f t="shared" si="64"/>
        <v>7.8146918944811308</v>
      </c>
      <c r="K64" s="517">
        <f t="shared" si="64"/>
        <v>8.0643211219925046</v>
      </c>
      <c r="L64" s="517">
        <f t="shared" si="64"/>
        <v>9.2932685436615703</v>
      </c>
      <c r="M64" s="517">
        <f t="shared" si="64"/>
        <v>10.296572544841059</v>
      </c>
      <c r="N64" s="517">
        <f t="shared" ref="N64" si="70">1000*N45/N53</f>
        <v>10.507786613651424</v>
      </c>
      <c r="O64" s="627">
        <f>N64*(1+O$8)</f>
        <v>10.980637011265738</v>
      </c>
      <c r="P64" s="627">
        <f t="shared" si="66"/>
        <v>11.474765676772696</v>
      </c>
      <c r="Q64" s="627">
        <f t="shared" si="66"/>
        <v>11.991130132227466</v>
      </c>
      <c r="R64" s="627">
        <f t="shared" si="66"/>
        <v>12.530730988177702</v>
      </c>
      <c r="S64" s="627">
        <f t="shared" si="66"/>
        <v>13.094613882645698</v>
      </c>
      <c r="T64" s="627">
        <f t="shared" si="66"/>
        <v>13.683871507364753</v>
      </c>
      <c r="U64" s="627">
        <f t="shared" si="66"/>
        <v>14.299645725196166</v>
      </c>
      <c r="V64" s="627">
        <f t="shared" si="66"/>
        <v>14.943129782829992</v>
      </c>
      <c r="W64" s="627">
        <f t="shared" si="66"/>
        <v>15.615570623057341</v>
      </c>
      <c r="X64" s="627">
        <f t="shared" si="66"/>
        <v>16.318271301094921</v>
      </c>
      <c r="Y64" s="627">
        <f t="shared" si="66"/>
        <v>17.05259350964419</v>
      </c>
      <c r="Z64" s="627">
        <f t="shared" si="66"/>
        <v>17.819960217578178</v>
      </c>
      <c r="AA64" s="627">
        <f t="shared" si="66"/>
        <v>18.621858427369194</v>
      </c>
      <c r="AB64" s="627">
        <f t="shared" si="66"/>
        <v>19.459842056600806</v>
      </c>
      <c r="AC64" s="627">
        <f t="shared" si="66"/>
        <v>20.335534949147842</v>
      </c>
      <c r="AD64" s="627">
        <f t="shared" si="66"/>
        <v>21.250634021859494</v>
      </c>
      <c r="AE64" s="627">
        <f t="shared" si="66"/>
        <v>22.206912552843168</v>
      </c>
      <c r="AF64" s="627">
        <f t="shared" si="66"/>
        <v>23.206223617721108</v>
      </c>
      <c r="AG64" s="627">
        <f t="shared" si="66"/>
        <v>24.250503680518555</v>
      </c>
      <c r="AH64" s="627">
        <f t="shared" si="66"/>
        <v>25.341776346141888</v>
      </c>
      <c r="AI64" s="627">
        <f t="shared" si="66"/>
        <v>26.482156281718272</v>
      </c>
      <c r="AJ64" s="627">
        <f t="shared" si="66"/>
        <v>27.673853314395593</v>
      </c>
      <c r="AK64" s="627">
        <f t="shared" si="66"/>
        <v>28.919176713543393</v>
      </c>
      <c r="AL64" s="627">
        <f t="shared" si="66"/>
        <v>30.220539665652844</v>
      </c>
      <c r="AM64" s="627">
        <f t="shared" si="66"/>
        <v>31.580463950607218</v>
      </c>
      <c r="AN64" s="627">
        <f t="shared" si="66"/>
        <v>33.001584828384537</v>
      </c>
      <c r="AO64" s="627">
        <f t="shared" si="66"/>
        <v>34.48665614566184</v>
      </c>
      <c r="AP64" s="627">
        <f t="shared" si="66"/>
        <v>36.038555672216617</v>
      </c>
      <c r="AQ64" s="627">
        <f t="shared" si="66"/>
        <v>37.660290677466364</v>
      </c>
      <c r="AR64" s="627">
        <f t="shared" si="66"/>
        <v>39.355003757952346</v>
      </c>
      <c r="AS64" s="627">
        <f t="shared" si="66"/>
        <v>41.125978927060196</v>
      </c>
      <c r="AT64" s="627">
        <f t="shared" si="66"/>
        <v>42.976647978777905</v>
      </c>
      <c r="AU64" s="627">
        <f t="shared" si="66"/>
        <v>44.910597137822904</v>
      </c>
      <c r="AV64" s="627">
        <f t="shared" si="66"/>
        <v>46.931574009024935</v>
      </c>
      <c r="AW64" s="627">
        <f t="shared" si="66"/>
        <v>49.043494839431055</v>
      </c>
      <c r="AX64" s="627">
        <f t="shared" si="66"/>
        <v>51.250452107205447</v>
      </c>
      <c r="AY64" s="627">
        <f t="shared" si="66"/>
        <v>53.556722452029689</v>
      </c>
      <c r="AZ64" s="627">
        <f t="shared" si="66"/>
        <v>55.966774962371019</v>
      </c>
      <c r="BA64" s="627">
        <f t="shared" si="66"/>
        <v>58.485279835677709</v>
      </c>
      <c r="BB64" s="627">
        <f t="shared" si="66"/>
        <v>61.117117428283201</v>
      </c>
      <c r="BC64" s="627">
        <f t="shared" si="66"/>
        <v>63.867387712555939</v>
      </c>
      <c r="BD64" s="627">
        <f t="shared" si="66"/>
        <v>66.741420159620958</v>
      </c>
    </row>
    <row r="65" spans="2:56" x14ac:dyDescent="0.3">
      <c r="B65" s="617"/>
      <c r="C65" s="617"/>
      <c r="D65" s="618"/>
      <c r="E65" s="618"/>
      <c r="F65" s="618"/>
      <c r="G65" s="618"/>
      <c r="H65" s="513"/>
      <c r="I65" s="513"/>
      <c r="J65" s="513"/>
      <c r="K65" s="513"/>
      <c r="L65" s="513"/>
      <c r="M65" s="513"/>
      <c r="N65" s="513"/>
      <c r="O65" s="619"/>
      <c r="P65" s="619"/>
      <c r="Q65" s="619"/>
      <c r="R65" s="619"/>
      <c r="S65" s="619"/>
      <c r="T65" s="619"/>
      <c r="U65" s="619"/>
      <c r="V65" s="619"/>
      <c r="W65" s="619"/>
      <c r="X65" s="619"/>
      <c r="Y65" s="619"/>
      <c r="Z65" s="619"/>
      <c r="AA65" s="619"/>
      <c r="AB65" s="619"/>
      <c r="AC65" s="619"/>
      <c r="AD65" s="619"/>
      <c r="AE65" s="619"/>
      <c r="AF65" s="619"/>
      <c r="AG65" s="619"/>
      <c r="AH65" s="619"/>
      <c r="AI65" s="619"/>
      <c r="AJ65" s="619"/>
      <c r="AK65" s="619"/>
      <c r="AL65" s="619"/>
      <c r="AM65" s="619"/>
      <c r="AN65" s="619"/>
      <c r="AO65" s="619"/>
      <c r="AP65" s="619"/>
      <c r="AQ65" s="619"/>
      <c r="AR65" s="619"/>
      <c r="AS65" s="619"/>
      <c r="AT65" s="619"/>
      <c r="AU65" s="619"/>
      <c r="AV65" s="619"/>
      <c r="AW65" s="619"/>
      <c r="AX65" s="619"/>
      <c r="AY65" s="619"/>
      <c r="AZ65" s="619"/>
      <c r="BA65" s="619"/>
      <c r="BB65" s="619"/>
      <c r="BC65" s="619"/>
      <c r="BD65" s="619"/>
    </row>
    <row r="67" spans="2:56" s="31" customFormat="1" x14ac:dyDescent="0.3">
      <c r="B67" s="32" t="s">
        <v>127</v>
      </c>
      <c r="C67" s="32" t="s">
        <v>94</v>
      </c>
      <c r="D67" s="74">
        <f>BD!D245</f>
        <v>0</v>
      </c>
      <c r="E67" s="74">
        <f>BD!E245</f>
        <v>0</v>
      </c>
      <c r="F67" s="74">
        <f>BD!F245</f>
        <v>0</v>
      </c>
      <c r="G67" s="74">
        <f>BD!G245</f>
        <v>-1062.8999999999999</v>
      </c>
      <c r="H67" s="74">
        <f>BD!H245</f>
        <v>-1280.9000000000001</v>
      </c>
      <c r="I67" s="74">
        <f>BD!I245</f>
        <v>-1561.3</v>
      </c>
      <c r="J67" s="74">
        <f>BD!J245</f>
        <v>-1542.3</v>
      </c>
      <c r="K67" s="74">
        <f>BD!K245</f>
        <v>-1657.1</v>
      </c>
      <c r="L67" s="74">
        <f>BD!L245</f>
        <v>-1692.3</v>
      </c>
      <c r="M67" s="74">
        <f>BD!M245</f>
        <v>-1621.1</v>
      </c>
      <c r="N67" s="74">
        <f>BD!N245</f>
        <v>-1678.1609999999998</v>
      </c>
      <c r="O67" s="75">
        <f t="shared" ref="O67:BD67" si="71">O84+O102</f>
        <v>-1714.3217138622508</v>
      </c>
      <c r="P67" s="75">
        <f t="shared" si="71"/>
        <v>-1801.5227700585797</v>
      </c>
      <c r="Q67" s="75">
        <f t="shared" si="71"/>
        <v>-1893.1559312163754</v>
      </c>
      <c r="R67" s="75">
        <f t="shared" si="71"/>
        <v>-1990.6438756271898</v>
      </c>
      <c r="S67" s="75">
        <f t="shared" si="71"/>
        <v>-2098.7550654152692</v>
      </c>
      <c r="T67" s="75">
        <f t="shared" si="71"/>
        <v>-2211.4059962172691</v>
      </c>
      <c r="U67" s="75">
        <f t="shared" si="71"/>
        <v>-2332.2874674324958</v>
      </c>
      <c r="V67" s="75">
        <f t="shared" si="71"/>
        <v>-2461.9398271381892</v>
      </c>
      <c r="W67" s="75">
        <f t="shared" si="71"/>
        <v>-2599.7286437883786</v>
      </c>
      <c r="X67" s="75">
        <f t="shared" si="71"/>
        <v>-2747.1378377792125</v>
      </c>
      <c r="Y67" s="75">
        <f t="shared" si="71"/>
        <v>-2904.6134150890339</v>
      </c>
      <c r="Z67" s="75">
        <f t="shared" si="71"/>
        <v>-3072.6884783945075</v>
      </c>
      <c r="AA67" s="75">
        <f t="shared" si="71"/>
        <v>-3227.1022043096364</v>
      </c>
      <c r="AB67" s="75">
        <f t="shared" si="71"/>
        <v>-3388.9259173807859</v>
      </c>
      <c r="AC67" s="75">
        <f t="shared" si="71"/>
        <v>-3560.2268957408573</v>
      </c>
      <c r="AD67" s="75">
        <f t="shared" si="71"/>
        <v>-3741.6645312744345</v>
      </c>
      <c r="AE67" s="75">
        <f t="shared" si="71"/>
        <v>-3933.874777673499</v>
      </c>
      <c r="AF67" s="75">
        <f t="shared" si="71"/>
        <v>-4137.56946534702</v>
      </c>
      <c r="AG67" s="75">
        <f t="shared" si="71"/>
        <v>-4353.5139316340028</v>
      </c>
      <c r="AH67" s="75">
        <f t="shared" si="71"/>
        <v>-4582.5135736695802</v>
      </c>
      <c r="AI67" s="75">
        <f t="shared" si="71"/>
        <v>-4825.4397544269477</v>
      </c>
      <c r="AJ67" s="75">
        <f t="shared" si="71"/>
        <v>-5083.2242701707646</v>
      </c>
      <c r="AK67" s="75">
        <f t="shared" si="71"/>
        <v>-5356.8626635319033</v>
      </c>
      <c r="AL67" s="75">
        <f t="shared" si="71"/>
        <v>-5647.4235246400158</v>
      </c>
      <c r="AM67" s="75">
        <f t="shared" si="71"/>
        <v>-5956.0508307699774</v>
      </c>
      <c r="AN67" s="75">
        <f t="shared" si="71"/>
        <v>-6283.9698915912859</v>
      </c>
      <c r="AO67" s="75">
        <f t="shared" si="71"/>
        <v>-6632.4941162894602</v>
      </c>
      <c r="AP67" s="75">
        <f t="shared" si="71"/>
        <v>-7003.0307208319164</v>
      </c>
      <c r="AQ67" s="75">
        <f t="shared" si="71"/>
        <v>-7397.0878624924881</v>
      </c>
      <c r="AR67" s="75">
        <f t="shared" si="71"/>
        <v>-7816.2821705837841</v>
      </c>
      <c r="AS67" s="75">
        <f t="shared" si="71"/>
        <v>-8262.3465638927937</v>
      </c>
      <c r="AT67" s="75">
        <f t="shared" si="71"/>
        <v>-8731.3700383890973</v>
      </c>
      <c r="AU67" s="75">
        <f t="shared" si="71"/>
        <v>-9097.5145964957555</v>
      </c>
      <c r="AV67" s="75">
        <f t="shared" si="71"/>
        <v>-9478.9316514149868</v>
      </c>
      <c r="AW67" s="75">
        <f t="shared" si="71"/>
        <v>-9876.3331129819562</v>
      </c>
      <c r="AX67" s="75">
        <f t="shared" si="71"/>
        <v>-10290.457522889981</v>
      </c>
      <c r="AY67" s="75">
        <f t="shared" si="71"/>
        <v>-10722.071774850503</v>
      </c>
      <c r="AZ67" s="75">
        <f t="shared" si="71"/>
        <v>-11171.972863473935</v>
      </c>
      <c r="BA67" s="75">
        <f t="shared" si="71"/>
        <v>-11640.989651461296</v>
      </c>
      <c r="BB67" s="75">
        <f t="shared" si="71"/>
        <v>-12129.984670033133</v>
      </c>
      <c r="BC67" s="75">
        <f t="shared" si="71"/>
        <v>-12639.855960067542</v>
      </c>
      <c r="BD67" s="75">
        <f t="shared" si="71"/>
        <v>-13171.538956775392</v>
      </c>
    </row>
    <row r="68" spans="2:56" x14ac:dyDescent="0.3">
      <c r="B68" t="s">
        <v>507</v>
      </c>
      <c r="F68" s="47">
        <f t="shared" ref="F68:L68" si="72">F84+F102-F67</f>
        <v>0</v>
      </c>
      <c r="G68" s="47">
        <f t="shared" si="72"/>
        <v>0</v>
      </c>
      <c r="H68" s="47">
        <f t="shared" si="72"/>
        <v>0</v>
      </c>
      <c r="I68" s="47">
        <f t="shared" si="72"/>
        <v>0</v>
      </c>
      <c r="J68" s="609">
        <f t="shared" si="72"/>
        <v>-69.299999999999955</v>
      </c>
      <c r="K68" s="47">
        <f t="shared" si="72"/>
        <v>0</v>
      </c>
      <c r="L68" s="47">
        <f t="shared" si="72"/>
        <v>0</v>
      </c>
      <c r="M68" s="47">
        <f>M84+M102-M67</f>
        <v>0</v>
      </c>
      <c r="N68" s="47">
        <f>N84+N102-N67</f>
        <v>-3.9000000000214641E-2</v>
      </c>
      <c r="O68" s="47">
        <f t="shared" ref="O68:BD68" si="73">O84+O102-O67</f>
        <v>0</v>
      </c>
      <c r="P68" s="47">
        <f t="shared" si="73"/>
        <v>0</v>
      </c>
      <c r="Q68" s="47">
        <f t="shared" si="73"/>
        <v>0</v>
      </c>
      <c r="R68" s="47">
        <f t="shared" si="73"/>
        <v>0</v>
      </c>
      <c r="S68" s="47">
        <f t="shared" si="73"/>
        <v>0</v>
      </c>
      <c r="T68" s="47">
        <f t="shared" si="73"/>
        <v>0</v>
      </c>
      <c r="U68" s="47">
        <f t="shared" si="73"/>
        <v>0</v>
      </c>
      <c r="V68" s="47">
        <f t="shared" si="73"/>
        <v>0</v>
      </c>
      <c r="W68" s="47">
        <f t="shared" si="73"/>
        <v>0</v>
      </c>
      <c r="X68" s="47">
        <f t="shared" si="73"/>
        <v>0</v>
      </c>
      <c r="Y68" s="47">
        <f t="shared" si="73"/>
        <v>0</v>
      </c>
      <c r="Z68" s="47">
        <f t="shared" si="73"/>
        <v>0</v>
      </c>
      <c r="AA68" s="47">
        <f t="shared" si="73"/>
        <v>0</v>
      </c>
      <c r="AB68" s="47">
        <f t="shared" si="73"/>
        <v>0</v>
      </c>
      <c r="AC68" s="47">
        <f t="shared" si="73"/>
        <v>0</v>
      </c>
      <c r="AD68" s="47">
        <f t="shared" si="73"/>
        <v>0</v>
      </c>
      <c r="AE68" s="47">
        <f t="shared" si="73"/>
        <v>0</v>
      </c>
      <c r="AF68" s="47">
        <f t="shared" si="73"/>
        <v>0</v>
      </c>
      <c r="AG68" s="47">
        <f t="shared" si="73"/>
        <v>0</v>
      </c>
      <c r="AH68" s="47">
        <f t="shared" si="73"/>
        <v>0</v>
      </c>
      <c r="AI68" s="47">
        <f t="shared" si="73"/>
        <v>0</v>
      </c>
      <c r="AJ68" s="47">
        <f t="shared" si="73"/>
        <v>0</v>
      </c>
      <c r="AK68" s="47">
        <f t="shared" si="73"/>
        <v>0</v>
      </c>
      <c r="AL68" s="47">
        <f t="shared" si="73"/>
        <v>0</v>
      </c>
      <c r="AM68" s="47">
        <f t="shared" si="73"/>
        <v>0</v>
      </c>
      <c r="AN68" s="47">
        <f t="shared" si="73"/>
        <v>0</v>
      </c>
      <c r="AO68" s="47">
        <f t="shared" si="73"/>
        <v>0</v>
      </c>
      <c r="AP68" s="47">
        <f t="shared" si="73"/>
        <v>0</v>
      </c>
      <c r="AQ68" s="47">
        <f t="shared" si="73"/>
        <v>0</v>
      </c>
      <c r="AR68" s="47">
        <f t="shared" si="73"/>
        <v>0</v>
      </c>
      <c r="AS68" s="47">
        <f t="shared" si="73"/>
        <v>0</v>
      </c>
      <c r="AT68" s="47">
        <f t="shared" si="73"/>
        <v>0</v>
      </c>
      <c r="AU68" s="47">
        <f t="shared" si="73"/>
        <v>0</v>
      </c>
      <c r="AV68" s="47">
        <f t="shared" si="73"/>
        <v>0</v>
      </c>
      <c r="AW68" s="47">
        <f t="shared" si="73"/>
        <v>0</v>
      </c>
      <c r="AX68" s="47">
        <f t="shared" si="73"/>
        <v>0</v>
      </c>
      <c r="AY68" s="47">
        <f t="shared" si="73"/>
        <v>0</v>
      </c>
      <c r="AZ68" s="47">
        <f t="shared" si="73"/>
        <v>0</v>
      </c>
      <c r="BA68" s="47">
        <f t="shared" si="73"/>
        <v>0</v>
      </c>
      <c r="BB68" s="47">
        <f t="shared" si="73"/>
        <v>0</v>
      </c>
      <c r="BC68" s="47">
        <f t="shared" si="73"/>
        <v>0</v>
      </c>
      <c r="BD68" s="47">
        <f t="shared" si="73"/>
        <v>0</v>
      </c>
    </row>
    <row r="69" spans="2:56" x14ac:dyDescent="0.3">
      <c r="B69" t="s">
        <v>508</v>
      </c>
      <c r="F69" s="47">
        <f t="shared" ref="F69:L69" si="74">F71+F78+F81-F67</f>
        <v>0</v>
      </c>
      <c r="G69" s="47">
        <f t="shared" si="74"/>
        <v>0</v>
      </c>
      <c r="H69" s="47">
        <f t="shared" si="74"/>
        <v>0</v>
      </c>
      <c r="I69" s="47">
        <f t="shared" si="74"/>
        <v>0</v>
      </c>
      <c r="J69" s="47">
        <f t="shared" si="74"/>
        <v>-69.299999999999955</v>
      </c>
      <c r="K69" s="47">
        <f t="shared" si="74"/>
        <v>0</v>
      </c>
      <c r="L69" s="47">
        <f t="shared" si="74"/>
        <v>0</v>
      </c>
      <c r="M69" s="47">
        <f>M71+M78+M81-M67</f>
        <v>0</v>
      </c>
      <c r="N69" s="47">
        <f>N71+N78+N81-N67</f>
        <v>-3.9000000000214641E-2</v>
      </c>
      <c r="O69" s="47">
        <f t="shared" ref="O69:BD69" si="75">O71+O78+O81-O67</f>
        <v>-1.8254308721475354</v>
      </c>
      <c r="P69" s="47">
        <f t="shared" si="75"/>
        <v>-5.6634322651361799</v>
      </c>
      <c r="Q69" s="47">
        <f t="shared" si="75"/>
        <v>-6.8346026011852246</v>
      </c>
      <c r="R69" s="47">
        <f t="shared" si="75"/>
        <v>-6.1330009713524305</v>
      </c>
      <c r="S69" s="47">
        <f t="shared" si="75"/>
        <v>-6.6511718424289938</v>
      </c>
      <c r="T69" s="47">
        <f t="shared" si="75"/>
        <v>-7.0605943980895063</v>
      </c>
      <c r="U69" s="47">
        <f t="shared" si="75"/>
        <v>-7.1544482532858638</v>
      </c>
      <c r="V69" s="47">
        <f t="shared" si="75"/>
        <v>-7.5730542518695074</v>
      </c>
      <c r="W69" s="47">
        <f t="shared" si="75"/>
        <v>-7.9426411183685559</v>
      </c>
      <c r="X69" s="47">
        <f t="shared" si="75"/>
        <v>-8.2908184117668497</v>
      </c>
      <c r="Y69" s="47">
        <f t="shared" si="75"/>
        <v>-8.7399687373822417</v>
      </c>
      <c r="Z69" s="47">
        <f t="shared" si="75"/>
        <v>-9.1963228490571964</v>
      </c>
      <c r="AA69" s="47">
        <f t="shared" si="75"/>
        <v>-9.6386682267157084</v>
      </c>
      <c r="AB69" s="47">
        <f t="shared" si="75"/>
        <v>-10.120093024928792</v>
      </c>
      <c r="AC69" s="47">
        <f t="shared" si="75"/>
        <v>-10.622333711620286</v>
      </c>
      <c r="AD69" s="47">
        <f t="shared" si="75"/>
        <v>-11.155423353357946</v>
      </c>
      <c r="AE69" s="47">
        <f t="shared" si="75"/>
        <v>-11.72362682680523</v>
      </c>
      <c r="AF69" s="47">
        <f t="shared" si="75"/>
        <v>-12.324243652445148</v>
      </c>
      <c r="AG69" s="47">
        <f t="shared" si="75"/>
        <v>-12.961886963827055</v>
      </c>
      <c r="AH69" s="47">
        <f t="shared" si="75"/>
        <v>-13.63893105927491</v>
      </c>
      <c r="AI69" s="47">
        <f t="shared" si="75"/>
        <v>-14.356960931842877</v>
      </c>
      <c r="AJ69" s="47">
        <f t="shared" si="75"/>
        <v>-15.119307557092725</v>
      </c>
      <c r="AK69" s="47">
        <f t="shared" si="75"/>
        <v>-15.928756528428494</v>
      </c>
      <c r="AL69" s="47">
        <f t="shared" si="75"/>
        <v>-16.788245564587669</v>
      </c>
      <c r="AM69" s="47">
        <f t="shared" si="75"/>
        <v>-17.701251862024037</v>
      </c>
      <c r="AN69" s="47">
        <f t="shared" si="75"/>
        <v>-18.671292377874124</v>
      </c>
      <c r="AO69" s="47">
        <f t="shared" si="75"/>
        <v>-19.70216499997332</v>
      </c>
      <c r="AP69" s="47">
        <f t="shared" si="75"/>
        <v>-20.79800056077147</v>
      </c>
      <c r="AQ69" s="47">
        <f t="shared" si="75"/>
        <v>-21.963175608947495</v>
      </c>
      <c r="AR69" s="47">
        <f t="shared" si="75"/>
        <v>-23.202396440953635</v>
      </c>
      <c r="AS69" s="47">
        <f t="shared" si="75"/>
        <v>-24.520717587613035</v>
      </c>
      <c r="AT69" s="47">
        <f t="shared" si="75"/>
        <v>-25.913211077935557</v>
      </c>
      <c r="AU69" s="47">
        <f t="shared" si="75"/>
        <v>-27.155477344031169</v>
      </c>
      <c r="AV69" s="47">
        <f t="shared" si="75"/>
        <v>-28.434150032255275</v>
      </c>
      <c r="AW69" s="47">
        <f t="shared" si="75"/>
        <v>-29.75273300187655</v>
      </c>
      <c r="AX69" s="47">
        <f t="shared" si="75"/>
        <v>-31.114676869736286</v>
      </c>
      <c r="AY69" s="47">
        <f t="shared" si="75"/>
        <v>-32.523398357507176</v>
      </c>
      <c r="AZ69" s="47">
        <f t="shared" si="75"/>
        <v>-33.982299012339354</v>
      </c>
      <c r="BA69" s="47">
        <f t="shared" si="75"/>
        <v>-35.494783655960418</v>
      </c>
      <c r="BB69" s="47">
        <f t="shared" si="75"/>
        <v>-37.064276453096682</v>
      </c>
      <c r="BC69" s="47">
        <f t="shared" si="75"/>
        <v>-38.694236307532265</v>
      </c>
      <c r="BD69" s="47">
        <f t="shared" si="75"/>
        <v>-40.38817149703209</v>
      </c>
    </row>
    <row r="70" spans="2:56" x14ac:dyDescent="0.3">
      <c r="F70" s="73"/>
      <c r="G70" s="28">
        <f>G68/G17</f>
        <v>0</v>
      </c>
      <c r="H70" s="28">
        <f t="shared" ref="H70:BD70" si="76">H68/H17</f>
        <v>0</v>
      </c>
      <c r="I70" s="28">
        <f t="shared" si="76"/>
        <v>0</v>
      </c>
      <c r="J70" s="28">
        <f t="shared" si="76"/>
        <v>-3.3126195028680666E-2</v>
      </c>
      <c r="K70" s="28">
        <f t="shared" si="76"/>
        <v>0</v>
      </c>
      <c r="L70" s="28">
        <f t="shared" si="76"/>
        <v>0</v>
      </c>
      <c r="M70" s="28">
        <f t="shared" si="76"/>
        <v>0</v>
      </c>
      <c r="N70" s="28">
        <f t="shared" ref="N70" si="77">N68/N17</f>
        <v>-1.7292453972238355E-5</v>
      </c>
      <c r="O70" s="28">
        <f t="shared" si="76"/>
        <v>0</v>
      </c>
      <c r="P70" s="28">
        <f t="shared" si="76"/>
        <v>0</v>
      </c>
      <c r="Q70" s="28">
        <f t="shared" si="76"/>
        <v>0</v>
      </c>
      <c r="R70" s="28">
        <f t="shared" si="76"/>
        <v>0</v>
      </c>
      <c r="S70" s="28">
        <f t="shared" si="76"/>
        <v>0</v>
      </c>
      <c r="T70" s="28">
        <f t="shared" si="76"/>
        <v>0</v>
      </c>
      <c r="U70" s="28">
        <f t="shared" si="76"/>
        <v>0</v>
      </c>
      <c r="V70" s="28">
        <f t="shared" si="76"/>
        <v>0</v>
      </c>
      <c r="W70" s="28">
        <f t="shared" si="76"/>
        <v>0</v>
      </c>
      <c r="X70" s="28">
        <f t="shared" si="76"/>
        <v>0</v>
      </c>
      <c r="Y70" s="28">
        <f t="shared" si="76"/>
        <v>0</v>
      </c>
      <c r="Z70" s="28">
        <f t="shared" si="76"/>
        <v>0</v>
      </c>
      <c r="AA70" s="28">
        <f t="shared" si="76"/>
        <v>0</v>
      </c>
      <c r="AB70" s="28">
        <f t="shared" si="76"/>
        <v>0</v>
      </c>
      <c r="AC70" s="28">
        <f t="shared" si="76"/>
        <v>0</v>
      </c>
      <c r="AD70" s="28">
        <f t="shared" si="76"/>
        <v>0</v>
      </c>
      <c r="AE70" s="28">
        <f t="shared" si="76"/>
        <v>0</v>
      </c>
      <c r="AF70" s="28">
        <f t="shared" si="76"/>
        <v>0</v>
      </c>
      <c r="AG70" s="28">
        <f t="shared" si="76"/>
        <v>0</v>
      </c>
      <c r="AH70" s="28">
        <f t="shared" si="76"/>
        <v>0</v>
      </c>
      <c r="AI70" s="28">
        <f t="shared" si="76"/>
        <v>0</v>
      </c>
      <c r="AJ70" s="28">
        <f t="shared" si="76"/>
        <v>0</v>
      </c>
      <c r="AK70" s="28">
        <f t="shared" si="76"/>
        <v>0</v>
      </c>
      <c r="AL70" s="28">
        <f t="shared" si="76"/>
        <v>0</v>
      </c>
      <c r="AM70" s="28">
        <f t="shared" si="76"/>
        <v>0</v>
      </c>
      <c r="AN70" s="28">
        <f t="shared" si="76"/>
        <v>0</v>
      </c>
      <c r="AO70" s="28">
        <f t="shared" si="76"/>
        <v>0</v>
      </c>
      <c r="AP70" s="28">
        <f t="shared" si="76"/>
        <v>0</v>
      </c>
      <c r="AQ70" s="28">
        <f t="shared" si="76"/>
        <v>0</v>
      </c>
      <c r="AR70" s="28">
        <f t="shared" si="76"/>
        <v>0</v>
      </c>
      <c r="AS70" s="28">
        <f t="shared" si="76"/>
        <v>0</v>
      </c>
      <c r="AT70" s="28">
        <f t="shared" si="76"/>
        <v>0</v>
      </c>
      <c r="AU70" s="28">
        <f t="shared" si="76"/>
        <v>0</v>
      </c>
      <c r="AV70" s="28">
        <f t="shared" si="76"/>
        <v>0</v>
      </c>
      <c r="AW70" s="28">
        <f t="shared" si="76"/>
        <v>0</v>
      </c>
      <c r="AX70" s="28">
        <f t="shared" si="76"/>
        <v>0</v>
      </c>
      <c r="AY70" s="28">
        <f t="shared" si="76"/>
        <v>0</v>
      </c>
      <c r="AZ70" s="28">
        <f t="shared" si="76"/>
        <v>0</v>
      </c>
      <c r="BA70" s="28">
        <f t="shared" si="76"/>
        <v>0</v>
      </c>
      <c r="BB70" s="28">
        <f t="shared" si="76"/>
        <v>0</v>
      </c>
      <c r="BC70" s="28">
        <f t="shared" si="76"/>
        <v>0</v>
      </c>
      <c r="BD70" s="28">
        <f t="shared" si="76"/>
        <v>0</v>
      </c>
    </row>
    <row r="71" spans="2:56" s="31" customFormat="1" x14ac:dyDescent="0.3">
      <c r="B71" s="35" t="s">
        <v>486</v>
      </c>
      <c r="C71" s="35" t="s">
        <v>14</v>
      </c>
      <c r="D71" s="629">
        <f>BD!D247</f>
        <v>0</v>
      </c>
      <c r="E71" s="629">
        <f>BD!E247</f>
        <v>0</v>
      </c>
      <c r="F71" s="629">
        <f>BD!F247</f>
        <v>0</v>
      </c>
      <c r="G71" s="629">
        <f>BD!G247</f>
        <v>-669</v>
      </c>
      <c r="H71" s="629">
        <f>BD!H247</f>
        <v>-706.6</v>
      </c>
      <c r="I71" s="629">
        <f>BD!I247</f>
        <v>-924.09999999999991</v>
      </c>
      <c r="J71" s="629">
        <f>BD!J247</f>
        <v>-989.5</v>
      </c>
      <c r="K71" s="629">
        <f>BD!K247</f>
        <v>-947.80000000000007</v>
      </c>
      <c r="L71" s="629">
        <f>BD!L247</f>
        <v>-951.7</v>
      </c>
      <c r="M71" s="629">
        <f>BD!M247</f>
        <v>-1037.0999999999999</v>
      </c>
      <c r="N71" s="629">
        <f>BD!N247</f>
        <v>-1002.5999999999999</v>
      </c>
      <c r="O71" s="540">
        <f t="shared" ref="O71:BD71" si="78">O73+O75</f>
        <v>-1041.4247423359941</v>
      </c>
      <c r="P71" s="540">
        <f t="shared" si="78"/>
        <v>-1116.761040165376</v>
      </c>
      <c r="Q71" s="540">
        <f t="shared" si="78"/>
        <v>-1190.0193767335297</v>
      </c>
      <c r="R71" s="540">
        <f t="shared" si="78"/>
        <v>-1275.0884814104145</v>
      </c>
      <c r="S71" s="540">
        <f t="shared" si="78"/>
        <v>-1367.7501424667992</v>
      </c>
      <c r="T71" s="540">
        <f t="shared" si="78"/>
        <v>-1464.553883346528</v>
      </c>
      <c r="U71" s="540">
        <f t="shared" si="78"/>
        <v>-1570.576958249155</v>
      </c>
      <c r="V71" s="540">
        <f t="shared" si="78"/>
        <v>-1684.5493271122666</v>
      </c>
      <c r="W71" s="540">
        <f t="shared" si="78"/>
        <v>-1806.5846294474611</v>
      </c>
      <c r="X71" s="540">
        <f t="shared" si="78"/>
        <v>-1938.3297128768018</v>
      </c>
      <c r="Y71" s="540">
        <f t="shared" si="78"/>
        <v>-2079.8974964438062</v>
      </c>
      <c r="Z71" s="540">
        <f t="shared" si="78"/>
        <v>-2232.0228733412437</v>
      </c>
      <c r="AA71" s="540">
        <f t="shared" si="78"/>
        <v>-2369.2242594323916</v>
      </c>
      <c r="AB71" s="540">
        <f t="shared" si="78"/>
        <v>-2513.5440225999428</v>
      </c>
      <c r="AC71" s="540">
        <f t="shared" si="78"/>
        <v>-2667.1786742694762</v>
      </c>
      <c r="AD71" s="540">
        <f t="shared" si="78"/>
        <v>-2830.7966049716833</v>
      </c>
      <c r="AE71" s="540">
        <f t="shared" si="78"/>
        <v>-3005.0386040273384</v>
      </c>
      <c r="AF71" s="540">
        <f t="shared" si="78"/>
        <v>-3190.643542394133</v>
      </c>
      <c r="AG71" s="540">
        <f t="shared" si="78"/>
        <v>-3388.3943553239151</v>
      </c>
      <c r="AH71" s="540">
        <f t="shared" si="78"/>
        <v>-3599.1166577689924</v>
      </c>
      <c r="AI71" s="540">
        <f t="shared" si="78"/>
        <v>-3823.708059638026</v>
      </c>
      <c r="AJ71" s="540">
        <f t="shared" si="78"/>
        <v>-4063.1265345620227</v>
      </c>
      <c r="AK71" s="540">
        <f t="shared" si="78"/>
        <v>-4318.3969581108286</v>
      </c>
      <c r="AL71" s="540">
        <f t="shared" si="78"/>
        <v>-4590.6208416345726</v>
      </c>
      <c r="AM71" s="540">
        <f t="shared" si="78"/>
        <v>-4880.9777132942163</v>
      </c>
      <c r="AN71" s="540">
        <f t="shared" si="78"/>
        <v>-5190.7320336544344</v>
      </c>
      <c r="AO71" s="540">
        <f t="shared" si="78"/>
        <v>-5521.2401911465513</v>
      </c>
      <c r="AP71" s="540">
        <f t="shared" si="78"/>
        <v>-5873.9562876174377</v>
      </c>
      <c r="AQ71" s="540">
        <f t="shared" si="78"/>
        <v>-6250.4397546389064</v>
      </c>
      <c r="AR71" s="540">
        <f t="shared" si="78"/>
        <v>-6652.3632013208453</v>
      </c>
      <c r="AS71" s="540">
        <f t="shared" si="78"/>
        <v>-7081.5205647365883</v>
      </c>
      <c r="AT71" s="540">
        <f t="shared" si="78"/>
        <v>-7533.7824601954853</v>
      </c>
      <c r="AU71" s="540">
        <f t="shared" si="78"/>
        <v>-7877.072321978233</v>
      </c>
      <c r="AV71" s="540">
        <f t="shared" si="78"/>
        <v>-8235.3821371695249</v>
      </c>
      <c r="AW71" s="540">
        <f t="shared" si="78"/>
        <v>-8609.4318496549968</v>
      </c>
      <c r="AX71" s="540">
        <f t="shared" si="78"/>
        <v>-8999.9688815819463</v>
      </c>
      <c r="AY71" s="540">
        <f t="shared" si="78"/>
        <v>-9407.7699028474763</v>
      </c>
      <c r="AZ71" s="540">
        <f t="shared" si="78"/>
        <v>-9833.6426343487146</v>
      </c>
      <c r="BA71" s="540">
        <f t="shared" si="78"/>
        <v>-10278.427669884306</v>
      </c>
      <c r="BB71" s="540">
        <f t="shared" si="78"/>
        <v>-10743.000334798195</v>
      </c>
      <c r="BC71" s="540">
        <f t="shared" si="78"/>
        <v>-11228.272588653826</v>
      </c>
      <c r="BD71" s="540">
        <f t="shared" si="78"/>
        <v>-11735.194974038659</v>
      </c>
    </row>
    <row r="72" spans="2:56" s="31" customFormat="1" x14ac:dyDescent="0.3">
      <c r="B72" s="60" t="s">
        <v>499</v>
      </c>
      <c r="C72" s="38"/>
      <c r="D72" s="59" t="e">
        <f t="shared" ref="D72:L72" si="79">D71/C71-1</f>
        <v>#VALUE!</v>
      </c>
      <c r="E72" s="59" t="e">
        <f t="shared" si="79"/>
        <v>#DIV/0!</v>
      </c>
      <c r="F72" s="59" t="e">
        <f t="shared" si="79"/>
        <v>#DIV/0!</v>
      </c>
      <c r="G72" s="59" t="e">
        <f t="shared" si="79"/>
        <v>#DIV/0!</v>
      </c>
      <c r="H72" s="59">
        <f t="shared" si="79"/>
        <v>5.6203288490284109E-2</v>
      </c>
      <c r="I72" s="59">
        <f t="shared" si="79"/>
        <v>0.30781205774129616</v>
      </c>
      <c r="J72" s="59">
        <f t="shared" si="79"/>
        <v>7.0771561519316295E-2</v>
      </c>
      <c r="K72" s="59">
        <f t="shared" si="79"/>
        <v>-4.2142496210207159E-2</v>
      </c>
      <c r="L72" s="59">
        <f t="shared" si="79"/>
        <v>4.1147921502426854E-3</v>
      </c>
      <c r="M72" s="59">
        <f t="shared" ref="M72:BD72" si="80">M71/L71-1</f>
        <v>8.9734159924345747E-2</v>
      </c>
      <c r="N72" s="59">
        <f t="shared" si="80"/>
        <v>-3.326583743129885E-2</v>
      </c>
      <c r="O72" s="59">
        <f>O71/N71-1</f>
        <v>3.8724059780564701E-2</v>
      </c>
      <c r="P72" s="59">
        <f t="shared" si="80"/>
        <v>7.2339646607969987E-2</v>
      </c>
      <c r="Q72" s="59">
        <f t="shared" si="80"/>
        <v>6.5598936507764716E-2</v>
      </c>
      <c r="R72" s="59">
        <f t="shared" si="80"/>
        <v>7.1485478589760509E-2</v>
      </c>
      <c r="S72" s="59">
        <f t="shared" si="80"/>
        <v>7.2670769446437689E-2</v>
      </c>
      <c r="T72" s="59">
        <f t="shared" si="80"/>
        <v>7.0775895299955094E-2</v>
      </c>
      <c r="U72" s="59">
        <f t="shared" si="80"/>
        <v>7.2392744376439611E-2</v>
      </c>
      <c r="V72" s="59">
        <f t="shared" si="80"/>
        <v>7.256719784693999E-2</v>
      </c>
      <c r="W72" s="59">
        <f t="shared" si="80"/>
        <v>7.2443887733696144E-2</v>
      </c>
      <c r="X72" s="59">
        <f t="shared" si="80"/>
        <v>7.2924944274342929E-2</v>
      </c>
      <c r="Y72" s="59">
        <f t="shared" si="80"/>
        <v>7.3035966289189513E-2</v>
      </c>
      <c r="Z72" s="59">
        <f t="shared" si="80"/>
        <v>7.3140804850979624E-2</v>
      </c>
      <c r="AA72" s="59">
        <f t="shared" si="80"/>
        <v>6.1469525124428159E-2</v>
      </c>
      <c r="AB72" s="59">
        <f t="shared" si="80"/>
        <v>6.0914353123383336E-2</v>
      </c>
      <c r="AC72" s="59">
        <f t="shared" si="80"/>
        <v>6.1122721658408707E-2</v>
      </c>
      <c r="AD72" s="59">
        <f t="shared" si="80"/>
        <v>6.1344945608873047E-2</v>
      </c>
      <c r="AE72" s="59">
        <f t="shared" si="80"/>
        <v>6.1552284876149832E-2</v>
      </c>
      <c r="AF72" s="59">
        <f t="shared" si="80"/>
        <v>6.1764577040057889E-2</v>
      </c>
      <c r="AG72" s="59">
        <f t="shared" si="80"/>
        <v>6.1978347095895892E-2</v>
      </c>
      <c r="AH72" s="59">
        <f t="shared" si="80"/>
        <v>6.2189426715927087E-2</v>
      </c>
      <c r="AI72" s="59">
        <f t="shared" si="80"/>
        <v>6.2401812229185394E-2</v>
      </c>
      <c r="AJ72" s="59">
        <f t="shared" si="80"/>
        <v>6.2614214053428929E-2</v>
      </c>
      <c r="AK72" s="59">
        <f t="shared" si="80"/>
        <v>6.2826107279064125E-2</v>
      </c>
      <c r="AL72" s="59">
        <f t="shared" si="80"/>
        <v>6.3038179714454579E-2</v>
      </c>
      <c r="AM72" s="59">
        <f t="shared" si="80"/>
        <v>6.3250022529906191E-2</v>
      </c>
      <c r="AN72" s="59">
        <f t="shared" si="80"/>
        <v>6.3461531388792514E-2</v>
      </c>
      <c r="AO72" s="59">
        <f t="shared" si="80"/>
        <v>6.3672745067409942E-2</v>
      </c>
      <c r="AP72" s="59">
        <f t="shared" si="80"/>
        <v>6.3883490712191016E-2</v>
      </c>
      <c r="AQ72" s="59">
        <f t="shared" si="80"/>
        <v>6.4093678704268298E-2</v>
      </c>
      <c r="AR72" s="59">
        <f t="shared" si="80"/>
        <v>6.4303227046327738E-2</v>
      </c>
      <c r="AS72" s="59">
        <f t="shared" si="80"/>
        <v>6.4512016320836585E-2</v>
      </c>
      <c r="AT72" s="59">
        <f t="shared" si="80"/>
        <v>6.3865082551761265E-2</v>
      </c>
      <c r="AU72" s="59">
        <f t="shared" si="80"/>
        <v>4.5566734053778424E-2</v>
      </c>
      <c r="AV72" s="59">
        <f t="shared" si="80"/>
        <v>4.5487688895727407E-2</v>
      </c>
      <c r="AW72" s="59">
        <f t="shared" si="80"/>
        <v>4.5419836779308387E-2</v>
      </c>
      <c r="AX72" s="59">
        <f t="shared" si="80"/>
        <v>4.5361533576991908E-2</v>
      </c>
      <c r="AY72" s="59">
        <f t="shared" si="80"/>
        <v>4.5311381253781535E-2</v>
      </c>
      <c r="AZ72" s="59">
        <f t="shared" si="80"/>
        <v>4.5268191707403371E-2</v>
      </c>
      <c r="BA72" s="59">
        <f t="shared" si="80"/>
        <v>4.5230953785321271E-2</v>
      </c>
      <c r="BB72" s="59">
        <f t="shared" si="80"/>
        <v>4.5198806649686452E-2</v>
      </c>
      <c r="BC72" s="59">
        <f t="shared" si="80"/>
        <v>4.5171017288695658E-2</v>
      </c>
      <c r="BD72" s="525">
        <f t="shared" si="80"/>
        <v>4.5146961064792546E-2</v>
      </c>
    </row>
    <row r="73" spans="2:56" s="44" customFormat="1" x14ac:dyDescent="0.3">
      <c r="B73" s="45" t="s">
        <v>487</v>
      </c>
      <c r="C73" s="45" t="s">
        <v>16</v>
      </c>
      <c r="D73" s="48">
        <f>BD!D249</f>
        <v>0</v>
      </c>
      <c r="E73" s="48">
        <f>BD!E249</f>
        <v>0</v>
      </c>
      <c r="F73" s="48">
        <f>BD!F249</f>
        <v>0</v>
      </c>
      <c r="G73" s="48">
        <f>BD!G249</f>
        <v>-586.29999999999995</v>
      </c>
      <c r="H73" s="48">
        <f>BD!H249</f>
        <v>-594.1</v>
      </c>
      <c r="I73" s="48">
        <f>BD!I249</f>
        <v>-795.8</v>
      </c>
      <c r="J73" s="48">
        <f>BD!J249</f>
        <v>-840.2</v>
      </c>
      <c r="K73" s="48">
        <f>BD!K249</f>
        <v>-803.7</v>
      </c>
      <c r="L73" s="48">
        <f>BD!L249</f>
        <v>-830.2</v>
      </c>
      <c r="M73" s="48">
        <f>BD!M249</f>
        <v>-913.9</v>
      </c>
      <c r="N73" s="48">
        <f>BD!N249</f>
        <v>-876.49999999999989</v>
      </c>
      <c r="O73" s="554">
        <f t="shared" ref="O73:BD73" si="81">O88+O109</f>
        <v>-912.7065658150226</v>
      </c>
      <c r="P73" s="554">
        <f t="shared" si="81"/>
        <v>-980.37336192119096</v>
      </c>
      <c r="Q73" s="554">
        <f t="shared" si="81"/>
        <v>-1048.0236981011315</v>
      </c>
      <c r="R73" s="554">
        <f t="shared" si="81"/>
        <v>-1127.2608596256409</v>
      </c>
      <c r="S73" s="554">
        <f t="shared" si="81"/>
        <v>-1212.9028809706595</v>
      </c>
      <c r="T73" s="554">
        <f t="shared" si="81"/>
        <v>-1302.9692345580563</v>
      </c>
      <c r="U73" s="554">
        <f t="shared" si="81"/>
        <v>-1401.8432750017107</v>
      </c>
      <c r="V73" s="554">
        <f t="shared" si="81"/>
        <v>-1508.1756954367611</v>
      </c>
      <c r="W73" s="554">
        <f t="shared" si="81"/>
        <v>-1622.3586570245625</v>
      </c>
      <c r="X73" s="554">
        <f t="shared" si="81"/>
        <v>-1745.8442906648802</v>
      </c>
      <c r="Y73" s="554">
        <f t="shared" si="81"/>
        <v>-1878.7479171370926</v>
      </c>
      <c r="Z73" s="554">
        <f t="shared" si="81"/>
        <v>-2021.8401857026711</v>
      </c>
      <c r="AA73" s="554">
        <f t="shared" si="81"/>
        <v>-2149.5786223974692</v>
      </c>
      <c r="AB73" s="554">
        <f t="shared" si="81"/>
        <v>-2284.0037887301264</v>
      </c>
      <c r="AC73" s="554">
        <f t="shared" si="81"/>
        <v>-2427.3012642297476</v>
      </c>
      <c r="AD73" s="554">
        <f t="shared" si="81"/>
        <v>-2580.1094957192117</v>
      </c>
      <c r="AE73" s="554">
        <f t="shared" si="81"/>
        <v>-2743.0517899871052</v>
      </c>
      <c r="AF73" s="554">
        <f t="shared" si="81"/>
        <v>-2916.8456586671027</v>
      </c>
      <c r="AG73" s="554">
        <f t="shared" si="81"/>
        <v>-3102.2487784579362</v>
      </c>
      <c r="AH73" s="554">
        <f t="shared" si="81"/>
        <v>-3300.0634784139775</v>
      </c>
      <c r="AI73" s="554">
        <f t="shared" si="81"/>
        <v>-3511.1618715343693</v>
      </c>
      <c r="AJ73" s="554">
        <f t="shared" si="81"/>
        <v>-3736.4748982656051</v>
      </c>
      <c r="AK73" s="554">
        <f t="shared" si="81"/>
        <v>-3976.999809661866</v>
      </c>
      <c r="AL73" s="554">
        <f t="shared" si="81"/>
        <v>-4233.8088825965287</v>
      </c>
      <c r="AM73" s="554">
        <f t="shared" si="81"/>
        <v>-4508.0510474135735</v>
      </c>
      <c r="AN73" s="554">
        <f t="shared" si="81"/>
        <v>-4800.9588772167135</v>
      </c>
      <c r="AO73" s="554">
        <f t="shared" si="81"/>
        <v>-5113.8553104944103</v>
      </c>
      <c r="AP73" s="554">
        <f t="shared" si="81"/>
        <v>-5448.1594621137538</v>
      </c>
      <c r="AQ73" s="554">
        <f t="shared" si="81"/>
        <v>-5805.3941765014551</v>
      </c>
      <c r="AR73" s="554">
        <f t="shared" si="81"/>
        <v>-6187.193758337211</v>
      </c>
      <c r="AS73" s="554">
        <f t="shared" si="81"/>
        <v>-6595.3120683775533</v>
      </c>
      <c r="AT73" s="554">
        <f t="shared" si="81"/>
        <v>-7025.5777873798761</v>
      </c>
      <c r="AU73" s="554">
        <f t="shared" si="81"/>
        <v>-7345.8717757880777</v>
      </c>
      <c r="AV73" s="554">
        <f t="shared" si="81"/>
        <v>-7680.1703752376698</v>
      </c>
      <c r="AW73" s="554">
        <f t="shared" si="81"/>
        <v>-8029.1458362242265</v>
      </c>
      <c r="AX73" s="554">
        <f t="shared" si="81"/>
        <v>-8393.4959642675403</v>
      </c>
      <c r="AY73" s="554">
        <f t="shared" si="81"/>
        <v>-8773.945779712918</v>
      </c>
      <c r="AZ73" s="554">
        <f t="shared" si="81"/>
        <v>-9171.2492071048237</v>
      </c>
      <c r="BA73" s="554">
        <f t="shared" si="81"/>
        <v>-9586.1907809340355</v>
      </c>
      <c r="BB73" s="554">
        <f t="shared" si="81"/>
        <v>-10019.587385443101</v>
      </c>
      <c r="BC73" s="554">
        <f t="shared" si="81"/>
        <v>-10472.290034576443</v>
      </c>
      <c r="BD73" s="554">
        <f t="shared" si="81"/>
        <v>-10945.185694394706</v>
      </c>
    </row>
    <row r="74" spans="2:56" s="44" customFormat="1" x14ac:dyDescent="0.3">
      <c r="B74" s="60" t="s">
        <v>497</v>
      </c>
      <c r="C74" s="45"/>
      <c r="D74" s="48"/>
      <c r="E74" s="48"/>
      <c r="F74" s="48"/>
      <c r="G74" s="556">
        <f t="shared" ref="G74:M74" si="82">G73/G22</f>
        <v>-0.77094017094017087</v>
      </c>
      <c r="H74" s="556">
        <f t="shared" si="82"/>
        <v>-0.74738960875581839</v>
      </c>
      <c r="I74" s="556">
        <f t="shared" si="82"/>
        <v>-0.73555781495517136</v>
      </c>
      <c r="J74" s="556">
        <f t="shared" si="82"/>
        <v>-0.71203389830508479</v>
      </c>
      <c r="K74" s="556">
        <f t="shared" si="82"/>
        <v>-0.69711163153786104</v>
      </c>
      <c r="L74" s="556">
        <f t="shared" si="82"/>
        <v>-0.71797976303727418</v>
      </c>
      <c r="M74" s="556">
        <f t="shared" si="82"/>
        <v>-0.73970052610279236</v>
      </c>
      <c r="N74" s="556">
        <f t="shared" ref="N74" si="83">N73/N22</f>
        <v>-0.72612045398061464</v>
      </c>
      <c r="O74" s="556">
        <f t="shared" ref="O74:BD74" si="84">O73/O22</f>
        <v>-0.69163868969520936</v>
      </c>
      <c r="P74" s="556">
        <f t="shared" si="84"/>
        <v>-0.69698453959597051</v>
      </c>
      <c r="Q74" s="556">
        <f t="shared" si="84"/>
        <v>-0.69222810870562157</v>
      </c>
      <c r="R74" s="556">
        <f t="shared" si="84"/>
        <v>-0.69174979628138911</v>
      </c>
      <c r="S74" s="556">
        <f t="shared" si="84"/>
        <v>-0.6915078658608409</v>
      </c>
      <c r="T74" s="556">
        <f t="shared" si="84"/>
        <v>-0.69016311173532852</v>
      </c>
      <c r="U74" s="556">
        <f t="shared" si="84"/>
        <v>-0.68986407457818066</v>
      </c>
      <c r="V74" s="556">
        <f t="shared" si="84"/>
        <v>-0.6895448024120775</v>
      </c>
      <c r="W74" s="556">
        <f t="shared" si="84"/>
        <v>-0.68913436420366436</v>
      </c>
      <c r="X74" s="556">
        <f t="shared" si="84"/>
        <v>-0.68898382800693825</v>
      </c>
      <c r="Y74" s="556">
        <f t="shared" si="84"/>
        <v>-0.68884025387916348</v>
      </c>
      <c r="Z74" s="556">
        <f t="shared" si="84"/>
        <v>-0.68872098369161028</v>
      </c>
      <c r="AA74" s="556">
        <f t="shared" si="84"/>
        <v>-0.68891171849092769</v>
      </c>
      <c r="AB74" s="556">
        <f t="shared" si="84"/>
        <v>-0.68909119533580121</v>
      </c>
      <c r="AC74" s="556">
        <f t="shared" si="84"/>
        <v>-0.68925450729324378</v>
      </c>
      <c r="AD74" s="556">
        <f t="shared" si="84"/>
        <v>-0.68940887488420399</v>
      </c>
      <c r="AE74" s="556">
        <f t="shared" si="84"/>
        <v>-0.68954508372297973</v>
      </c>
      <c r="AF74" s="556">
        <f t="shared" si="84"/>
        <v>-0.68966720881441013</v>
      </c>
      <c r="AG74" s="556">
        <f t="shared" si="84"/>
        <v>-0.6897762144711026</v>
      </c>
      <c r="AH74" s="556">
        <f t="shared" si="84"/>
        <v>-0.68987091656675892</v>
      </c>
      <c r="AI74" s="556">
        <f t="shared" si="84"/>
        <v>-0.68995275979485016</v>
      </c>
      <c r="AJ74" s="556">
        <f t="shared" si="84"/>
        <v>-0.69002226956518242</v>
      </c>
      <c r="AK74" s="556">
        <f t="shared" si="84"/>
        <v>-0.69007979045697099</v>
      </c>
      <c r="AL74" s="556">
        <f t="shared" si="84"/>
        <v>-0.69012614883559897</v>
      </c>
      <c r="AM74" s="556">
        <f t="shared" si="84"/>
        <v>-0.69016194174404555</v>
      </c>
      <c r="AN74" s="556">
        <f t="shared" si="84"/>
        <v>-0.69018777140176202</v>
      </c>
      <c r="AO74" s="556">
        <f t="shared" si="84"/>
        <v>-0.6902043108808813</v>
      </c>
      <c r="AP74" s="556">
        <f t="shared" si="84"/>
        <v>-0.69021217005094437</v>
      </c>
      <c r="AQ74" s="556">
        <f t="shared" si="84"/>
        <v>-0.69021195351707421</v>
      </c>
      <c r="AR74" s="556">
        <f t="shared" si="84"/>
        <v>-0.69020425924053785</v>
      </c>
      <c r="AS74" s="556">
        <f t="shared" si="84"/>
        <v>-0.69018965443615932</v>
      </c>
      <c r="AT74" s="556">
        <f t="shared" si="84"/>
        <v>-0.69018686887138248</v>
      </c>
      <c r="AU74" s="556">
        <f t="shared" si="84"/>
        <v>-0.6905763460615163</v>
      </c>
      <c r="AV74" s="556">
        <f t="shared" si="84"/>
        <v>-0.69091229197043291</v>
      </c>
      <c r="AW74" s="556">
        <f t="shared" si="84"/>
        <v>-0.69120221406009186</v>
      </c>
      <c r="AX74" s="556">
        <f t="shared" si="84"/>
        <v>-0.69145252975104254</v>
      </c>
      <c r="AY74" s="556">
        <f t="shared" si="84"/>
        <v>-0.69166872660160628</v>
      </c>
      <c r="AZ74" s="556">
        <f t="shared" si="84"/>
        <v>-0.69185549967609494</v>
      </c>
      <c r="BA74" s="556">
        <f t="shared" si="84"/>
        <v>-0.69201686789019778</v>
      </c>
      <c r="BB74" s="556">
        <f t="shared" si="84"/>
        <v>-0.69215627330788798</v>
      </c>
      <c r="BC74" s="556">
        <f t="shared" si="84"/>
        <v>-0.69227666587550685</v>
      </c>
      <c r="BD74" s="556">
        <f t="shared" si="84"/>
        <v>-0.6923805754925505</v>
      </c>
    </row>
    <row r="75" spans="2:56" x14ac:dyDescent="0.3">
      <c r="B75" s="508" t="s">
        <v>448</v>
      </c>
      <c r="C75" s="40" t="s">
        <v>17</v>
      </c>
      <c r="D75" s="48">
        <f>BD!D248</f>
        <v>0</v>
      </c>
      <c r="E75" s="48">
        <f>BD!E248</f>
        <v>0</v>
      </c>
      <c r="F75" s="48">
        <f>BD!F248</f>
        <v>0</v>
      </c>
      <c r="G75" s="48">
        <f>BD!G248</f>
        <v>-82.7</v>
      </c>
      <c r="H75" s="48">
        <f>BD!H248</f>
        <v>-112.5</v>
      </c>
      <c r="I75" s="48">
        <f>BD!I248</f>
        <v>-128.30000000000001</v>
      </c>
      <c r="J75" s="48">
        <f>BD!J248</f>
        <v>-149.30000000000001</v>
      </c>
      <c r="K75" s="48">
        <f>BD!K248</f>
        <v>-144.1</v>
      </c>
      <c r="L75" s="48">
        <f>BD!L248</f>
        <v>-121.5</v>
      </c>
      <c r="M75" s="48">
        <f>BD!M248</f>
        <v>-123.2</v>
      </c>
      <c r="N75" s="48">
        <f>BD!N248</f>
        <v>-126.10000000000001</v>
      </c>
      <c r="O75" s="181">
        <f t="shared" ref="O75:BD75" si="85">O90+O107</f>
        <v>-128.71817652097155</v>
      </c>
      <c r="P75" s="181">
        <f t="shared" si="85"/>
        <v>-136.38767824418511</v>
      </c>
      <c r="Q75" s="181">
        <f t="shared" si="85"/>
        <v>-141.99567863239835</v>
      </c>
      <c r="R75" s="181">
        <f t="shared" si="85"/>
        <v>-147.82762178477364</v>
      </c>
      <c r="S75" s="181">
        <f t="shared" si="85"/>
        <v>-154.84726149613974</v>
      </c>
      <c r="T75" s="181">
        <f t="shared" si="85"/>
        <v>-161.58464878847161</v>
      </c>
      <c r="U75" s="181">
        <f t="shared" si="85"/>
        <v>-168.73368324744425</v>
      </c>
      <c r="V75" s="181">
        <f t="shared" si="85"/>
        <v>-176.37363167550555</v>
      </c>
      <c r="W75" s="181">
        <f t="shared" si="85"/>
        <v>-184.22597242289865</v>
      </c>
      <c r="X75" s="181">
        <f t="shared" si="85"/>
        <v>-192.48542221192145</v>
      </c>
      <c r="Y75" s="181">
        <f t="shared" si="85"/>
        <v>-201.14957930671338</v>
      </c>
      <c r="Z75" s="181">
        <f t="shared" si="85"/>
        <v>-210.18268763857242</v>
      </c>
      <c r="AA75" s="181">
        <f t="shared" si="85"/>
        <v>-219.64563703492234</v>
      </c>
      <c r="AB75" s="181">
        <f t="shared" si="85"/>
        <v>-229.54023386981632</v>
      </c>
      <c r="AC75" s="181">
        <f t="shared" si="85"/>
        <v>-239.87741003972874</v>
      </c>
      <c r="AD75" s="181">
        <f t="shared" si="85"/>
        <v>-250.68710925247166</v>
      </c>
      <c r="AE75" s="181">
        <f t="shared" si="85"/>
        <v>-261.98681404023318</v>
      </c>
      <c r="AF75" s="181">
        <f t="shared" si="85"/>
        <v>-273.7978837270303</v>
      </c>
      <c r="AG75" s="181">
        <f t="shared" si="85"/>
        <v>-286.14557686597874</v>
      </c>
      <c r="AH75" s="181">
        <f t="shared" si="85"/>
        <v>-299.05317935501495</v>
      </c>
      <c r="AI75" s="181">
        <f t="shared" si="85"/>
        <v>-312.54618810365656</v>
      </c>
      <c r="AJ75" s="181">
        <f t="shared" si="85"/>
        <v>-326.65163629641756</v>
      </c>
      <c r="AK75" s="181">
        <f t="shared" si="85"/>
        <v>-341.39714844896213</v>
      </c>
      <c r="AL75" s="181">
        <f t="shared" si="85"/>
        <v>-356.81195903804365</v>
      </c>
      <c r="AM75" s="181">
        <f t="shared" si="85"/>
        <v>-372.92666588064287</v>
      </c>
      <c r="AN75" s="181">
        <f t="shared" si="85"/>
        <v>-389.77315643772135</v>
      </c>
      <c r="AO75" s="181">
        <f t="shared" si="85"/>
        <v>-407.38488065214085</v>
      </c>
      <c r="AP75" s="181">
        <f t="shared" si="85"/>
        <v>-425.79682550368381</v>
      </c>
      <c r="AQ75" s="181">
        <f t="shared" si="85"/>
        <v>-445.04557813745095</v>
      </c>
      <c r="AR75" s="181">
        <f t="shared" si="85"/>
        <v>-465.16944298363393</v>
      </c>
      <c r="AS75" s="181">
        <f t="shared" si="85"/>
        <v>-486.20849635903522</v>
      </c>
      <c r="AT75" s="181">
        <f t="shared" si="85"/>
        <v>-508.20467281560963</v>
      </c>
      <c r="AU75" s="181">
        <f t="shared" si="85"/>
        <v>-531.20054619015548</v>
      </c>
      <c r="AV75" s="181">
        <f t="shared" si="85"/>
        <v>-555.21176193185568</v>
      </c>
      <c r="AW75" s="181">
        <f t="shared" si="85"/>
        <v>-580.28601343076957</v>
      </c>
      <c r="AX75" s="181">
        <f t="shared" si="85"/>
        <v>-606.47291731440566</v>
      </c>
      <c r="AY75" s="181">
        <f t="shared" si="85"/>
        <v>-633.8241231345587</v>
      </c>
      <c r="AZ75" s="181">
        <f t="shared" si="85"/>
        <v>-662.39342724389007</v>
      </c>
      <c r="BA75" s="181">
        <f t="shared" si="85"/>
        <v>-692.23688895027067</v>
      </c>
      <c r="BB75" s="181">
        <f t="shared" si="85"/>
        <v>-723.41294935509291</v>
      </c>
      <c r="BC75" s="181">
        <f t="shared" si="85"/>
        <v>-755.98255407738441</v>
      </c>
      <c r="BD75" s="181">
        <f t="shared" si="85"/>
        <v>-790.00927964395294</v>
      </c>
    </row>
    <row r="76" spans="2:56" x14ac:dyDescent="0.3">
      <c r="B76" s="550" t="s">
        <v>497</v>
      </c>
      <c r="C76" s="551"/>
      <c r="D76" s="557" t="e">
        <f t="shared" ref="D76:M76" si="86">D75/D28</f>
        <v>#DIV/0!</v>
      </c>
      <c r="E76" s="557" t="e">
        <f t="shared" si="86"/>
        <v>#DIV/0!</v>
      </c>
      <c r="F76" s="557" t="e">
        <f t="shared" si="86"/>
        <v>#DIV/0!</v>
      </c>
      <c r="G76" s="557">
        <f t="shared" si="86"/>
        <v>-0.45589856670341788</v>
      </c>
      <c r="H76" s="557">
        <f t="shared" si="86"/>
        <v>-0.50066755674232311</v>
      </c>
      <c r="I76" s="557">
        <f t="shared" si="86"/>
        <v>-0.51733870967741935</v>
      </c>
      <c r="J76" s="557">
        <f t="shared" si="86"/>
        <v>-0.52737548569410098</v>
      </c>
      <c r="K76" s="557">
        <f t="shared" si="86"/>
        <v>-0.54295403165033918</v>
      </c>
      <c r="L76" s="557">
        <f t="shared" si="86"/>
        <v>-0.48195160650535501</v>
      </c>
      <c r="M76" s="557">
        <f t="shared" si="86"/>
        <v>-0.48734177215189872</v>
      </c>
      <c r="N76" s="557">
        <f t="shared" ref="N76" si="87">N75/N28</f>
        <v>-0.48574730354391371</v>
      </c>
      <c r="O76" s="557">
        <f t="shared" ref="O76:BD76" si="88">O75/O28</f>
        <v>-0.47448108065028838</v>
      </c>
      <c r="P76" s="557">
        <f t="shared" si="88"/>
        <v>-0.48110278100126008</v>
      </c>
      <c r="Q76" s="557">
        <f t="shared" si="88"/>
        <v>-0.47931560468429468</v>
      </c>
      <c r="R76" s="557">
        <f t="shared" si="88"/>
        <v>-0.47751359454556758</v>
      </c>
      <c r="S76" s="557">
        <f t="shared" si="88"/>
        <v>-0.47864925668467789</v>
      </c>
      <c r="T76" s="557">
        <f t="shared" si="88"/>
        <v>-0.47796673026133141</v>
      </c>
      <c r="U76" s="557">
        <f t="shared" si="88"/>
        <v>-0.47762061717950505</v>
      </c>
      <c r="V76" s="557">
        <f t="shared" si="88"/>
        <v>-0.47774774492950256</v>
      </c>
      <c r="W76" s="557">
        <f t="shared" si="88"/>
        <v>-0.47752878484070904</v>
      </c>
      <c r="X76" s="557">
        <f t="shared" si="88"/>
        <v>-0.47745258763288406</v>
      </c>
      <c r="Y76" s="557">
        <f t="shared" si="88"/>
        <v>-0.47745807810429819</v>
      </c>
      <c r="Z76" s="557">
        <f t="shared" si="88"/>
        <v>-0.47741577781523725</v>
      </c>
      <c r="AA76" s="557">
        <f t="shared" si="88"/>
        <v>-0.47742605567238705</v>
      </c>
      <c r="AB76" s="557">
        <f t="shared" si="88"/>
        <v>-0.47744798565996788</v>
      </c>
      <c r="AC76" s="557">
        <f t="shared" si="88"/>
        <v>-0.47746364182314871</v>
      </c>
      <c r="AD76" s="557">
        <f t="shared" si="88"/>
        <v>-0.47749262382243696</v>
      </c>
      <c r="AE76" s="557">
        <f t="shared" si="88"/>
        <v>-0.47752686325830079</v>
      </c>
      <c r="AF76" s="557">
        <f t="shared" si="88"/>
        <v>-0.47756464846357166</v>
      </c>
      <c r="AG76" s="557">
        <f t="shared" si="88"/>
        <v>-0.47760936128777193</v>
      </c>
      <c r="AH76" s="557">
        <f t="shared" si="88"/>
        <v>-0.47765895795658797</v>
      </c>
      <c r="AI76" s="557">
        <f t="shared" si="88"/>
        <v>-0.47771339498682591</v>
      </c>
      <c r="AJ76" s="557">
        <f t="shared" si="88"/>
        <v>-0.477773172613774</v>
      </c>
      <c r="AK76" s="557">
        <f t="shared" si="88"/>
        <v>-0.47783782055079405</v>
      </c>
      <c r="AL76" s="557">
        <f t="shared" si="88"/>
        <v>-0.47790738657170417</v>
      </c>
      <c r="AM76" s="557">
        <f t="shared" si="88"/>
        <v>-0.47798194166247165</v>
      </c>
      <c r="AN76" s="557">
        <f t="shared" si="88"/>
        <v>-0.47806140809402575</v>
      </c>
      <c r="AO76" s="557">
        <f t="shared" si="88"/>
        <v>-0.47814583456969623</v>
      </c>
      <c r="AP76" s="557">
        <f t="shared" si="88"/>
        <v>-0.47823526592998622</v>
      </c>
      <c r="AQ76" s="557">
        <f t="shared" si="88"/>
        <v>-0.47832973496110681</v>
      </c>
      <c r="AR76" s="557">
        <f t="shared" si="88"/>
        <v>-0.47842930851315102</v>
      </c>
      <c r="AS76" s="557">
        <f t="shared" si="88"/>
        <v>-0.47853405706054514</v>
      </c>
      <c r="AT76" s="557">
        <f t="shared" si="88"/>
        <v>-0.47864405764632556</v>
      </c>
      <c r="AU76" s="557">
        <f t="shared" si="88"/>
        <v>-0.4787582160356495</v>
      </c>
      <c r="AV76" s="557">
        <f t="shared" si="88"/>
        <v>-0.47885066465297971</v>
      </c>
      <c r="AW76" s="557">
        <f t="shared" si="88"/>
        <v>-0.47892471466241826</v>
      </c>
      <c r="AX76" s="557">
        <f t="shared" si="88"/>
        <v>-0.47898318503245774</v>
      </c>
      <c r="AY76" s="557">
        <f t="shared" si="88"/>
        <v>-0.47902847450695918</v>
      </c>
      <c r="AZ76" s="557">
        <f t="shared" si="88"/>
        <v>-0.47906262437968966</v>
      </c>
      <c r="BA76" s="557">
        <f t="shared" si="88"/>
        <v>-0.47908737162673315</v>
      </c>
      <c r="BB76" s="557">
        <f t="shared" si="88"/>
        <v>-0.4791041938845656</v>
      </c>
      <c r="BC76" s="557">
        <f t="shared" si="88"/>
        <v>-0.47911434804840414</v>
      </c>
      <c r="BD76" s="557">
        <f t="shared" si="88"/>
        <v>-0.47911890304083038</v>
      </c>
    </row>
    <row r="77" spans="2:56" x14ac:dyDescent="0.3">
      <c r="C77" s="40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39"/>
    </row>
    <row r="78" spans="2:56" s="31" customFormat="1" x14ac:dyDescent="0.3">
      <c r="B78" s="35" t="s">
        <v>490</v>
      </c>
      <c r="C78" s="538" t="s">
        <v>19</v>
      </c>
      <c r="D78" s="539">
        <f>BD!D250</f>
        <v>0</v>
      </c>
      <c r="E78" s="539">
        <f>BD!E250</f>
        <v>0</v>
      </c>
      <c r="F78" s="539">
        <f>BD!F250</f>
        <v>0</v>
      </c>
      <c r="G78" s="539">
        <f>BD!G250</f>
        <v>0</v>
      </c>
      <c r="H78" s="539">
        <f>BD!H250</f>
        <v>0</v>
      </c>
      <c r="I78" s="539">
        <f>BD!I250</f>
        <v>0</v>
      </c>
      <c r="J78" s="539">
        <f>BD!J250</f>
        <v>0</v>
      </c>
      <c r="K78" s="539">
        <f>BD!K250</f>
        <v>75</v>
      </c>
      <c r="L78" s="539">
        <f>BD!L250</f>
        <v>62.3</v>
      </c>
      <c r="M78" s="539">
        <f>BD!M250</f>
        <v>74.2</v>
      </c>
      <c r="N78" s="539">
        <f>BD!N250</f>
        <v>70.300000000000011</v>
      </c>
      <c r="O78" s="561">
        <f t="shared" ref="O78:BD78" si="89">O79*O38</f>
        <v>73.647838278107571</v>
      </c>
      <c r="P78" s="561">
        <f t="shared" si="89"/>
        <v>80.155869615757524</v>
      </c>
      <c r="Q78" s="561">
        <f t="shared" si="89"/>
        <v>82.951300130521744</v>
      </c>
      <c r="R78" s="561">
        <f t="shared" si="89"/>
        <v>87.623961673595645</v>
      </c>
      <c r="S78" s="561">
        <f t="shared" si="89"/>
        <v>93.087710070982325</v>
      </c>
      <c r="T78" s="561">
        <f t="shared" si="89"/>
        <v>97.94387707384135</v>
      </c>
      <c r="U78" s="561">
        <f t="shared" si="89"/>
        <v>103.62420842954749</v>
      </c>
      <c r="V78" s="561">
        <f t="shared" si="89"/>
        <v>109.69068521895986</v>
      </c>
      <c r="W78" s="561">
        <f t="shared" si="89"/>
        <v>115.97262814988099</v>
      </c>
      <c r="X78" s="561">
        <f t="shared" si="89"/>
        <v>122.81079468412946</v>
      </c>
      <c r="Y78" s="561">
        <f t="shared" si="89"/>
        <v>130.09010284430505</v>
      </c>
      <c r="Z78" s="561">
        <f t="shared" si="89"/>
        <v>137.83064895764193</v>
      </c>
      <c r="AA78" s="561">
        <f t="shared" si="89"/>
        <v>144.93182751429791</v>
      </c>
      <c r="AB78" s="561">
        <f t="shared" si="89"/>
        <v>152.36600311757454</v>
      </c>
      <c r="AC78" s="561">
        <f t="shared" si="89"/>
        <v>160.23664504664978</v>
      </c>
      <c r="AD78" s="561">
        <f t="shared" si="89"/>
        <v>168.58434917940951</v>
      </c>
      <c r="AE78" s="561">
        <f t="shared" si="89"/>
        <v>177.43021631041381</v>
      </c>
      <c r="AF78" s="561">
        <f t="shared" si="89"/>
        <v>186.80998179286846</v>
      </c>
      <c r="AG78" s="561">
        <f t="shared" si="89"/>
        <v>196.7608972421217</v>
      </c>
      <c r="AH78" s="561">
        <f t="shared" si="89"/>
        <v>207.31866615025518</v>
      </c>
      <c r="AI78" s="561">
        <f t="shared" si="89"/>
        <v>218.52479512066421</v>
      </c>
      <c r="AJ78" s="561">
        <f t="shared" si="89"/>
        <v>230.42295218308624</v>
      </c>
      <c r="AK78" s="561">
        <f t="shared" si="89"/>
        <v>243.05921653682762</v>
      </c>
      <c r="AL78" s="561">
        <f t="shared" si="89"/>
        <v>256.48369427240499</v>
      </c>
      <c r="AM78" s="561">
        <f t="shared" si="89"/>
        <v>270.74976713648056</v>
      </c>
      <c r="AN78" s="561">
        <f t="shared" si="89"/>
        <v>285.91453329486558</v>
      </c>
      <c r="AO78" s="561">
        <f t="shared" si="89"/>
        <v>302.03932617817014</v>
      </c>
      <c r="AP78" s="561">
        <f t="shared" si="89"/>
        <v>319.18977710698448</v>
      </c>
      <c r="AQ78" s="561">
        <f t="shared" si="89"/>
        <v>337.43621381975055</v>
      </c>
      <c r="AR78" s="561">
        <f t="shared" si="89"/>
        <v>356.8540396193635</v>
      </c>
      <c r="AS78" s="561">
        <f t="shared" si="89"/>
        <v>377.52405221807521</v>
      </c>
      <c r="AT78" s="561">
        <f t="shared" si="89"/>
        <v>399.25832929969511</v>
      </c>
      <c r="AU78" s="561">
        <f t="shared" si="89"/>
        <v>416.06773914901606</v>
      </c>
      <c r="AV78" s="561">
        <f t="shared" si="89"/>
        <v>433.6046417968152</v>
      </c>
      <c r="AW78" s="561">
        <f t="shared" si="89"/>
        <v>451.90105106362375</v>
      </c>
      <c r="AX78" s="561">
        <f t="shared" si="89"/>
        <v>470.99040410499373</v>
      </c>
      <c r="AY78" s="561">
        <f t="shared" si="89"/>
        <v>490.9076230653568</v>
      </c>
      <c r="AZ78" s="561">
        <f t="shared" si="89"/>
        <v>511.68918309979495</v>
      </c>
      <c r="BA78" s="561">
        <f t="shared" si="89"/>
        <v>533.37318133477947</v>
      </c>
      <c r="BB78" s="561">
        <f t="shared" si="89"/>
        <v>555.99940908132157</v>
      </c>
      <c r="BC78" s="561">
        <f t="shared" si="89"/>
        <v>579.6094279378483</v>
      </c>
      <c r="BD78" s="561">
        <f t="shared" si="89"/>
        <v>604.24664879366969</v>
      </c>
    </row>
    <row r="79" spans="2:56" s="31" customFormat="1" x14ac:dyDescent="0.3">
      <c r="B79" s="545" t="s">
        <v>497</v>
      </c>
      <c r="C79" s="544"/>
      <c r="D79" s="533"/>
      <c r="E79" s="533"/>
      <c r="F79" s="533"/>
      <c r="G79" s="533"/>
      <c r="H79" s="533"/>
      <c r="I79" s="533"/>
      <c r="J79" s="533"/>
      <c r="K79" s="530">
        <f>K78/K38</f>
        <v>-1</v>
      </c>
      <c r="L79" s="530">
        <f>L78/L38</f>
        <v>-1</v>
      </c>
      <c r="M79" s="530">
        <f>M78/M38</f>
        <v>-1</v>
      </c>
      <c r="N79" s="530">
        <f>N78/N38</f>
        <v>-0.92744063324538262</v>
      </c>
      <c r="O79" s="531">
        <f>AVERAGE(L79:N79)</f>
        <v>-0.97581354441512758</v>
      </c>
      <c r="P79" s="531">
        <f>AVERAGE(M79:O79)</f>
        <v>-0.9677513925535034</v>
      </c>
      <c r="Q79" s="531">
        <f>AVERAGE(N79:P79)</f>
        <v>-0.95700185673800453</v>
      </c>
      <c r="R79" s="531">
        <f t="shared" ref="R79:BD79" si="90">AVERAGE(O79:Q79)</f>
        <v>-0.96685559790221187</v>
      </c>
      <c r="S79" s="531">
        <f t="shared" si="90"/>
        <v>-0.96386961573123997</v>
      </c>
      <c r="T79" s="531">
        <f t="shared" si="90"/>
        <v>-0.96257569012381883</v>
      </c>
      <c r="U79" s="531">
        <f t="shared" si="90"/>
        <v>-0.96443363458575693</v>
      </c>
      <c r="V79" s="531">
        <f t="shared" si="90"/>
        <v>-0.96362631348027195</v>
      </c>
      <c r="W79" s="531">
        <f t="shared" si="90"/>
        <v>-0.9635452127299492</v>
      </c>
      <c r="X79" s="531">
        <f t="shared" si="90"/>
        <v>-0.96386838693199273</v>
      </c>
      <c r="Y79" s="531">
        <f t="shared" si="90"/>
        <v>-0.96367997104740466</v>
      </c>
      <c r="Z79" s="531">
        <f t="shared" si="90"/>
        <v>-0.96369785690311549</v>
      </c>
      <c r="AA79" s="531">
        <f t="shared" si="90"/>
        <v>-0.96374873829417096</v>
      </c>
      <c r="AB79" s="531">
        <f t="shared" si="90"/>
        <v>-0.96370885541489704</v>
      </c>
      <c r="AC79" s="531">
        <f t="shared" si="90"/>
        <v>-0.96371848353739453</v>
      </c>
      <c r="AD79" s="531">
        <f t="shared" si="90"/>
        <v>-0.96372535908215429</v>
      </c>
      <c r="AE79" s="531">
        <f t="shared" si="90"/>
        <v>-0.96371756601148195</v>
      </c>
      <c r="AF79" s="531">
        <f t="shared" si="90"/>
        <v>-0.96372046954367685</v>
      </c>
      <c r="AG79" s="531">
        <f t="shared" si="90"/>
        <v>-0.9637211315457711</v>
      </c>
      <c r="AH79" s="531">
        <f t="shared" si="90"/>
        <v>-0.96371972236697667</v>
      </c>
      <c r="AI79" s="531">
        <f t="shared" si="90"/>
        <v>-0.9637204411521415</v>
      </c>
      <c r="AJ79" s="531">
        <f t="shared" si="90"/>
        <v>-0.96372043168829646</v>
      </c>
      <c r="AK79" s="531">
        <f t="shared" si="90"/>
        <v>-0.96372019840247158</v>
      </c>
      <c r="AL79" s="531">
        <f t="shared" si="90"/>
        <v>-0.96372035708096992</v>
      </c>
      <c r="AM79" s="531">
        <f t="shared" si="90"/>
        <v>-0.96372032905724592</v>
      </c>
      <c r="AN79" s="531">
        <f t="shared" si="90"/>
        <v>-0.96372029484689581</v>
      </c>
      <c r="AO79" s="531">
        <f t="shared" si="90"/>
        <v>-0.96372032699503718</v>
      </c>
      <c r="AP79" s="531">
        <f t="shared" si="90"/>
        <v>-0.96372031696639304</v>
      </c>
      <c r="AQ79" s="531">
        <f t="shared" si="90"/>
        <v>-0.9637203129361086</v>
      </c>
      <c r="AR79" s="531">
        <f t="shared" si="90"/>
        <v>-0.9637203189658462</v>
      </c>
      <c r="AS79" s="531">
        <f t="shared" si="90"/>
        <v>-0.96372031628944921</v>
      </c>
      <c r="AT79" s="531">
        <f t="shared" si="90"/>
        <v>-0.96372031606380126</v>
      </c>
      <c r="AU79" s="531">
        <f t="shared" si="90"/>
        <v>-0.96372031710636552</v>
      </c>
      <c r="AV79" s="531">
        <f t="shared" si="90"/>
        <v>-0.96372031648653866</v>
      </c>
      <c r="AW79" s="531">
        <f t="shared" si="90"/>
        <v>-0.96372031655223511</v>
      </c>
      <c r="AX79" s="531">
        <f t="shared" si="90"/>
        <v>-0.96372031671504643</v>
      </c>
      <c r="AY79" s="531">
        <f t="shared" si="90"/>
        <v>-0.96372031658460677</v>
      </c>
      <c r="AZ79" s="531">
        <f t="shared" si="90"/>
        <v>-0.96372031661729618</v>
      </c>
      <c r="BA79" s="531">
        <f t="shared" si="90"/>
        <v>-0.96372031663898305</v>
      </c>
      <c r="BB79" s="531">
        <f t="shared" si="90"/>
        <v>-0.96372031661362867</v>
      </c>
      <c r="BC79" s="531">
        <f t="shared" si="90"/>
        <v>-0.9637203166233026</v>
      </c>
      <c r="BD79" s="532">
        <f t="shared" si="90"/>
        <v>-0.96372031662530466</v>
      </c>
    </row>
    <row r="80" spans="2:56" ht="6" customHeight="1" x14ac:dyDescent="0.3">
      <c r="B80" s="34"/>
      <c r="C80" s="34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</row>
    <row r="81" spans="2:56" s="31" customFormat="1" x14ac:dyDescent="0.3">
      <c r="B81" s="35" t="s">
        <v>78</v>
      </c>
      <c r="C81" s="35" t="s">
        <v>15</v>
      </c>
      <c r="D81" s="507">
        <f>BD!D246</f>
        <v>0</v>
      </c>
      <c r="E81" s="507">
        <f>BD!E246</f>
        <v>0</v>
      </c>
      <c r="F81" s="507">
        <f>BD!F246</f>
        <v>0</v>
      </c>
      <c r="G81" s="507">
        <f>BD!G246</f>
        <v>-393.9</v>
      </c>
      <c r="H81" s="507">
        <f>BD!H246</f>
        <v>-574.29999999999995</v>
      </c>
      <c r="I81" s="507">
        <f>BD!I246</f>
        <v>-637.20000000000005</v>
      </c>
      <c r="J81" s="507">
        <f>BD!J246</f>
        <v>-622.1</v>
      </c>
      <c r="K81" s="507">
        <f>BD!K246</f>
        <v>-784.3</v>
      </c>
      <c r="L81" s="507">
        <f>BD!L246</f>
        <v>-802.9</v>
      </c>
      <c r="M81" s="507">
        <f>BD!M246</f>
        <v>-658.2</v>
      </c>
      <c r="N81" s="507">
        <f>BD!N246</f>
        <v>-745.90000000000009</v>
      </c>
      <c r="O81" s="540">
        <f t="shared" ref="O81:BD81" si="91">O96+O104</f>
        <v>-748.3702406765118</v>
      </c>
      <c r="P81" s="540">
        <f t="shared" si="91"/>
        <v>-770.5810317740976</v>
      </c>
      <c r="Q81" s="540">
        <f t="shared" si="91"/>
        <v>-792.92245721455265</v>
      </c>
      <c r="R81" s="540">
        <f t="shared" si="91"/>
        <v>-809.3123568617234</v>
      </c>
      <c r="S81" s="540">
        <f t="shared" si="91"/>
        <v>-830.74380486188159</v>
      </c>
      <c r="T81" s="540">
        <f t="shared" si="91"/>
        <v>-851.85658434267225</v>
      </c>
      <c r="U81" s="540">
        <f t="shared" si="91"/>
        <v>-872.48916586617418</v>
      </c>
      <c r="V81" s="540">
        <f t="shared" si="91"/>
        <v>-894.65423949675187</v>
      </c>
      <c r="W81" s="540">
        <f t="shared" si="91"/>
        <v>-917.05928360916698</v>
      </c>
      <c r="X81" s="540">
        <f t="shared" si="91"/>
        <v>-939.90973799830681</v>
      </c>
      <c r="Y81" s="540">
        <f t="shared" si="91"/>
        <v>-963.54599022691491</v>
      </c>
      <c r="Z81" s="540">
        <f t="shared" si="91"/>
        <v>-987.69257685996297</v>
      </c>
      <c r="AA81" s="540">
        <f t="shared" si="91"/>
        <v>-1012.4484406182584</v>
      </c>
      <c r="AB81" s="540">
        <f t="shared" si="91"/>
        <v>-1037.8679909233467</v>
      </c>
      <c r="AC81" s="540">
        <f t="shared" si="91"/>
        <v>-1063.9072002296509</v>
      </c>
      <c r="AD81" s="540">
        <f t="shared" si="91"/>
        <v>-1090.6076988355185</v>
      </c>
      <c r="AE81" s="540">
        <f t="shared" si="91"/>
        <v>-1117.9900167833796</v>
      </c>
      <c r="AF81" s="540">
        <f t="shared" si="91"/>
        <v>-1146.0601483982007</v>
      </c>
      <c r="AG81" s="540">
        <f t="shared" si="91"/>
        <v>-1174.842360516036</v>
      </c>
      <c r="AH81" s="540">
        <f t="shared" si="91"/>
        <v>-1204.3545131101178</v>
      </c>
      <c r="AI81" s="540">
        <f t="shared" si="91"/>
        <v>-1234.6134508414286</v>
      </c>
      <c r="AJ81" s="540">
        <f t="shared" si="91"/>
        <v>-1265.6399953489204</v>
      </c>
      <c r="AK81" s="540">
        <f t="shared" si="91"/>
        <v>-1297.4536784863308</v>
      </c>
      <c r="AL81" s="540">
        <f t="shared" si="91"/>
        <v>-1330.0746228424364</v>
      </c>
      <c r="AM81" s="540">
        <f t="shared" si="91"/>
        <v>-1363.5241364742665</v>
      </c>
      <c r="AN81" s="540">
        <f t="shared" si="91"/>
        <v>-1397.8236836095914</v>
      </c>
      <c r="AO81" s="540">
        <f t="shared" si="91"/>
        <v>-1432.9954163210525</v>
      </c>
      <c r="AP81" s="540">
        <f t="shared" si="91"/>
        <v>-1469.0622108822342</v>
      </c>
      <c r="AQ81" s="540">
        <f t="shared" si="91"/>
        <v>-1506.0474972822799</v>
      </c>
      <c r="AR81" s="540">
        <f t="shared" si="91"/>
        <v>-1543.9754053232568</v>
      </c>
      <c r="AS81" s="540">
        <f t="shared" si="91"/>
        <v>-1582.870768961893</v>
      </c>
      <c r="AT81" s="540">
        <f t="shared" si="91"/>
        <v>-1622.7591185712422</v>
      </c>
      <c r="AU81" s="540">
        <f t="shared" si="91"/>
        <v>-1663.6654910105692</v>
      </c>
      <c r="AV81" s="540">
        <f t="shared" si="91"/>
        <v>-1705.5883060745332</v>
      </c>
      <c r="AW81" s="540">
        <f t="shared" si="91"/>
        <v>-1748.5550473924602</v>
      </c>
      <c r="AX81" s="540">
        <f t="shared" si="91"/>
        <v>-1792.5937222827652</v>
      </c>
      <c r="AY81" s="540">
        <f t="shared" si="91"/>
        <v>-1837.7328934258903</v>
      </c>
      <c r="AZ81" s="540">
        <f t="shared" si="91"/>
        <v>-1884.0017112373557</v>
      </c>
      <c r="BA81" s="540">
        <f t="shared" si="91"/>
        <v>-1931.4299465677309</v>
      </c>
      <c r="BB81" s="540">
        <f t="shared" si="91"/>
        <v>-1980.0480207693572</v>
      </c>
      <c r="BC81" s="540">
        <f t="shared" si="91"/>
        <v>-2029.8870356590955</v>
      </c>
      <c r="BD81" s="540">
        <f t="shared" si="91"/>
        <v>-2080.9788030274335</v>
      </c>
    </row>
    <row r="82" spans="2:56" x14ac:dyDescent="0.3">
      <c r="B82" s="157"/>
      <c r="C82" s="43"/>
      <c r="D82" s="43"/>
      <c r="E82" s="43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5"/>
      <c r="BA82" s="185"/>
      <c r="BB82" s="185"/>
      <c r="BC82" s="185"/>
      <c r="BD82" s="186"/>
    </row>
    <row r="83" spans="2:56" x14ac:dyDescent="0.3"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</row>
    <row r="84" spans="2:56" s="31" customFormat="1" x14ac:dyDescent="0.3">
      <c r="B84" s="88" t="s">
        <v>310</v>
      </c>
      <c r="C84" s="88" t="s">
        <v>22</v>
      </c>
      <c r="D84" s="83"/>
      <c r="E84" s="83"/>
      <c r="F84" s="89">
        <f t="shared" ref="F84:L84" si="92">F86+F93+F96</f>
        <v>0</v>
      </c>
      <c r="G84" s="89">
        <f t="shared" si="92"/>
        <v>-1062.9000000000001</v>
      </c>
      <c r="H84" s="89">
        <f t="shared" si="92"/>
        <v>-1280.9000000000001</v>
      </c>
      <c r="I84" s="89">
        <f t="shared" si="92"/>
        <v>-1469.8</v>
      </c>
      <c r="J84" s="89">
        <f t="shared" si="92"/>
        <v>-1525.6</v>
      </c>
      <c r="K84" s="89">
        <f t="shared" si="92"/>
        <v>-1578.4</v>
      </c>
      <c r="L84" s="89">
        <f t="shared" si="92"/>
        <v>-1614.6</v>
      </c>
      <c r="M84" s="89">
        <f t="shared" ref="M84:Z84" si="93">M86+M93+M96</f>
        <v>-1547.4</v>
      </c>
      <c r="N84" s="89">
        <f t="shared" ref="N84" si="94">N86+N93+N96</f>
        <v>-1603.2</v>
      </c>
      <c r="O84" s="90">
        <f t="shared" si="93"/>
        <v>-1643.1682138622507</v>
      </c>
      <c r="P84" s="90">
        <f t="shared" si="93"/>
        <v>-1730.2710388512755</v>
      </c>
      <c r="Q84" s="90">
        <f t="shared" si="93"/>
        <v>-1821.440671884473</v>
      </c>
      <c r="R84" s="90">
        <f t="shared" si="93"/>
        <v>-1918.0573576613497</v>
      </c>
      <c r="S84" s="90">
        <f t="shared" si="93"/>
        <v>-2024.9039062990491</v>
      </c>
      <c r="T84" s="90">
        <f t="shared" si="93"/>
        <v>-2135.9136610376527</v>
      </c>
      <c r="U84" s="90">
        <f t="shared" si="93"/>
        <v>-2254.7808994940619</v>
      </c>
      <c r="V84" s="90">
        <f t="shared" si="93"/>
        <v>-2382.0507982529566</v>
      </c>
      <c r="W84" s="90">
        <f t="shared" si="93"/>
        <v>-2517.0910691848112</v>
      </c>
      <c r="X84" s="90">
        <f t="shared" si="93"/>
        <v>-2661.3828057976434</v>
      </c>
      <c r="Y84" s="90">
        <f t="shared" si="93"/>
        <v>-2815.3676124722992</v>
      </c>
      <c r="Z84" s="90">
        <f t="shared" si="93"/>
        <v>-2979.5712949815124</v>
      </c>
      <c r="AA84" s="90">
        <f t="shared" ref="AA84:BD84" si="95">AA86+AA93+AA96</f>
        <v>-3129.7226642296901</v>
      </c>
      <c r="AB84" s="90">
        <f t="shared" si="95"/>
        <v>-3287.0066680165301</v>
      </c>
      <c r="AC84" s="90">
        <f t="shared" si="95"/>
        <v>-3453.485076924263</v>
      </c>
      <c r="AD84" s="90">
        <f t="shared" si="95"/>
        <v>-3629.8019173450293</v>
      </c>
      <c r="AE84" s="90">
        <f t="shared" si="95"/>
        <v>-3816.5764893220157</v>
      </c>
      <c r="AF84" s="90">
        <f t="shared" si="95"/>
        <v>-4014.5025176570607</v>
      </c>
      <c r="AG84" s="90">
        <f t="shared" si="95"/>
        <v>-4224.3257335755261</v>
      </c>
      <c r="AH84" s="90">
        <f t="shared" si="95"/>
        <v>-4446.8303689063359</v>
      </c>
      <c r="AI84" s="90">
        <f t="shared" si="95"/>
        <v>-4682.864949867504</v>
      </c>
      <c r="AJ84" s="90">
        <f t="shared" si="95"/>
        <v>-4933.3366748318304</v>
      </c>
      <c r="AK84" s="90">
        <f t="shared" si="95"/>
        <v>-5199.2146221975509</v>
      </c>
      <c r="AL84" s="90">
        <f t="shared" si="95"/>
        <v>-5481.5389285225283</v>
      </c>
      <c r="AM84" s="90">
        <f t="shared" si="95"/>
        <v>-5781.4230020803034</v>
      </c>
      <c r="AN84" s="90">
        <f t="shared" si="95"/>
        <v>-6100.0593283268736</v>
      </c>
      <c r="AO84" s="90">
        <f t="shared" si="95"/>
        <v>-6438.7260842887899</v>
      </c>
      <c r="AP84" s="90">
        <f t="shared" si="95"/>
        <v>-6798.7926821545507</v>
      </c>
      <c r="AQ84" s="90">
        <f t="shared" si="95"/>
        <v>-7181.7267259480741</v>
      </c>
      <c r="AR84" s="90">
        <f t="shared" si="95"/>
        <v>-7589.101350060304</v>
      </c>
      <c r="AS84" s="90">
        <f t="shared" si="95"/>
        <v>-8022.6028295939705</v>
      </c>
      <c r="AT84" s="90">
        <f t="shared" si="95"/>
        <v>-8478.2701445000894</v>
      </c>
      <c r="AU84" s="90">
        <f t="shared" si="95"/>
        <v>-8830.2405583218297</v>
      </c>
      <c r="AV84" s="90">
        <f t="shared" si="95"/>
        <v>-9197.2737210477753</v>
      </c>
      <c r="AW84" s="90">
        <f t="shared" si="95"/>
        <v>-9580.0280585442379</v>
      </c>
      <c r="AX84" s="90">
        <f t="shared" si="95"/>
        <v>-9979.1911428483545</v>
      </c>
      <c r="AY84" s="90">
        <f t="shared" si="95"/>
        <v>-10395.480986062052</v>
      </c>
      <c r="AZ84" s="90">
        <f t="shared" si="95"/>
        <v>-10829.647403156225</v>
      </c>
      <c r="BA84" s="90">
        <f t="shared" si="95"/>
        <v>-11282.47342856975</v>
      </c>
      <c r="BB84" s="90">
        <f t="shared" si="95"/>
        <v>-11754.77679731004</v>
      </c>
      <c r="BC84" s="90">
        <f t="shared" si="95"/>
        <v>-12247.411494257265</v>
      </c>
      <c r="BD84" s="90">
        <f t="shared" si="95"/>
        <v>-12761.269371137381</v>
      </c>
    </row>
    <row r="86" spans="2:56" x14ac:dyDescent="0.3">
      <c r="B86" s="35" t="s">
        <v>486</v>
      </c>
      <c r="C86" s="522" t="s">
        <v>14</v>
      </c>
      <c r="D86" s="546">
        <f t="shared" ref="D86:L86" si="96">D71-(D106)</f>
        <v>0</v>
      </c>
      <c r="E86" s="546">
        <f t="shared" si="96"/>
        <v>0</v>
      </c>
      <c r="F86" s="546">
        <f t="shared" si="96"/>
        <v>0</v>
      </c>
      <c r="G86" s="608">
        <f t="shared" si="96"/>
        <v>-669</v>
      </c>
      <c r="H86" s="608">
        <f t="shared" si="96"/>
        <v>-706.6</v>
      </c>
      <c r="I86" s="608">
        <f t="shared" si="96"/>
        <v>-839.8</v>
      </c>
      <c r="J86" s="608">
        <f t="shared" si="96"/>
        <v>-909.3</v>
      </c>
      <c r="K86" s="608">
        <f t="shared" si="96"/>
        <v>-873.30000000000007</v>
      </c>
      <c r="L86" s="608">
        <f t="shared" si="96"/>
        <v>-877</v>
      </c>
      <c r="M86" s="608">
        <f>M71-(M106)</f>
        <v>-966.19999999999993</v>
      </c>
      <c r="N86" s="608">
        <f>N71-(N106)</f>
        <v>-930.89999999999986</v>
      </c>
      <c r="O86" s="611">
        <f t="shared" ref="O86:BD86" si="97">O88+O90</f>
        <v>-973.40199633599423</v>
      </c>
      <c r="P86" s="611">
        <f t="shared" si="97"/>
        <v>-1045.5093089580719</v>
      </c>
      <c r="Q86" s="611">
        <f t="shared" si="97"/>
        <v>-1118.3041174016275</v>
      </c>
      <c r="R86" s="611">
        <f t="shared" si="97"/>
        <v>-1202.5019634445746</v>
      </c>
      <c r="S86" s="611">
        <f t="shared" si="97"/>
        <v>-1293.8989833505791</v>
      </c>
      <c r="T86" s="611">
        <f t="shared" si="97"/>
        <v>-1389.0615481669113</v>
      </c>
      <c r="U86" s="611">
        <f t="shared" si="97"/>
        <v>-1493.0703903107212</v>
      </c>
      <c r="V86" s="611">
        <f t="shared" si="97"/>
        <v>-1604.660298227034</v>
      </c>
      <c r="W86" s="611">
        <f t="shared" si="97"/>
        <v>-1723.947054843894</v>
      </c>
      <c r="X86" s="611">
        <f t="shared" si="97"/>
        <v>-1852.5746808952326</v>
      </c>
      <c r="Y86" s="611">
        <f t="shared" si="97"/>
        <v>-1990.6516938270715</v>
      </c>
      <c r="Z86" s="611">
        <f t="shared" si="97"/>
        <v>-2138.9056899282482</v>
      </c>
      <c r="AA86" s="611">
        <f t="shared" si="97"/>
        <v>-2271.8447193524457</v>
      </c>
      <c r="AB86" s="611">
        <f t="shared" si="97"/>
        <v>-2411.6247732356869</v>
      </c>
      <c r="AC86" s="611">
        <f t="shared" si="97"/>
        <v>-2560.4368554528824</v>
      </c>
      <c r="AD86" s="611">
        <f t="shared" si="97"/>
        <v>-2718.9339910422782</v>
      </c>
      <c r="AE86" s="611">
        <f t="shared" si="97"/>
        <v>-2887.7403156758551</v>
      </c>
      <c r="AF86" s="611">
        <f t="shared" si="97"/>
        <v>-3067.5765947041737</v>
      </c>
      <c r="AG86" s="611">
        <f t="shared" si="97"/>
        <v>-3259.2061572654379</v>
      </c>
      <c r="AH86" s="611">
        <f t="shared" si="97"/>
        <v>-3463.4334530057486</v>
      </c>
      <c r="AI86" s="611">
        <f t="shared" si="97"/>
        <v>-3681.1332550785828</v>
      </c>
      <c r="AJ86" s="611">
        <f t="shared" si="97"/>
        <v>-3913.2389392230884</v>
      </c>
      <c r="AK86" s="611">
        <f t="shared" si="97"/>
        <v>-4160.7489167764761</v>
      </c>
      <c r="AL86" s="611">
        <f t="shared" si="97"/>
        <v>-4424.7362455170851</v>
      </c>
      <c r="AM86" s="611">
        <f t="shared" si="97"/>
        <v>-4706.3498846045422</v>
      </c>
      <c r="AN86" s="611">
        <f t="shared" si="97"/>
        <v>-5006.8214703900221</v>
      </c>
      <c r="AO86" s="611">
        <f t="shared" si="97"/>
        <v>-5327.4721591458801</v>
      </c>
      <c r="AP86" s="611">
        <f t="shared" si="97"/>
        <v>-5669.718248940072</v>
      </c>
      <c r="AQ86" s="611">
        <f t="shared" si="97"/>
        <v>-6035.0786180944915</v>
      </c>
      <c r="AR86" s="611">
        <f t="shared" si="97"/>
        <v>-6425.1823807973651</v>
      </c>
      <c r="AS86" s="611">
        <f t="shared" si="97"/>
        <v>-6841.7768304377641</v>
      </c>
      <c r="AT86" s="611">
        <f t="shared" si="97"/>
        <v>-7280.6825663064783</v>
      </c>
      <c r="AU86" s="611">
        <f t="shared" si="97"/>
        <v>-7609.7982838043072</v>
      </c>
      <c r="AV86" s="611">
        <f t="shared" si="97"/>
        <v>-7953.7242068023152</v>
      </c>
      <c r="AW86" s="611">
        <f t="shared" si="97"/>
        <v>-8313.1267952172784</v>
      </c>
      <c r="AX86" s="611">
        <f t="shared" si="97"/>
        <v>-8688.7025015403196</v>
      </c>
      <c r="AY86" s="611">
        <f t="shared" si="97"/>
        <v>-9081.1791140590249</v>
      </c>
      <c r="AZ86" s="611">
        <f t="shared" si="97"/>
        <v>-9491.3171740310045</v>
      </c>
      <c r="BA86" s="611">
        <f t="shared" si="97"/>
        <v>-9919.911446992759</v>
      </c>
      <c r="BB86" s="611">
        <f t="shared" si="97"/>
        <v>-10367.792462075102</v>
      </c>
      <c r="BC86" s="611">
        <f t="shared" si="97"/>
        <v>-10835.828122843552</v>
      </c>
      <c r="BD86" s="611">
        <f t="shared" si="97"/>
        <v>-11324.925388400647</v>
      </c>
    </row>
    <row r="87" spans="2:56" x14ac:dyDescent="0.3">
      <c r="B87" s="524" t="s">
        <v>497</v>
      </c>
      <c r="C87" s="34"/>
      <c r="D87" s="58"/>
      <c r="E87" s="58"/>
      <c r="F87" s="59"/>
      <c r="G87" s="59">
        <f t="shared" ref="G87:L87" si="98">G86/G20</f>
        <v>-0.71026648264146941</v>
      </c>
      <c r="H87" s="59">
        <f t="shared" si="98"/>
        <v>-0.69301686936053353</v>
      </c>
      <c r="I87" s="59">
        <f t="shared" si="98"/>
        <v>-0.63147605083088942</v>
      </c>
      <c r="J87" s="59">
        <f t="shared" si="98"/>
        <v>-0.62148862005331151</v>
      </c>
      <c r="K87" s="59">
        <f t="shared" si="98"/>
        <v>-0.61573715010928576</v>
      </c>
      <c r="L87" s="59">
        <f t="shared" si="98"/>
        <v>-0.62269241692700938</v>
      </c>
      <c r="M87" s="610">
        <f>M86/M20</f>
        <v>-0.64919707048310149</v>
      </c>
      <c r="N87" s="610">
        <f>N86/N20</f>
        <v>-0.63469012067907549</v>
      </c>
      <c r="O87" s="610">
        <f t="shared" ref="O87:BD87" si="99">O86/O20</f>
        <v>-0.61185189726891565</v>
      </c>
      <c r="P87" s="610">
        <f t="shared" si="99"/>
        <v>-0.61861440497780051</v>
      </c>
      <c r="Q87" s="610">
        <f t="shared" si="99"/>
        <v>-0.61776813119847274</v>
      </c>
      <c r="R87" s="610">
        <f t="shared" si="99"/>
        <v>-0.62011592813285221</v>
      </c>
      <c r="S87" s="610">
        <f t="shared" si="99"/>
        <v>-0.62281357820153771</v>
      </c>
      <c r="T87" s="610">
        <f t="shared" si="99"/>
        <v>-0.62402201309834571</v>
      </c>
      <c r="U87" s="610">
        <f t="shared" si="99"/>
        <v>-0.62593688839774619</v>
      </c>
      <c r="V87" s="610">
        <f t="shared" si="99"/>
        <v>-0.62770752928497164</v>
      </c>
      <c r="W87" s="610">
        <f t="shared" si="99"/>
        <v>-0.62918047253910747</v>
      </c>
      <c r="X87" s="610">
        <f t="shared" si="99"/>
        <v>-0.63075138291768917</v>
      </c>
      <c r="Y87" s="610">
        <f t="shared" si="99"/>
        <v>-0.63221384800498215</v>
      </c>
      <c r="Z87" s="610">
        <f t="shared" si="99"/>
        <v>-0.63358169811763687</v>
      </c>
      <c r="AA87" s="610">
        <f t="shared" si="99"/>
        <v>-0.63453770605352944</v>
      </c>
      <c r="AB87" s="610">
        <f t="shared" si="99"/>
        <v>-0.63542721582732642</v>
      </c>
      <c r="AC87" s="610">
        <f t="shared" si="99"/>
        <v>-0.63628638953137795</v>
      </c>
      <c r="AD87" s="610">
        <f t="shared" si="99"/>
        <v>-0.63712532390052523</v>
      </c>
      <c r="AE87" s="610">
        <f t="shared" si="99"/>
        <v>-0.63793601410749345</v>
      </c>
      <c r="AF87" s="610">
        <f t="shared" si="99"/>
        <v>-0.63872270480395787</v>
      </c>
      <c r="AG87" s="610">
        <f t="shared" si="99"/>
        <v>-0.63948737017259905</v>
      </c>
      <c r="AH87" s="610">
        <f t="shared" si="99"/>
        <v>-0.64022930326827898</v>
      </c>
      <c r="AI87" s="610">
        <f t="shared" si="99"/>
        <v>-0.64095024222089769</v>
      </c>
      <c r="AJ87" s="610">
        <f t="shared" si="99"/>
        <v>-0.64165108301410323</v>
      </c>
      <c r="AK87" s="610">
        <f t="shared" si="99"/>
        <v>-0.64233237256390474</v>
      </c>
      <c r="AL87" s="610">
        <f t="shared" si="99"/>
        <v>-0.64299508073296618</v>
      </c>
      <c r="AM87" s="610">
        <f t="shared" si="99"/>
        <v>-0.64363992383415136</v>
      </c>
      <c r="AN87" s="610">
        <f t="shared" si="99"/>
        <v>-0.64426756387899142</v>
      </c>
      <c r="AO87" s="610">
        <f t="shared" si="99"/>
        <v>-0.64487870527211966</v>
      </c>
      <c r="AP87" s="610">
        <f t="shared" si="99"/>
        <v>-0.64547396765202414</v>
      </c>
      <c r="AQ87" s="610">
        <f t="shared" si="99"/>
        <v>-0.64605394254880477</v>
      </c>
      <c r="AR87" s="610">
        <f t="shared" si="99"/>
        <v>-0.64661920163776243</v>
      </c>
      <c r="AS87" s="610">
        <f t="shared" si="99"/>
        <v>-0.6471702758693717</v>
      </c>
      <c r="AT87" s="610">
        <f t="shared" si="99"/>
        <v>-0.64768998844910664</v>
      </c>
      <c r="AU87" s="610">
        <f t="shared" si="99"/>
        <v>-0.64781640555388331</v>
      </c>
      <c r="AV87" s="610">
        <f t="shared" si="99"/>
        <v>-0.64793737871429657</v>
      </c>
      <c r="AW87" s="610">
        <f t="shared" si="99"/>
        <v>-0.64805314241701517</v>
      </c>
      <c r="AX87" s="610">
        <f t="shared" si="99"/>
        <v>-0.6481639211865351</v>
      </c>
      <c r="AY87" s="610">
        <f t="shared" si="99"/>
        <v>-0.64826992953638274</v>
      </c>
      <c r="AZ87" s="610">
        <f t="shared" si="99"/>
        <v>-0.64837137292584746</v>
      </c>
      <c r="BA87" s="610">
        <f t="shared" si="99"/>
        <v>-0.64846844795871417</v>
      </c>
      <c r="BB87" s="610">
        <f t="shared" si="99"/>
        <v>-0.64856134271683086</v>
      </c>
      <c r="BC87" s="610">
        <f t="shared" si="99"/>
        <v>-0.64865023722264836</v>
      </c>
      <c r="BD87" s="610">
        <f t="shared" si="99"/>
        <v>-0.64873530373848953</v>
      </c>
    </row>
    <row r="88" spans="2:56" x14ac:dyDescent="0.3">
      <c r="B88" s="639" t="s">
        <v>487</v>
      </c>
      <c r="C88" s="516" t="s">
        <v>16</v>
      </c>
      <c r="D88" s="547">
        <f t="shared" ref="D88:L88" si="100">D73-(D106)</f>
        <v>0</v>
      </c>
      <c r="E88" s="547">
        <f t="shared" si="100"/>
        <v>0</v>
      </c>
      <c r="F88" s="547">
        <f t="shared" si="100"/>
        <v>0</v>
      </c>
      <c r="G88" s="547">
        <f t="shared" si="100"/>
        <v>-586.29999999999995</v>
      </c>
      <c r="H88" s="547">
        <f t="shared" si="100"/>
        <v>-594.1</v>
      </c>
      <c r="I88" s="547">
        <f t="shared" si="100"/>
        <v>-711.5</v>
      </c>
      <c r="J88" s="547">
        <f t="shared" si="100"/>
        <v>-760</v>
      </c>
      <c r="K88" s="547">
        <f t="shared" si="100"/>
        <v>-729.2</v>
      </c>
      <c r="L88" s="547">
        <f t="shared" si="100"/>
        <v>-755.5</v>
      </c>
      <c r="M88" s="547">
        <f>M73-(M106)</f>
        <v>-843</v>
      </c>
      <c r="N88" s="547">
        <f>N73-(N106)</f>
        <v>-804.79999999999984</v>
      </c>
      <c r="O88" s="275">
        <f>O89*O22+33</f>
        <v>-847.81457381502264</v>
      </c>
      <c r="P88" s="275">
        <f t="shared" ref="P88:BD88" si="101">P89*P22+33</f>
        <v>-912.46849629338283</v>
      </c>
      <c r="Q88" s="275">
        <f t="shared" si="101"/>
        <v>-979.53496591393946</v>
      </c>
      <c r="R88" s="275">
        <f t="shared" si="101"/>
        <v>-1057.9640404239792</v>
      </c>
      <c r="S88" s="275">
        <f t="shared" si="101"/>
        <v>-1142.4312563954861</v>
      </c>
      <c r="T88" s="275">
        <f t="shared" si="101"/>
        <v>-1230.9010631911178</v>
      </c>
      <c r="U88" s="275">
        <f t="shared" si="101"/>
        <v>-1327.8617126917877</v>
      </c>
      <c r="V88" s="275">
        <f t="shared" si="101"/>
        <v>-1431.9242613105748</v>
      </c>
      <c r="W88" s="275">
        <f t="shared" si="101"/>
        <v>-1543.4775373364064</v>
      </c>
      <c r="X88" s="275">
        <f t="shared" si="101"/>
        <v>-1663.9902599073014</v>
      </c>
      <c r="Y88" s="275">
        <f t="shared" si="101"/>
        <v>-1793.5622075989666</v>
      </c>
      <c r="Z88" s="275">
        <f t="shared" si="101"/>
        <v>-1932.9579847907969</v>
      </c>
      <c r="AA88" s="275">
        <f t="shared" si="101"/>
        <v>-2056.6286690187626</v>
      </c>
      <c r="AB88" s="275">
        <f t="shared" si="101"/>
        <v>-2186.7205530428232</v>
      </c>
      <c r="AC88" s="275">
        <f t="shared" si="101"/>
        <v>-2325.414601422372</v>
      </c>
      <c r="AD88" s="275">
        <f t="shared" si="101"/>
        <v>-2473.3351401372483</v>
      </c>
      <c r="AE88" s="275">
        <f t="shared" si="101"/>
        <v>-2631.0889644735012</v>
      </c>
      <c r="AF88" s="275">
        <f t="shared" si="101"/>
        <v>-2799.3765340085779</v>
      </c>
      <c r="AG88" s="275">
        <f t="shared" si="101"/>
        <v>-2978.9368758603068</v>
      </c>
      <c r="AH88" s="275">
        <f t="shared" si="101"/>
        <v>-3170.5519869133905</v>
      </c>
      <c r="AI88" s="275">
        <f t="shared" si="101"/>
        <v>-3375.0722490513458</v>
      </c>
      <c r="AJ88" s="275">
        <f t="shared" si="101"/>
        <v>-3593.4051245145561</v>
      </c>
      <c r="AK88" s="275">
        <f t="shared" si="101"/>
        <v>-3826.5225787023942</v>
      </c>
      <c r="AL88" s="275">
        <f t="shared" si="101"/>
        <v>-4075.4697464983501</v>
      </c>
      <c r="AM88" s="275">
        <f t="shared" si="101"/>
        <v>-4341.3663768429324</v>
      </c>
      <c r="AN88" s="275">
        <f t="shared" si="101"/>
        <v>-4625.4137072917702</v>
      </c>
      <c r="AO88" s="275">
        <f t="shared" si="101"/>
        <v>-4928.9010508863566</v>
      </c>
      <c r="AP88" s="275">
        <f t="shared" si="101"/>
        <v>-5253.2114369834735</v>
      </c>
      <c r="AQ88" s="275">
        <f t="shared" si="101"/>
        <v>-5599.8290007439909</v>
      </c>
      <c r="AR88" s="275">
        <f t="shared" si="101"/>
        <v>-5970.3465312614808</v>
      </c>
      <c r="AS88" s="275">
        <f t="shared" si="101"/>
        <v>-6366.4733668414992</v>
      </c>
      <c r="AT88" s="275">
        <f t="shared" si="101"/>
        <v>-6783.9904472107701</v>
      </c>
      <c r="AU88" s="275">
        <f t="shared" si="101"/>
        <v>-7090.7550193994157</v>
      </c>
      <c r="AV88" s="275">
        <f t="shared" si="101"/>
        <v>-7411.3239953323719</v>
      </c>
      <c r="AW88" s="275">
        <f t="shared" si="101"/>
        <v>-7746.3185743291679</v>
      </c>
      <c r="AX88" s="275">
        <f t="shared" si="101"/>
        <v>-8096.3879107047132</v>
      </c>
      <c r="AY88" s="275">
        <f t="shared" si="101"/>
        <v>-8462.2103666053972</v>
      </c>
      <c r="AZ88" s="275">
        <f t="shared" si="101"/>
        <v>-8844.4948329658964</v>
      </c>
      <c r="BA88" s="275">
        <f t="shared" si="101"/>
        <v>-9243.9821005741214</v>
      </c>
      <c r="BB88" s="275">
        <f t="shared" si="101"/>
        <v>-9661.4462950628149</v>
      </c>
      <c r="BC88" s="275">
        <f t="shared" si="101"/>
        <v>-10097.696378321101</v>
      </c>
      <c r="BD88" s="275">
        <f t="shared" si="101"/>
        <v>-10553.577715372683</v>
      </c>
    </row>
    <row r="89" spans="2:56" x14ac:dyDescent="0.3">
      <c r="B89" s="640" t="s">
        <v>497</v>
      </c>
      <c r="C89" s="516"/>
      <c r="D89" s="513" t="e">
        <f t="shared" ref="D89:L89" si="102">D88/D22</f>
        <v>#DIV/0!</v>
      </c>
      <c r="E89" s="513" t="e">
        <f t="shared" si="102"/>
        <v>#DIV/0!</v>
      </c>
      <c r="F89" s="513" t="e">
        <f t="shared" si="102"/>
        <v>#DIV/0!</v>
      </c>
      <c r="G89" s="513">
        <f t="shared" si="102"/>
        <v>-0.77094017094017087</v>
      </c>
      <c r="H89" s="513">
        <f t="shared" si="102"/>
        <v>-0.74738960875581839</v>
      </c>
      <c r="I89" s="513">
        <f t="shared" si="102"/>
        <v>-0.65763933820131248</v>
      </c>
      <c r="J89" s="513">
        <f t="shared" si="102"/>
        <v>-0.64406779661016944</v>
      </c>
      <c r="K89" s="513">
        <f t="shared" si="102"/>
        <v>-0.63249197675427182</v>
      </c>
      <c r="L89" s="513">
        <f t="shared" si="102"/>
        <v>-0.65337715125832396</v>
      </c>
      <c r="M89" s="513">
        <f>M88/M22</f>
        <v>-0.68231485228652367</v>
      </c>
      <c r="N89" s="513">
        <f>N88/N22</f>
        <v>-0.66672189545190941</v>
      </c>
      <c r="O89" s="612">
        <f>AVERAGE(L89:N89)</f>
        <v>-0.6674712996655856</v>
      </c>
      <c r="P89" s="612">
        <f>AVERAGE(M89:O89)</f>
        <v>-0.67216934913467286</v>
      </c>
      <c r="Q89" s="612">
        <f>AVERAGE(N89:P89)</f>
        <v>-0.66878751475072262</v>
      </c>
      <c r="R89" s="612">
        <f t="shared" ref="R89:BD89" si="103">AVERAGE(O89:Q89)</f>
        <v>-0.66947605451699366</v>
      </c>
      <c r="S89" s="612">
        <f t="shared" si="103"/>
        <v>-0.67014430613412967</v>
      </c>
      <c r="T89" s="612">
        <f t="shared" si="103"/>
        <v>-0.66946929180061543</v>
      </c>
      <c r="U89" s="612">
        <f t="shared" si="103"/>
        <v>-0.66969655081724622</v>
      </c>
      <c r="V89" s="612">
        <f t="shared" si="103"/>
        <v>-0.66977004958399711</v>
      </c>
      <c r="W89" s="612">
        <f t="shared" si="103"/>
        <v>-0.66964529740061962</v>
      </c>
      <c r="X89" s="612">
        <f t="shared" si="103"/>
        <v>-0.66970396593395431</v>
      </c>
      <c r="Y89" s="612">
        <f t="shared" si="103"/>
        <v>-0.66970643763952376</v>
      </c>
      <c r="Z89" s="612">
        <f t="shared" si="103"/>
        <v>-0.66968523365803267</v>
      </c>
      <c r="AA89" s="612">
        <f t="shared" si="103"/>
        <v>-0.66969854574383703</v>
      </c>
      <c r="AB89" s="612">
        <f t="shared" si="103"/>
        <v>-0.66969673901379778</v>
      </c>
      <c r="AC89" s="612">
        <f t="shared" si="103"/>
        <v>-0.66969350613855594</v>
      </c>
      <c r="AD89" s="612">
        <f t="shared" si="103"/>
        <v>-0.66969626363206369</v>
      </c>
      <c r="AE89" s="612">
        <f t="shared" si="103"/>
        <v>-0.66969550292813917</v>
      </c>
      <c r="AF89" s="612">
        <f t="shared" si="103"/>
        <v>-0.66969509089958634</v>
      </c>
      <c r="AG89" s="612">
        <f t="shared" si="103"/>
        <v>-0.66969561915326314</v>
      </c>
      <c r="AH89" s="612">
        <f t="shared" si="103"/>
        <v>-0.66969540432699626</v>
      </c>
      <c r="AI89" s="612">
        <f t="shared" si="103"/>
        <v>-0.66969537145994862</v>
      </c>
      <c r="AJ89" s="612">
        <f t="shared" si="103"/>
        <v>-0.66969546498006938</v>
      </c>
      <c r="AK89" s="612">
        <f t="shared" si="103"/>
        <v>-0.66969541358900475</v>
      </c>
      <c r="AL89" s="612">
        <f t="shared" si="103"/>
        <v>-0.66969541667634092</v>
      </c>
      <c r="AM89" s="612">
        <f t="shared" si="103"/>
        <v>-0.66969543174847168</v>
      </c>
      <c r="AN89" s="612">
        <f t="shared" si="103"/>
        <v>-0.66969542067127241</v>
      </c>
      <c r="AO89" s="612">
        <f t="shared" si="103"/>
        <v>-0.66969542303202834</v>
      </c>
      <c r="AP89" s="612">
        <f t="shared" si="103"/>
        <v>-0.66969542515059077</v>
      </c>
      <c r="AQ89" s="612">
        <f t="shared" si="103"/>
        <v>-0.66969542295129714</v>
      </c>
      <c r="AR89" s="612">
        <f t="shared" si="103"/>
        <v>-0.66969542371130542</v>
      </c>
      <c r="AS89" s="612">
        <f t="shared" si="103"/>
        <v>-0.66969542393773107</v>
      </c>
      <c r="AT89" s="612">
        <f t="shared" si="103"/>
        <v>-0.66969542353344458</v>
      </c>
      <c r="AU89" s="612">
        <f t="shared" si="103"/>
        <v>-0.6696954237274938</v>
      </c>
      <c r="AV89" s="612">
        <f t="shared" si="103"/>
        <v>-0.66969542373288993</v>
      </c>
      <c r="AW89" s="612">
        <f t="shared" si="103"/>
        <v>-0.66969542366460943</v>
      </c>
      <c r="AX89" s="612">
        <f t="shared" si="103"/>
        <v>-0.66969542370833102</v>
      </c>
      <c r="AY89" s="612">
        <f t="shared" si="103"/>
        <v>-0.66969542370194335</v>
      </c>
      <c r="AZ89" s="612">
        <f t="shared" si="103"/>
        <v>-0.66969542369162793</v>
      </c>
      <c r="BA89" s="612">
        <f t="shared" si="103"/>
        <v>-0.66969542370063406</v>
      </c>
      <c r="BB89" s="612">
        <f t="shared" si="103"/>
        <v>-0.66969542369806845</v>
      </c>
      <c r="BC89" s="612">
        <f t="shared" si="103"/>
        <v>-0.66969542369677681</v>
      </c>
      <c r="BD89" s="613">
        <f t="shared" si="103"/>
        <v>-0.66969542369849311</v>
      </c>
    </row>
    <row r="90" spans="2:56" x14ac:dyDescent="0.3">
      <c r="B90" s="641" t="s">
        <v>448</v>
      </c>
      <c r="C90" s="520" t="s">
        <v>17</v>
      </c>
      <c r="D90" s="547">
        <f t="shared" ref="D90:L90" si="104">D75-(D107)</f>
        <v>0</v>
      </c>
      <c r="E90" s="547">
        <f t="shared" si="104"/>
        <v>0</v>
      </c>
      <c r="F90" s="547">
        <f t="shared" si="104"/>
        <v>0</v>
      </c>
      <c r="G90" s="547">
        <f t="shared" si="104"/>
        <v>-82.7</v>
      </c>
      <c r="H90" s="547">
        <f t="shared" si="104"/>
        <v>-112.5</v>
      </c>
      <c r="I90" s="547">
        <f t="shared" si="104"/>
        <v>-116.10000000000001</v>
      </c>
      <c r="J90" s="547">
        <f t="shared" si="104"/>
        <v>-136.4</v>
      </c>
      <c r="K90" s="547">
        <f t="shared" si="104"/>
        <v>-132.9</v>
      </c>
      <c r="L90" s="547">
        <f t="shared" si="104"/>
        <v>-111.9</v>
      </c>
      <c r="M90" s="547">
        <f>M75-(M107)</f>
        <v>-119.3</v>
      </c>
      <c r="N90" s="547">
        <f>N75-(N107)</f>
        <v>-122.80000000000001</v>
      </c>
      <c r="O90" s="121">
        <f t="shared" ref="O90:BD90" si="105">O91*O28</f>
        <v>-125.58742252097154</v>
      </c>
      <c r="P90" s="121">
        <f t="shared" si="105"/>
        <v>-133.04081266468904</v>
      </c>
      <c r="Q90" s="121">
        <f t="shared" si="105"/>
        <v>-138.76915148768802</v>
      </c>
      <c r="R90" s="121">
        <f t="shared" si="105"/>
        <v>-144.53792302059529</v>
      </c>
      <c r="S90" s="121">
        <f t="shared" si="105"/>
        <v>-151.4677269550929</v>
      </c>
      <c r="T90" s="121">
        <f t="shared" si="105"/>
        <v>-158.16048497579351</v>
      </c>
      <c r="U90" s="121">
        <f t="shared" si="105"/>
        <v>-165.20867761893351</v>
      </c>
      <c r="V90" s="121">
        <f t="shared" si="105"/>
        <v>-172.73603691645926</v>
      </c>
      <c r="W90" s="121">
        <f t="shared" si="105"/>
        <v>-180.46951750748758</v>
      </c>
      <c r="X90" s="121">
        <f t="shared" si="105"/>
        <v>-188.58442098793114</v>
      </c>
      <c r="Y90" s="121">
        <f t="shared" si="105"/>
        <v>-197.08948622810496</v>
      </c>
      <c r="Z90" s="121">
        <f t="shared" si="105"/>
        <v>-205.94770513745146</v>
      </c>
      <c r="AA90" s="121">
        <f t="shared" si="105"/>
        <v>-215.21605033368303</v>
      </c>
      <c r="AB90" s="121">
        <f t="shared" si="105"/>
        <v>-224.90422019286382</v>
      </c>
      <c r="AC90" s="121">
        <f t="shared" si="105"/>
        <v>-235.02225403051028</v>
      </c>
      <c r="AD90" s="121">
        <f t="shared" si="105"/>
        <v>-245.59885090502974</v>
      </c>
      <c r="AE90" s="121">
        <f t="shared" si="105"/>
        <v>-256.65135120235374</v>
      </c>
      <c r="AF90" s="121">
        <f t="shared" si="105"/>
        <v>-268.20006069559588</v>
      </c>
      <c r="AG90" s="121">
        <f t="shared" si="105"/>
        <v>-280.2692814051311</v>
      </c>
      <c r="AH90" s="121">
        <f t="shared" si="105"/>
        <v>-292.88146609235798</v>
      </c>
      <c r="AI90" s="121">
        <f t="shared" si="105"/>
        <v>-306.06100602723683</v>
      </c>
      <c r="AJ90" s="121">
        <f t="shared" si="105"/>
        <v>-319.83381470853254</v>
      </c>
      <c r="AK90" s="121">
        <f t="shared" si="105"/>
        <v>-334.22633807408158</v>
      </c>
      <c r="AL90" s="121">
        <f t="shared" si="105"/>
        <v>-349.26649901873458</v>
      </c>
      <c r="AM90" s="121">
        <f t="shared" si="105"/>
        <v>-364.98350776161016</v>
      </c>
      <c r="AN90" s="121">
        <f t="shared" si="105"/>
        <v>-381.40776309825196</v>
      </c>
      <c r="AO90" s="121">
        <f t="shared" si="105"/>
        <v>-398.57110825952373</v>
      </c>
      <c r="AP90" s="121">
        <f t="shared" si="105"/>
        <v>-416.50681195659826</v>
      </c>
      <c r="AQ90" s="121">
        <f t="shared" si="105"/>
        <v>-435.24961735050056</v>
      </c>
      <c r="AR90" s="121">
        <f t="shared" si="105"/>
        <v>-454.83584953588445</v>
      </c>
      <c r="AS90" s="121">
        <f t="shared" si="105"/>
        <v>-475.30346359626486</v>
      </c>
      <c r="AT90" s="121">
        <f t="shared" si="105"/>
        <v>-496.69211909570811</v>
      </c>
      <c r="AU90" s="121">
        <f t="shared" si="105"/>
        <v>-519.04326440489137</v>
      </c>
      <c r="AV90" s="121">
        <f t="shared" si="105"/>
        <v>-542.40021146994332</v>
      </c>
      <c r="AW90" s="121">
        <f t="shared" si="105"/>
        <v>-566.80822088810987</v>
      </c>
      <c r="AX90" s="121">
        <f t="shared" si="105"/>
        <v>-592.31459083560651</v>
      </c>
      <c r="AY90" s="121">
        <f t="shared" si="105"/>
        <v>-618.96874745362754</v>
      </c>
      <c r="AZ90" s="121">
        <f t="shared" si="105"/>
        <v>-646.82234106510737</v>
      </c>
      <c r="BA90" s="121">
        <f t="shared" si="105"/>
        <v>-675.92934641863815</v>
      </c>
      <c r="BB90" s="121">
        <f t="shared" si="105"/>
        <v>-706.34616701228663</v>
      </c>
      <c r="BC90" s="121">
        <f t="shared" si="105"/>
        <v>-738.13174452244982</v>
      </c>
      <c r="BD90" s="122">
        <f t="shared" si="105"/>
        <v>-771.34767302796399</v>
      </c>
    </row>
    <row r="91" spans="2:56" x14ac:dyDescent="0.3">
      <c r="B91" s="642" t="s">
        <v>497</v>
      </c>
      <c r="C91" s="603"/>
      <c r="D91" s="530" t="e">
        <f t="shared" ref="D91:L91" si="106">D90/D28</f>
        <v>#DIV/0!</v>
      </c>
      <c r="E91" s="530" t="e">
        <f t="shared" si="106"/>
        <v>#DIV/0!</v>
      </c>
      <c r="F91" s="530" t="e">
        <f t="shared" si="106"/>
        <v>#DIV/0!</v>
      </c>
      <c r="G91" s="530">
        <f t="shared" si="106"/>
        <v>-0.45589856670341788</v>
      </c>
      <c r="H91" s="530">
        <f t="shared" si="106"/>
        <v>-0.50066755674232311</v>
      </c>
      <c r="I91" s="530">
        <f t="shared" si="106"/>
        <v>-0.46814516129032263</v>
      </c>
      <c r="J91" s="530">
        <f t="shared" si="106"/>
        <v>-0.48180854821617802</v>
      </c>
      <c r="K91" s="530">
        <f t="shared" si="106"/>
        <v>-0.50075357950263755</v>
      </c>
      <c r="L91" s="530">
        <f t="shared" si="106"/>
        <v>-0.44387147957159861</v>
      </c>
      <c r="M91" s="530">
        <f>M90/M28</f>
        <v>-0.47191455696202528</v>
      </c>
      <c r="N91" s="530">
        <f>N90/N28</f>
        <v>-0.47303543913713403</v>
      </c>
      <c r="O91" s="614">
        <f>AVERAGE(L91:N91)</f>
        <v>-0.46294049189025266</v>
      </c>
      <c r="P91" s="614">
        <f>AVERAGE(M91:O91)</f>
        <v>-0.46929682932980404</v>
      </c>
      <c r="Q91" s="614">
        <f>AVERAGE(N91:P91)</f>
        <v>-0.46842425345239697</v>
      </c>
      <c r="R91" s="614">
        <f t="shared" ref="R91:BD91" si="107">AVERAGE(O91:Q91)</f>
        <v>-0.46688719155748459</v>
      </c>
      <c r="S91" s="614">
        <f t="shared" si="107"/>
        <v>-0.46820275811322859</v>
      </c>
      <c r="T91" s="614">
        <f t="shared" si="107"/>
        <v>-0.46783806770770342</v>
      </c>
      <c r="U91" s="614">
        <f t="shared" si="107"/>
        <v>-0.46764267245947222</v>
      </c>
      <c r="V91" s="614">
        <f t="shared" si="107"/>
        <v>-0.46789449942680145</v>
      </c>
      <c r="W91" s="614">
        <f t="shared" si="107"/>
        <v>-0.46779174653132571</v>
      </c>
      <c r="X91" s="614">
        <f t="shared" si="107"/>
        <v>-0.46777630613919979</v>
      </c>
      <c r="Y91" s="614">
        <f t="shared" si="107"/>
        <v>-0.467820850699109</v>
      </c>
      <c r="Z91" s="614">
        <f t="shared" si="107"/>
        <v>-0.46779630112321152</v>
      </c>
      <c r="AA91" s="614">
        <f t="shared" si="107"/>
        <v>-0.46779781932050679</v>
      </c>
      <c r="AB91" s="614">
        <f t="shared" si="107"/>
        <v>-0.46780499038094242</v>
      </c>
      <c r="AC91" s="614">
        <f t="shared" si="107"/>
        <v>-0.46779970360822026</v>
      </c>
      <c r="AD91" s="614">
        <f t="shared" si="107"/>
        <v>-0.46780083776988984</v>
      </c>
      <c r="AE91" s="614">
        <f t="shared" si="107"/>
        <v>-0.46780184391968421</v>
      </c>
      <c r="AF91" s="614">
        <f t="shared" si="107"/>
        <v>-0.46780079509926481</v>
      </c>
      <c r="AG91" s="614">
        <f t="shared" si="107"/>
        <v>-0.46780115892961294</v>
      </c>
      <c r="AH91" s="614">
        <f t="shared" si="107"/>
        <v>-0.46780126598285393</v>
      </c>
      <c r="AI91" s="614">
        <f t="shared" si="107"/>
        <v>-0.46780107333724391</v>
      </c>
      <c r="AJ91" s="614">
        <f t="shared" si="107"/>
        <v>-0.46780116608323691</v>
      </c>
      <c r="AK91" s="614">
        <f t="shared" si="107"/>
        <v>-0.46780116846777825</v>
      </c>
      <c r="AL91" s="614">
        <f t="shared" si="107"/>
        <v>-0.46780113596275302</v>
      </c>
      <c r="AM91" s="614">
        <f t="shared" si="107"/>
        <v>-0.46780115683792273</v>
      </c>
      <c r="AN91" s="614">
        <f t="shared" si="107"/>
        <v>-0.46780115375615133</v>
      </c>
      <c r="AO91" s="614">
        <f t="shared" si="107"/>
        <v>-0.46780114885227569</v>
      </c>
      <c r="AP91" s="614">
        <f t="shared" si="107"/>
        <v>-0.46780115314878329</v>
      </c>
      <c r="AQ91" s="614">
        <f t="shared" si="107"/>
        <v>-0.46780115191907012</v>
      </c>
      <c r="AR91" s="614">
        <f t="shared" si="107"/>
        <v>-0.46780115130670968</v>
      </c>
      <c r="AS91" s="614">
        <f t="shared" si="107"/>
        <v>-0.4678011521248544</v>
      </c>
      <c r="AT91" s="614">
        <f t="shared" si="107"/>
        <v>-0.46780115178354476</v>
      </c>
      <c r="AU91" s="614">
        <f t="shared" si="107"/>
        <v>-0.46780115173836961</v>
      </c>
      <c r="AV91" s="614">
        <f t="shared" si="107"/>
        <v>-0.46780115188225624</v>
      </c>
      <c r="AW91" s="614">
        <f t="shared" si="107"/>
        <v>-0.4678011518013902</v>
      </c>
      <c r="AX91" s="614">
        <f t="shared" si="107"/>
        <v>-0.46780115180733867</v>
      </c>
      <c r="AY91" s="614">
        <f t="shared" si="107"/>
        <v>-0.46780115183032839</v>
      </c>
      <c r="AZ91" s="614">
        <f t="shared" si="107"/>
        <v>-0.46780115181301912</v>
      </c>
      <c r="BA91" s="614">
        <f t="shared" si="107"/>
        <v>-0.46780115181689541</v>
      </c>
      <c r="BB91" s="614">
        <f t="shared" si="107"/>
        <v>-0.46780115182008092</v>
      </c>
      <c r="BC91" s="614">
        <f t="shared" si="107"/>
        <v>-0.46780115181666515</v>
      </c>
      <c r="BD91" s="615">
        <f t="shared" si="107"/>
        <v>-0.46780115181788046</v>
      </c>
    </row>
    <row r="92" spans="2:56" x14ac:dyDescent="0.3">
      <c r="B92" s="602"/>
      <c r="C92" s="520"/>
      <c r="D92" s="513"/>
      <c r="E92" s="513"/>
      <c r="F92" s="513"/>
      <c r="G92" s="513"/>
      <c r="H92" s="513"/>
      <c r="I92" s="513"/>
      <c r="J92" s="513"/>
      <c r="K92" s="513"/>
      <c r="L92" s="513"/>
      <c r="M92" s="513"/>
      <c r="N92" s="513"/>
      <c r="O92" s="514"/>
      <c r="P92" s="514"/>
      <c r="Q92" s="514"/>
      <c r="R92" s="514"/>
      <c r="S92" s="514"/>
      <c r="T92" s="514"/>
      <c r="U92" s="514"/>
      <c r="V92" s="514"/>
      <c r="W92" s="514"/>
      <c r="X92" s="514"/>
      <c r="Y92" s="514"/>
      <c r="Z92" s="514"/>
      <c r="AA92" s="514"/>
      <c r="AB92" s="514"/>
      <c r="AC92" s="514"/>
      <c r="AD92" s="514"/>
      <c r="AE92" s="514"/>
      <c r="AF92" s="514"/>
      <c r="AG92" s="514"/>
      <c r="AH92" s="514"/>
      <c r="AI92" s="514"/>
      <c r="AJ92" s="514"/>
      <c r="AK92" s="514"/>
      <c r="AL92" s="514"/>
      <c r="AM92" s="514"/>
      <c r="AN92" s="514"/>
      <c r="AO92" s="514"/>
      <c r="AP92" s="514"/>
      <c r="AQ92" s="514"/>
      <c r="AR92" s="514"/>
      <c r="AS92" s="514"/>
      <c r="AT92" s="514"/>
      <c r="AU92" s="514"/>
      <c r="AV92" s="514"/>
      <c r="AW92" s="514"/>
      <c r="AX92" s="514"/>
      <c r="AY92" s="514"/>
      <c r="AZ92" s="514"/>
      <c r="BA92" s="514"/>
      <c r="BB92" s="514"/>
      <c r="BC92" s="514"/>
      <c r="BD92" s="514"/>
    </row>
    <row r="93" spans="2:56" x14ac:dyDescent="0.3">
      <c r="B93" s="35" t="s">
        <v>490</v>
      </c>
      <c r="C93" s="604" t="s">
        <v>19</v>
      </c>
      <c r="D93" s="605">
        <f t="shared" ref="D93:L93" si="108">D78</f>
        <v>0</v>
      </c>
      <c r="E93" s="605">
        <f t="shared" si="108"/>
        <v>0</v>
      </c>
      <c r="F93" s="605">
        <f t="shared" si="108"/>
        <v>0</v>
      </c>
      <c r="G93" s="605">
        <f t="shared" si="108"/>
        <v>0</v>
      </c>
      <c r="H93" s="605">
        <f t="shared" si="108"/>
        <v>0</v>
      </c>
      <c r="I93" s="605">
        <f t="shared" si="108"/>
        <v>0</v>
      </c>
      <c r="J93" s="605">
        <f t="shared" si="108"/>
        <v>0</v>
      </c>
      <c r="K93" s="605">
        <f t="shared" si="108"/>
        <v>75</v>
      </c>
      <c r="L93" s="605">
        <f t="shared" si="108"/>
        <v>62.3</v>
      </c>
      <c r="M93" s="605">
        <f>M78</f>
        <v>74.2</v>
      </c>
      <c r="N93" s="605">
        <f>N78</f>
        <v>70.300000000000011</v>
      </c>
      <c r="O93" s="606">
        <f t="shared" ref="O93:BD93" si="109">O38*O94</f>
        <v>75.473269150255348</v>
      </c>
      <c r="P93" s="606">
        <f t="shared" si="109"/>
        <v>82.826922526309872</v>
      </c>
      <c r="Q93" s="606">
        <f t="shared" si="109"/>
        <v>86.678306365325128</v>
      </c>
      <c r="R93" s="606">
        <f t="shared" si="109"/>
        <v>90.627764749682882</v>
      </c>
      <c r="S93" s="606">
        <f t="shared" si="109"/>
        <v>96.577076973591815</v>
      </c>
      <c r="T93" s="606">
        <f t="shared" si="109"/>
        <v>101.75187061003228</v>
      </c>
      <c r="U93" s="606">
        <f t="shared" si="109"/>
        <v>107.44566003658315</v>
      </c>
      <c r="V93" s="606">
        <f t="shared" si="109"/>
        <v>113.83114355065349</v>
      </c>
      <c r="W93" s="606">
        <f t="shared" si="109"/>
        <v>120.36033869267368</v>
      </c>
      <c r="X93" s="606">
        <f t="shared" si="109"/>
        <v>127.41448557622896</v>
      </c>
      <c r="Y93" s="606">
        <f t="shared" si="109"/>
        <v>134.99305449184826</v>
      </c>
      <c r="Z93" s="606">
        <f t="shared" si="109"/>
        <v>143.02267870613164</v>
      </c>
      <c r="AA93" s="606">
        <f t="shared" si="109"/>
        <v>150.38341608708751</v>
      </c>
      <c r="AB93" s="606">
        <f t="shared" si="109"/>
        <v>158.10376989010624</v>
      </c>
      <c r="AC93" s="606">
        <f t="shared" si="109"/>
        <v>166.26914164652132</v>
      </c>
      <c r="AD93" s="606">
        <f t="shared" si="109"/>
        <v>174.92986730158074</v>
      </c>
      <c r="AE93" s="606">
        <f t="shared" si="109"/>
        <v>184.11018182924755</v>
      </c>
      <c r="AF93" s="606">
        <f t="shared" si="109"/>
        <v>193.84249655019082</v>
      </c>
      <c r="AG93" s="606">
        <f t="shared" si="109"/>
        <v>204.16787678664355</v>
      </c>
      <c r="AH93" s="606">
        <f t="shared" si="109"/>
        <v>215.12340293406376</v>
      </c>
      <c r="AI93" s="606">
        <f t="shared" si="109"/>
        <v>226.75122970247961</v>
      </c>
      <c r="AJ93" s="606">
        <f t="shared" si="109"/>
        <v>239.09729897437072</v>
      </c>
      <c r="AK93" s="606">
        <f t="shared" si="109"/>
        <v>252.20932065109685</v>
      </c>
      <c r="AL93" s="606">
        <f t="shared" si="109"/>
        <v>266.13912675796649</v>
      </c>
      <c r="AM93" s="606">
        <f t="shared" si="109"/>
        <v>280.94225987879702</v>
      </c>
      <c r="AN93" s="606">
        <f t="shared" si="109"/>
        <v>296.67792078643339</v>
      </c>
      <c r="AO93" s="606">
        <f t="shared" si="109"/>
        <v>313.40972865017255</v>
      </c>
      <c r="AP93" s="606">
        <f t="shared" si="109"/>
        <v>331.2058192481951</v>
      </c>
      <c r="AQ93" s="606">
        <f t="shared" si="109"/>
        <v>350.13915270884348</v>
      </c>
      <c r="AR93" s="606">
        <f t="shared" si="109"/>
        <v>370.28796902642688</v>
      </c>
      <c r="AS93" s="606">
        <f t="shared" si="109"/>
        <v>391.73611455202268</v>
      </c>
      <c r="AT93" s="606">
        <f t="shared" si="109"/>
        <v>414.28858834315884</v>
      </c>
      <c r="AU93" s="606">
        <f t="shared" si="109"/>
        <v>431.73079550536733</v>
      </c>
      <c r="AV93" s="606">
        <f t="shared" si="109"/>
        <v>449.92788299578393</v>
      </c>
      <c r="AW93" s="606">
        <f t="shared" si="109"/>
        <v>468.91306876286035</v>
      </c>
      <c r="AX93" s="606">
        <f t="shared" si="109"/>
        <v>488.72104897655339</v>
      </c>
      <c r="AY93" s="606">
        <f t="shared" si="109"/>
        <v>509.38806064099316</v>
      </c>
      <c r="AZ93" s="606">
        <f t="shared" si="109"/>
        <v>530.95195180262272</v>
      </c>
      <c r="BA93" s="606">
        <f t="shared" si="109"/>
        <v>553.4522538602713</v>
      </c>
      <c r="BB93" s="606">
        <f t="shared" si="109"/>
        <v>576.93025610897325</v>
      </c>
      <c r="BC93" s="606">
        <f t="shared" si="109"/>
        <v>601.42908470446309</v>
      </c>
      <c r="BD93" s="607">
        <f t="shared" si="109"/>
        <v>626.99378478351753</v>
      </c>
    </row>
    <row r="94" spans="2:56" x14ac:dyDescent="0.3">
      <c r="B94" s="545" t="s">
        <v>497</v>
      </c>
      <c r="C94" s="544"/>
      <c r="D94" s="533"/>
      <c r="E94" s="533"/>
      <c r="F94" s="533"/>
      <c r="G94" s="533"/>
      <c r="H94" s="533"/>
      <c r="I94" s="533"/>
      <c r="J94" s="533"/>
      <c r="K94" s="530">
        <f>K93/K38</f>
        <v>-1</v>
      </c>
      <c r="L94" s="530">
        <f>L93/L38</f>
        <v>-1</v>
      </c>
      <c r="M94" s="530">
        <f>M93/M38</f>
        <v>-1</v>
      </c>
      <c r="N94" s="530">
        <f>N93/N38</f>
        <v>-0.92744063324538262</v>
      </c>
      <c r="O94" s="653">
        <v>-1</v>
      </c>
      <c r="P94" s="653">
        <v>-1</v>
      </c>
      <c r="Q94" s="653">
        <v>-1</v>
      </c>
      <c r="R94" s="535">
        <f t="shared" ref="R94:BD94" si="110">AVERAGE(O94:Q94)</f>
        <v>-1</v>
      </c>
      <c r="S94" s="535">
        <f t="shared" si="110"/>
        <v>-1</v>
      </c>
      <c r="T94" s="535">
        <f t="shared" si="110"/>
        <v>-1</v>
      </c>
      <c r="U94" s="535">
        <f t="shared" si="110"/>
        <v>-1</v>
      </c>
      <c r="V94" s="535">
        <f t="shared" si="110"/>
        <v>-1</v>
      </c>
      <c r="W94" s="535">
        <f t="shared" si="110"/>
        <v>-1</v>
      </c>
      <c r="X94" s="535">
        <f t="shared" si="110"/>
        <v>-1</v>
      </c>
      <c r="Y94" s="535">
        <f t="shared" si="110"/>
        <v>-1</v>
      </c>
      <c r="Z94" s="535">
        <f t="shared" si="110"/>
        <v>-1</v>
      </c>
      <c r="AA94" s="535">
        <f t="shared" si="110"/>
        <v>-1</v>
      </c>
      <c r="AB94" s="535">
        <f t="shared" si="110"/>
        <v>-1</v>
      </c>
      <c r="AC94" s="535">
        <f t="shared" si="110"/>
        <v>-1</v>
      </c>
      <c r="AD94" s="535">
        <f t="shared" si="110"/>
        <v>-1</v>
      </c>
      <c r="AE94" s="535">
        <f t="shared" si="110"/>
        <v>-1</v>
      </c>
      <c r="AF94" s="535">
        <f t="shared" si="110"/>
        <v>-1</v>
      </c>
      <c r="AG94" s="535">
        <f t="shared" si="110"/>
        <v>-1</v>
      </c>
      <c r="AH94" s="535">
        <f t="shared" si="110"/>
        <v>-1</v>
      </c>
      <c r="AI94" s="535">
        <f t="shared" si="110"/>
        <v>-1</v>
      </c>
      <c r="AJ94" s="535">
        <f t="shared" si="110"/>
        <v>-1</v>
      </c>
      <c r="AK94" s="535">
        <f t="shared" si="110"/>
        <v>-1</v>
      </c>
      <c r="AL94" s="535">
        <f t="shared" si="110"/>
        <v>-1</v>
      </c>
      <c r="AM94" s="535">
        <f t="shared" si="110"/>
        <v>-1</v>
      </c>
      <c r="AN94" s="535">
        <f t="shared" si="110"/>
        <v>-1</v>
      </c>
      <c r="AO94" s="535">
        <f t="shared" si="110"/>
        <v>-1</v>
      </c>
      <c r="AP94" s="535">
        <f t="shared" si="110"/>
        <v>-1</v>
      </c>
      <c r="AQ94" s="535">
        <f t="shared" si="110"/>
        <v>-1</v>
      </c>
      <c r="AR94" s="535">
        <f t="shared" si="110"/>
        <v>-1</v>
      </c>
      <c r="AS94" s="535">
        <f t="shared" si="110"/>
        <v>-1</v>
      </c>
      <c r="AT94" s="535">
        <f t="shared" si="110"/>
        <v>-1</v>
      </c>
      <c r="AU94" s="535">
        <f t="shared" si="110"/>
        <v>-1</v>
      </c>
      <c r="AV94" s="535">
        <f t="shared" si="110"/>
        <v>-1</v>
      </c>
      <c r="AW94" s="535">
        <f t="shared" si="110"/>
        <v>-1</v>
      </c>
      <c r="AX94" s="535">
        <f t="shared" si="110"/>
        <v>-1</v>
      </c>
      <c r="AY94" s="535">
        <f t="shared" si="110"/>
        <v>-1</v>
      </c>
      <c r="AZ94" s="535">
        <f t="shared" si="110"/>
        <v>-1</v>
      </c>
      <c r="BA94" s="535">
        <f t="shared" si="110"/>
        <v>-1</v>
      </c>
      <c r="BB94" s="535">
        <f t="shared" si="110"/>
        <v>-1</v>
      </c>
      <c r="BC94" s="535">
        <f t="shared" si="110"/>
        <v>-1</v>
      </c>
      <c r="BD94" s="536">
        <f t="shared" si="110"/>
        <v>-1</v>
      </c>
    </row>
    <row r="95" spans="2:56" ht="11.4" customHeight="1" x14ac:dyDescent="0.3">
      <c r="B95" s="34"/>
      <c r="C95" s="34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</row>
    <row r="96" spans="2:56" x14ac:dyDescent="0.3">
      <c r="B96" s="35" t="s">
        <v>78</v>
      </c>
      <c r="C96" s="35" t="s">
        <v>15</v>
      </c>
      <c r="D96" s="548">
        <f t="shared" ref="D96:L96" si="111">D81-(D104)</f>
        <v>0</v>
      </c>
      <c r="E96" s="548">
        <f t="shared" si="111"/>
        <v>0</v>
      </c>
      <c r="F96" s="548">
        <f t="shared" si="111"/>
        <v>0</v>
      </c>
      <c r="G96" s="548">
        <f t="shared" si="111"/>
        <v>-393.9</v>
      </c>
      <c r="H96" s="548">
        <f t="shared" si="111"/>
        <v>-574.29999999999995</v>
      </c>
      <c r="I96" s="548">
        <f t="shared" si="111"/>
        <v>-630</v>
      </c>
      <c r="J96" s="548">
        <f t="shared" si="111"/>
        <v>-616.30000000000007</v>
      </c>
      <c r="K96" s="548">
        <f t="shared" si="111"/>
        <v>-780.09999999999991</v>
      </c>
      <c r="L96" s="548">
        <f t="shared" si="111"/>
        <v>-799.9</v>
      </c>
      <c r="M96" s="548">
        <f>M81-(M104)</f>
        <v>-655.40000000000009</v>
      </c>
      <c r="N96" s="548">
        <f>N81-(N104)</f>
        <v>-742.60000000000014</v>
      </c>
      <c r="O96" s="563">
        <f t="shared" ref="O96:BD96" si="112">O97*O35</f>
        <v>-745.23948667651177</v>
      </c>
      <c r="P96" s="563">
        <f t="shared" si="112"/>
        <v>-767.58865241951355</v>
      </c>
      <c r="Q96" s="563">
        <f t="shared" si="112"/>
        <v>-789.8148608481705</v>
      </c>
      <c r="R96" s="563">
        <f t="shared" si="112"/>
        <v>-806.18315896645788</v>
      </c>
      <c r="S96" s="563">
        <f t="shared" si="112"/>
        <v>-827.58199992206187</v>
      </c>
      <c r="T96" s="563">
        <f t="shared" si="112"/>
        <v>-848.60398348077388</v>
      </c>
      <c r="U96" s="563">
        <f t="shared" si="112"/>
        <v>-869.15616921992398</v>
      </c>
      <c r="V96" s="563">
        <f t="shared" si="112"/>
        <v>-891.22164357657607</v>
      </c>
      <c r="W96" s="563">
        <f t="shared" si="112"/>
        <v>-913.50435303359086</v>
      </c>
      <c r="X96" s="563">
        <f t="shared" si="112"/>
        <v>-936.22261047864004</v>
      </c>
      <c r="Y96" s="563">
        <f t="shared" si="112"/>
        <v>-959.70897313707599</v>
      </c>
      <c r="Z96" s="563">
        <f t="shared" si="112"/>
        <v>-983.68828375939597</v>
      </c>
      <c r="AA96" s="563">
        <f t="shared" si="112"/>
        <v>-1008.2613609643316</v>
      </c>
      <c r="AB96" s="563">
        <f t="shared" si="112"/>
        <v>-1033.4856646709495</v>
      </c>
      <c r="AC96" s="563">
        <f t="shared" si="112"/>
        <v>-1059.3173631179022</v>
      </c>
      <c r="AD96" s="563">
        <f t="shared" si="112"/>
        <v>-1085.7977936043317</v>
      </c>
      <c r="AE96" s="563">
        <f t="shared" si="112"/>
        <v>-1112.9463554754082</v>
      </c>
      <c r="AF96" s="563">
        <f t="shared" si="112"/>
        <v>-1140.7684195030777</v>
      </c>
      <c r="AG96" s="563">
        <f t="shared" si="112"/>
        <v>-1169.2874530967315</v>
      </c>
      <c r="AH96" s="563">
        <f t="shared" si="112"/>
        <v>-1198.5203188346513</v>
      </c>
      <c r="AI96" s="563">
        <f t="shared" si="112"/>
        <v>-1228.4829244914006</v>
      </c>
      <c r="AJ96" s="563">
        <f t="shared" si="112"/>
        <v>-1259.1950345831126</v>
      </c>
      <c r="AK96" s="563">
        <f t="shared" si="112"/>
        <v>-1290.6750260721715</v>
      </c>
      <c r="AL96" s="563">
        <f t="shared" si="112"/>
        <v>-1322.9418097634098</v>
      </c>
      <c r="AM96" s="563">
        <f t="shared" si="112"/>
        <v>-1356.0153773545578</v>
      </c>
      <c r="AN96" s="563">
        <f t="shared" si="112"/>
        <v>-1389.915778723285</v>
      </c>
      <c r="AO96" s="563">
        <f t="shared" si="112"/>
        <v>-1424.6636537930829</v>
      </c>
      <c r="AP96" s="563">
        <f t="shared" si="112"/>
        <v>-1460.2802524626738</v>
      </c>
      <c r="AQ96" s="563">
        <f t="shared" si="112"/>
        <v>-1496.7872605624259</v>
      </c>
      <c r="AR96" s="563">
        <f t="shared" si="112"/>
        <v>-1534.2069382893662</v>
      </c>
      <c r="AS96" s="563">
        <f t="shared" si="112"/>
        <v>-1572.5621137082285</v>
      </c>
      <c r="AT96" s="563">
        <f t="shared" si="112"/>
        <v>-1611.8761665367695</v>
      </c>
      <c r="AU96" s="563">
        <f t="shared" si="112"/>
        <v>-1652.1730700228895</v>
      </c>
      <c r="AV96" s="563">
        <f t="shared" si="112"/>
        <v>-1693.4773972412431</v>
      </c>
      <c r="AW96" s="563">
        <f t="shared" si="112"/>
        <v>-1735.8143320898189</v>
      </c>
      <c r="AX96" s="563">
        <f t="shared" si="112"/>
        <v>-1779.2096902845874</v>
      </c>
      <c r="AY96" s="563">
        <f t="shared" si="112"/>
        <v>-1823.6899326440207</v>
      </c>
      <c r="AZ96" s="563">
        <f t="shared" si="112"/>
        <v>-1869.2821809278423</v>
      </c>
      <c r="BA96" s="563">
        <f t="shared" si="112"/>
        <v>-1916.0142354372624</v>
      </c>
      <c r="BB96" s="563">
        <f t="shared" si="112"/>
        <v>-1963.9145913439113</v>
      </c>
      <c r="BC96" s="563">
        <f t="shared" si="112"/>
        <v>-2013.012456118176</v>
      </c>
      <c r="BD96" s="563">
        <f t="shared" si="112"/>
        <v>-2063.3377675202519</v>
      </c>
    </row>
    <row r="97" spans="2:56" x14ac:dyDescent="0.3">
      <c r="B97" s="545" t="s">
        <v>497</v>
      </c>
      <c r="C97" s="43"/>
      <c r="D97" s="562" t="e">
        <f t="shared" ref="D97:L97" si="113">D96/D35</f>
        <v>#DIV/0!</v>
      </c>
      <c r="E97" s="562" t="e">
        <f t="shared" si="113"/>
        <v>#DIV/0!</v>
      </c>
      <c r="F97" s="562" t="e">
        <f t="shared" si="113"/>
        <v>#DIV/0!</v>
      </c>
      <c r="G97" s="562">
        <f t="shared" si="113"/>
        <v>-0.84546039922730198</v>
      </c>
      <c r="H97" s="562">
        <f t="shared" si="113"/>
        <v>-0.86582240313583592</v>
      </c>
      <c r="I97" s="562">
        <f t="shared" si="113"/>
        <v>-0.88346655448043754</v>
      </c>
      <c r="J97" s="562">
        <f t="shared" si="113"/>
        <v>-0.88269836723002004</v>
      </c>
      <c r="K97" s="562">
        <f t="shared" si="113"/>
        <v>-0.84444684996752539</v>
      </c>
      <c r="L97" s="562">
        <f t="shared" si="113"/>
        <v>-0.82874015748031493</v>
      </c>
      <c r="M97" s="562">
        <f>M96/M35</f>
        <v>-0.8353301045118533</v>
      </c>
      <c r="N97" s="562">
        <f>N96/N35</f>
        <v>-0.85899363794100647</v>
      </c>
      <c r="O97" s="535">
        <f>AVERAGE(L97:N97)</f>
        <v>-0.8410212999777249</v>
      </c>
      <c r="P97" s="535">
        <f>AVERAGE(M97:O97)</f>
        <v>-0.8451150141435283</v>
      </c>
      <c r="Q97" s="535">
        <f>AVERAGE(N97:P97)</f>
        <v>-0.84837665068741996</v>
      </c>
      <c r="R97" s="535">
        <f t="shared" ref="R97:BD97" si="114">AVERAGE(O97:Q97)</f>
        <v>-0.84483765493622442</v>
      </c>
      <c r="S97" s="535">
        <f t="shared" si="114"/>
        <v>-0.84610977325572423</v>
      </c>
      <c r="T97" s="535">
        <f t="shared" si="114"/>
        <v>-0.84644135962645617</v>
      </c>
      <c r="U97" s="535">
        <f t="shared" si="114"/>
        <v>-0.84579626260613494</v>
      </c>
      <c r="V97" s="535">
        <f t="shared" si="114"/>
        <v>-0.84611579849610508</v>
      </c>
      <c r="W97" s="535">
        <f t="shared" si="114"/>
        <v>-0.8461178069095654</v>
      </c>
      <c r="X97" s="535">
        <f t="shared" si="114"/>
        <v>-0.84600995600393514</v>
      </c>
      <c r="Y97" s="535">
        <f t="shared" si="114"/>
        <v>-0.84608118713653513</v>
      </c>
      <c r="Z97" s="535">
        <f t="shared" si="114"/>
        <v>-0.84606965001667855</v>
      </c>
      <c r="AA97" s="535">
        <f t="shared" si="114"/>
        <v>-0.84605359771904964</v>
      </c>
      <c r="AB97" s="535">
        <f t="shared" si="114"/>
        <v>-0.84606814495742111</v>
      </c>
      <c r="AC97" s="535">
        <f t="shared" si="114"/>
        <v>-0.8460637975643831</v>
      </c>
      <c r="AD97" s="535">
        <f t="shared" si="114"/>
        <v>-0.84606184674695128</v>
      </c>
      <c r="AE97" s="535">
        <f t="shared" si="114"/>
        <v>-0.84606459642291842</v>
      </c>
      <c r="AF97" s="535">
        <f t="shared" si="114"/>
        <v>-0.84606341357808423</v>
      </c>
      <c r="AG97" s="535">
        <f t="shared" si="114"/>
        <v>-0.84606328558265131</v>
      </c>
      <c r="AH97" s="535">
        <f t="shared" si="114"/>
        <v>-0.84606376519455129</v>
      </c>
      <c r="AI97" s="535">
        <f t="shared" si="114"/>
        <v>-0.84606348811842891</v>
      </c>
      <c r="AJ97" s="535">
        <f t="shared" si="114"/>
        <v>-0.84606351296521043</v>
      </c>
      <c r="AK97" s="535">
        <f t="shared" si="114"/>
        <v>-0.8460635887593968</v>
      </c>
      <c r="AL97" s="535">
        <f t="shared" si="114"/>
        <v>-0.84606352994767864</v>
      </c>
      <c r="AM97" s="535">
        <f t="shared" si="114"/>
        <v>-0.84606354389076188</v>
      </c>
      <c r="AN97" s="535">
        <f t="shared" si="114"/>
        <v>-0.84606355419927903</v>
      </c>
      <c r="AO97" s="535">
        <f t="shared" si="114"/>
        <v>-0.84606354267923978</v>
      </c>
      <c r="AP97" s="535">
        <f t="shared" si="114"/>
        <v>-0.84606354692309349</v>
      </c>
      <c r="AQ97" s="535">
        <f t="shared" si="114"/>
        <v>-0.84606354793387073</v>
      </c>
      <c r="AR97" s="535">
        <f t="shared" si="114"/>
        <v>-0.84606354584540133</v>
      </c>
      <c r="AS97" s="535">
        <f t="shared" si="114"/>
        <v>-0.84606354690078855</v>
      </c>
      <c r="AT97" s="535">
        <f t="shared" si="114"/>
        <v>-0.84606354689335361</v>
      </c>
      <c r="AU97" s="535">
        <f t="shared" si="114"/>
        <v>-0.84606354654651461</v>
      </c>
      <c r="AV97" s="535">
        <f t="shared" si="114"/>
        <v>-0.84606354678021889</v>
      </c>
      <c r="AW97" s="535">
        <f t="shared" si="114"/>
        <v>-0.84606354674002893</v>
      </c>
      <c r="AX97" s="535">
        <f t="shared" si="114"/>
        <v>-0.84606354668892081</v>
      </c>
      <c r="AY97" s="535">
        <f t="shared" si="114"/>
        <v>-0.8460635467363895</v>
      </c>
      <c r="AZ97" s="535">
        <f t="shared" si="114"/>
        <v>-0.84606354672177975</v>
      </c>
      <c r="BA97" s="535">
        <f t="shared" si="114"/>
        <v>-0.84606354671569672</v>
      </c>
      <c r="BB97" s="535">
        <f t="shared" si="114"/>
        <v>-0.84606354672462203</v>
      </c>
      <c r="BC97" s="535">
        <f t="shared" si="114"/>
        <v>-0.8460635467206995</v>
      </c>
      <c r="BD97" s="536">
        <f t="shared" si="114"/>
        <v>-0.84606354672033934</v>
      </c>
    </row>
    <row r="98" spans="2:56" x14ac:dyDescent="0.3">
      <c r="B98" s="17"/>
      <c r="C98" s="17"/>
      <c r="D98" s="17"/>
      <c r="E98" s="17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81"/>
      <c r="X98" s="181"/>
      <c r="Y98" s="181"/>
      <c r="Z98" s="181"/>
      <c r="AA98" s="181"/>
      <c r="AB98" s="181"/>
      <c r="AC98" s="181"/>
      <c r="AD98" s="181"/>
      <c r="AE98" s="181"/>
      <c r="AF98" s="181"/>
      <c r="AG98" s="181"/>
      <c r="AH98" s="181"/>
      <c r="AI98" s="181"/>
      <c r="AJ98" s="181"/>
      <c r="AK98" s="181"/>
      <c r="AL98" s="181"/>
      <c r="AM98" s="181"/>
      <c r="AN98" s="181"/>
      <c r="AO98" s="181"/>
      <c r="AP98" s="181"/>
      <c r="AQ98" s="181"/>
      <c r="AR98" s="181"/>
      <c r="AS98" s="181"/>
      <c r="AT98" s="181"/>
      <c r="AU98" s="181"/>
      <c r="AV98" s="181"/>
      <c r="AW98" s="181"/>
      <c r="AX98" s="181"/>
      <c r="AY98" s="181"/>
      <c r="AZ98" s="181"/>
      <c r="BA98" s="181"/>
      <c r="BB98" s="181"/>
      <c r="BC98" s="181"/>
      <c r="BD98" s="181"/>
    </row>
    <row r="99" spans="2:56" s="31" customFormat="1" x14ac:dyDescent="0.3">
      <c r="B99" s="68" t="s">
        <v>24</v>
      </c>
      <c r="C99" s="61" t="s">
        <v>25</v>
      </c>
      <c r="F99" s="72">
        <f t="shared" ref="F99:L99" si="115">F17+F84</f>
        <v>0</v>
      </c>
      <c r="G99" s="72">
        <f t="shared" si="115"/>
        <v>344.89999999999986</v>
      </c>
      <c r="H99" s="72">
        <f t="shared" si="115"/>
        <v>402</v>
      </c>
      <c r="I99" s="72">
        <f t="shared" si="115"/>
        <v>573.20000000000027</v>
      </c>
      <c r="J99" s="72">
        <f t="shared" si="115"/>
        <v>566.40000000000009</v>
      </c>
      <c r="K99" s="72">
        <f t="shared" si="115"/>
        <v>688.69499999999971</v>
      </c>
      <c r="L99" s="72">
        <f t="shared" si="115"/>
        <v>696.67100000000028</v>
      </c>
      <c r="M99" s="72">
        <f>M17+M84</f>
        <v>651.29500000000007</v>
      </c>
      <c r="N99" s="72">
        <f>N17+N84</f>
        <v>652.11900000000037</v>
      </c>
      <c r="O99" s="72">
        <f t="shared" ref="O99:BD99" si="116">O17+O84</f>
        <v>758.38215198749435</v>
      </c>
      <c r="P99" s="72">
        <f t="shared" si="116"/>
        <v>785.24973611891437</v>
      </c>
      <c r="Q99" s="72">
        <f t="shared" si="116"/>
        <v>833.08574037218432</v>
      </c>
      <c r="R99" s="72">
        <f t="shared" si="116"/>
        <v>884.71783222427393</v>
      </c>
      <c r="S99" s="72">
        <f t="shared" si="116"/>
        <v>934.12747739203633</v>
      </c>
      <c r="T99" s="72">
        <f t="shared" si="116"/>
        <v>990.87107489417167</v>
      </c>
      <c r="U99" s="72">
        <f t="shared" si="116"/>
        <v>1050.7292277867023</v>
      </c>
      <c r="V99" s="72">
        <f t="shared" si="116"/>
        <v>1113.809473174374</v>
      </c>
      <c r="W99" s="72">
        <f t="shared" si="116"/>
        <v>1182.1788048740445</v>
      </c>
      <c r="X99" s="72">
        <f t="shared" si="116"/>
        <v>1254.9275436381413</v>
      </c>
      <c r="Y99" s="72">
        <f t="shared" si="116"/>
        <v>1332.638170588732</v>
      </c>
      <c r="Z99" s="72">
        <f t="shared" si="116"/>
        <v>1415.9580511943877</v>
      </c>
      <c r="AA99" s="72">
        <f t="shared" si="116"/>
        <v>1491.9314851956469</v>
      </c>
      <c r="AB99" s="72">
        <f t="shared" si="116"/>
        <v>1571.6863266521541</v>
      </c>
      <c r="AC99" s="72">
        <f t="shared" si="116"/>
        <v>1656.3316450867687</v>
      </c>
      <c r="AD99" s="72">
        <f t="shared" si="116"/>
        <v>1746.1259475981797</v>
      </c>
      <c r="AE99" s="72">
        <f t="shared" si="116"/>
        <v>1841.4450431443556</v>
      </c>
      <c r="AF99" s="72">
        <f t="shared" si="116"/>
        <v>1942.6534261045099</v>
      </c>
      <c r="AG99" s="72">
        <f t="shared" si="116"/>
        <v>2050.1313849698327</v>
      </c>
      <c r="AH99" s="72">
        <f t="shared" si="116"/>
        <v>2164.3066978076649</v>
      </c>
      <c r="AI99" s="72">
        <f t="shared" si="116"/>
        <v>2285.6257413534868</v>
      </c>
      <c r="AJ99" s="72">
        <f t="shared" si="116"/>
        <v>2414.5668047746276</v>
      </c>
      <c r="AK99" s="72">
        <f t="shared" si="116"/>
        <v>2551.6457808066725</v>
      </c>
      <c r="AL99" s="72">
        <f t="shared" si="116"/>
        <v>2697.4120245410841</v>
      </c>
      <c r="AM99" s="72">
        <f t="shared" si="116"/>
        <v>2852.4544920417475</v>
      </c>
      <c r="AN99" s="72">
        <f t="shared" si="116"/>
        <v>3017.4045187468837</v>
      </c>
      <c r="AO99" s="72">
        <f t="shared" si="116"/>
        <v>3192.9376117017619</v>
      </c>
      <c r="AP99" s="72">
        <f t="shared" si="116"/>
        <v>3379.7776577118084</v>
      </c>
      <c r="AQ99" s="72">
        <f t="shared" si="116"/>
        <v>3578.7002434311016</v>
      </c>
      <c r="AR99" s="72">
        <f t="shared" si="116"/>
        <v>3790.5362356751011</v>
      </c>
      <c r="AS99" s="72">
        <f t="shared" si="116"/>
        <v>4016.1760683011562</v>
      </c>
      <c r="AT99" s="72">
        <f t="shared" si="116"/>
        <v>4253.5882229876188</v>
      </c>
      <c r="AU99" s="72">
        <f t="shared" si="116"/>
        <v>4437.6492575619668</v>
      </c>
      <c r="AV99" s="72">
        <f t="shared" si="116"/>
        <v>4629.8464034676726</v>
      </c>
      <c r="AW99" s="72">
        <f t="shared" si="116"/>
        <v>4830.5421208669322</v>
      </c>
      <c r="AX99" s="72">
        <f t="shared" si="116"/>
        <v>5040.1150848498692</v>
      </c>
      <c r="AY99" s="72">
        <f t="shared" si="116"/>
        <v>5258.9609218133355</v>
      </c>
      <c r="AZ99" s="72">
        <f t="shared" si="116"/>
        <v>5487.4929631417854</v>
      </c>
      <c r="BA99" s="72">
        <f t="shared" si="116"/>
        <v>5726.1430410111807</v>
      </c>
      <c r="BB99" s="72">
        <f t="shared" si="116"/>
        <v>5975.3623198787373</v>
      </c>
      <c r="BC99" s="72">
        <f t="shared" si="116"/>
        <v>6235.6221623686561</v>
      </c>
      <c r="BD99" s="72">
        <f t="shared" si="116"/>
        <v>6507.4150361594493</v>
      </c>
    </row>
    <row r="100" spans="2:56" s="65" customFormat="1" x14ac:dyDescent="0.3">
      <c r="B100" s="66" t="s">
        <v>26</v>
      </c>
      <c r="C100" s="66" t="s">
        <v>27</v>
      </c>
      <c r="F100" s="67" t="e">
        <f t="shared" ref="F100:BD100" si="117">F99/F$17</f>
        <v>#DIV/0!</v>
      </c>
      <c r="G100" s="67">
        <f t="shared" si="117"/>
        <v>0.24499218639011214</v>
      </c>
      <c r="H100" s="67">
        <f t="shared" si="117"/>
        <v>0.23887337334363301</v>
      </c>
      <c r="I100" s="67">
        <f t="shared" si="117"/>
        <v>0.2805677924620657</v>
      </c>
      <c r="J100" s="67">
        <f t="shared" si="117"/>
        <v>0.27074569789674957</v>
      </c>
      <c r="K100" s="67">
        <f t="shared" si="117"/>
        <v>0.30377862418645879</v>
      </c>
      <c r="L100" s="67">
        <f t="shared" si="117"/>
        <v>0.3014233294148545</v>
      </c>
      <c r="M100" s="67">
        <f t="shared" si="117"/>
        <v>0.29621889347999608</v>
      </c>
      <c r="N100" s="67">
        <f t="shared" ref="N100" si="118">N99/N$17</f>
        <v>0.28914712286820632</v>
      </c>
      <c r="O100" s="67">
        <f t="shared" si="117"/>
        <v>0.31578856840637387</v>
      </c>
      <c r="P100" s="67">
        <f t="shared" si="117"/>
        <v>0.31216189662684057</v>
      </c>
      <c r="Q100" s="67">
        <f t="shared" si="117"/>
        <v>0.31383592060926763</v>
      </c>
      <c r="R100" s="67">
        <f t="shared" si="117"/>
        <v>0.31565779353868822</v>
      </c>
      <c r="S100" s="67">
        <f t="shared" si="117"/>
        <v>0.31568691110900249</v>
      </c>
      <c r="T100" s="67">
        <f t="shared" si="117"/>
        <v>0.3168977587447761</v>
      </c>
      <c r="U100" s="67">
        <f t="shared" si="117"/>
        <v>0.31787203406666653</v>
      </c>
      <c r="V100" s="67">
        <f t="shared" si="117"/>
        <v>0.31860812123352256</v>
      </c>
      <c r="W100" s="67">
        <f t="shared" si="117"/>
        <v>0.31957084644299083</v>
      </c>
      <c r="X100" s="67">
        <f t="shared" si="117"/>
        <v>0.3204361839758017</v>
      </c>
      <c r="Y100" s="67">
        <f t="shared" si="117"/>
        <v>0.32127201365792413</v>
      </c>
      <c r="Z100" s="67">
        <f t="shared" si="117"/>
        <v>0.32213595671389789</v>
      </c>
      <c r="AA100" s="67">
        <f t="shared" si="117"/>
        <v>0.32281331249789769</v>
      </c>
      <c r="AB100" s="67">
        <f t="shared" si="117"/>
        <v>0.32347924192302829</v>
      </c>
      <c r="AC100" s="67">
        <f t="shared" si="117"/>
        <v>0.32414697731759329</v>
      </c>
      <c r="AD100" s="67">
        <f t="shared" si="117"/>
        <v>0.32480457168794724</v>
      </c>
      <c r="AE100" s="67">
        <f t="shared" si="117"/>
        <v>0.32545741167260223</v>
      </c>
      <c r="AF100" s="67">
        <f t="shared" si="117"/>
        <v>0.3261041752883585</v>
      </c>
      <c r="AG100" s="67">
        <f t="shared" si="117"/>
        <v>0.32674243304815598</v>
      </c>
      <c r="AH100" s="67">
        <f t="shared" si="117"/>
        <v>0.32737283707285347</v>
      </c>
      <c r="AI100" s="67">
        <f t="shared" si="117"/>
        <v>0.32799437390839203</v>
      </c>
      <c r="AJ100" s="67">
        <f t="shared" si="117"/>
        <v>0.32860622237024106</v>
      </c>
      <c r="AK100" s="67">
        <f t="shared" si="117"/>
        <v>0.32920806828331706</v>
      </c>
      <c r="AL100" s="67">
        <f t="shared" si="117"/>
        <v>0.32979926643657242</v>
      </c>
      <c r="AM100" s="67">
        <f t="shared" si="117"/>
        <v>0.33037931033694889</v>
      </c>
      <c r="AN100" s="67">
        <f t="shared" si="117"/>
        <v>0.33094779089420984</v>
      </c>
      <c r="AO100" s="67">
        <f t="shared" si="117"/>
        <v>0.33150426681019929</v>
      </c>
      <c r="AP100" s="67">
        <f t="shared" si="117"/>
        <v>0.33204836680002581</v>
      </c>
      <c r="AQ100" s="67">
        <f t="shared" si="117"/>
        <v>0.33257976227290681</v>
      </c>
      <c r="AR100" s="67">
        <f t="shared" si="117"/>
        <v>0.3330981507202489</v>
      </c>
      <c r="AS100" s="67">
        <f t="shared" si="117"/>
        <v>0.33360327507994592</v>
      </c>
      <c r="AT100" s="67">
        <f t="shared" si="117"/>
        <v>0.33409013045963931</v>
      </c>
      <c r="AU100" s="67">
        <f t="shared" si="117"/>
        <v>0.33446533843304815</v>
      </c>
      <c r="AV100" s="67">
        <f t="shared" si="117"/>
        <v>0.33483808354705524</v>
      </c>
      <c r="AW100" s="67">
        <f t="shared" si="117"/>
        <v>0.33520825760027717</v>
      </c>
      <c r="AX100" s="67">
        <f t="shared" si="117"/>
        <v>0.33557575885595947</v>
      </c>
      <c r="AY100" s="67">
        <f t="shared" si="117"/>
        <v>0.33594049233832307</v>
      </c>
      <c r="AZ100" s="67">
        <f t="shared" si="117"/>
        <v>0.3363023691624204</v>
      </c>
      <c r="BA100" s="67">
        <f t="shared" si="117"/>
        <v>0.33666130641796199</v>
      </c>
      <c r="BB100" s="67">
        <f t="shared" si="117"/>
        <v>0.33701722701576681</v>
      </c>
      <c r="BC100" s="67">
        <f t="shared" si="117"/>
        <v>0.33737005938596387</v>
      </c>
      <c r="BD100" s="67">
        <f t="shared" si="117"/>
        <v>0.33771973730054788</v>
      </c>
    </row>
    <row r="101" spans="2:56" x14ac:dyDescent="0.3">
      <c r="B101" s="64"/>
      <c r="C101" s="64"/>
      <c r="F101" s="63"/>
      <c r="G101" s="63"/>
      <c r="H101" s="63"/>
      <c r="I101" s="63"/>
      <c r="J101" s="63"/>
      <c r="K101" s="63"/>
      <c r="L101" s="63"/>
      <c r="M101" s="63"/>
      <c r="N101" s="63"/>
    </row>
    <row r="102" spans="2:56" s="31" customFormat="1" x14ac:dyDescent="0.3">
      <c r="B102" s="588" t="s">
        <v>28</v>
      </c>
      <c r="C102" s="589" t="s">
        <v>29</v>
      </c>
      <c r="D102" s="552"/>
      <c r="E102" s="552"/>
      <c r="F102" s="590">
        <f>-BD!F287</f>
        <v>0</v>
      </c>
      <c r="G102" s="590">
        <f>-BD!G287</f>
        <v>0</v>
      </c>
      <c r="H102" s="590">
        <f>-BD!H287</f>
        <v>0</v>
      </c>
      <c r="I102" s="590">
        <f>-BD!I287</f>
        <v>-91.5</v>
      </c>
      <c r="J102" s="590">
        <f>-BD!J287</f>
        <v>-86</v>
      </c>
      <c r="K102" s="590">
        <f>-BD!K287</f>
        <v>-78.7</v>
      </c>
      <c r="L102" s="590">
        <f>-BD!L287</f>
        <v>-77.699999999999989</v>
      </c>
      <c r="M102" s="590">
        <f>-BD!M287</f>
        <v>-73.7</v>
      </c>
      <c r="N102" s="590">
        <f>-BD!N287</f>
        <v>-75.000000000000014</v>
      </c>
      <c r="O102" s="591">
        <f t="shared" ref="O102:BD102" si="119">-Depreciação</f>
        <v>-71.153500000000008</v>
      </c>
      <c r="P102" s="591">
        <f t="shared" si="119"/>
        <v>-71.251731207304161</v>
      </c>
      <c r="Q102" s="591">
        <f t="shared" si="119"/>
        <v>-71.715259331902317</v>
      </c>
      <c r="R102" s="591">
        <f t="shared" si="119"/>
        <v>-72.586517965840045</v>
      </c>
      <c r="S102" s="591">
        <f t="shared" si="119"/>
        <v>-73.851159116220202</v>
      </c>
      <c r="T102" s="591">
        <f t="shared" si="119"/>
        <v>-75.49233517961656</v>
      </c>
      <c r="U102" s="591">
        <f t="shared" si="119"/>
        <v>-77.506567938433747</v>
      </c>
      <c r="V102" s="591">
        <f t="shared" si="119"/>
        <v>-79.889028885232563</v>
      </c>
      <c r="W102" s="591">
        <f t="shared" si="119"/>
        <v>-82.637574603567174</v>
      </c>
      <c r="X102" s="591">
        <f t="shared" si="119"/>
        <v>-85.755031981569019</v>
      </c>
      <c r="Y102" s="591">
        <f t="shared" si="119"/>
        <v>-89.245802616734508</v>
      </c>
      <c r="Z102" s="591">
        <f t="shared" si="119"/>
        <v>-93.117183412995118</v>
      </c>
      <c r="AA102" s="591">
        <f t="shared" si="119"/>
        <v>-97.379540079946125</v>
      </c>
      <c r="AB102" s="591">
        <f t="shared" si="119"/>
        <v>-101.91924936425566</v>
      </c>
      <c r="AC102" s="591">
        <f t="shared" si="119"/>
        <v>-106.7418188165942</v>
      </c>
      <c r="AD102" s="591">
        <f t="shared" si="119"/>
        <v>-111.86261392940524</v>
      </c>
      <c r="AE102" s="591">
        <f t="shared" si="119"/>
        <v>-117.29828835148327</v>
      </c>
      <c r="AF102" s="591">
        <f t="shared" si="119"/>
        <v>-123.06694768995914</v>
      </c>
      <c r="AG102" s="591">
        <f t="shared" si="119"/>
        <v>-129.18819805847681</v>
      </c>
      <c r="AH102" s="591">
        <f t="shared" si="119"/>
        <v>-135.68320476324405</v>
      </c>
      <c r="AI102" s="591">
        <f t="shared" si="119"/>
        <v>-142.57480455944341</v>
      </c>
      <c r="AJ102" s="591">
        <f t="shared" si="119"/>
        <v>-149.88759533893389</v>
      </c>
      <c r="AK102" s="591">
        <f t="shared" si="119"/>
        <v>-157.64804133435248</v>
      </c>
      <c r="AL102" s="591">
        <f t="shared" si="119"/>
        <v>-165.88459611748766</v>
      </c>
      <c r="AM102" s="591">
        <f t="shared" si="119"/>
        <v>-174.62782868967395</v>
      </c>
      <c r="AN102" s="591">
        <f t="shared" si="119"/>
        <v>-183.91056326441259</v>
      </c>
      <c r="AO102" s="591">
        <f t="shared" si="119"/>
        <v>-193.76803200067062</v>
      </c>
      <c r="AP102" s="591">
        <f t="shared" si="119"/>
        <v>-204.23803867736567</v>
      </c>
      <c r="AQ102" s="591">
        <f t="shared" si="119"/>
        <v>-215.36113654441439</v>
      </c>
      <c r="AR102" s="591">
        <f t="shared" si="119"/>
        <v>-227.18082052348009</v>
      </c>
      <c r="AS102" s="591">
        <f t="shared" si="119"/>
        <v>-239.74373429882408</v>
      </c>
      <c r="AT102" s="591">
        <f t="shared" si="119"/>
        <v>-253.09989388900735</v>
      </c>
      <c r="AU102" s="591">
        <f t="shared" si="119"/>
        <v>-267.27403817392599</v>
      </c>
      <c r="AV102" s="591">
        <f t="shared" si="119"/>
        <v>-281.65793036721067</v>
      </c>
      <c r="AW102" s="591">
        <f t="shared" si="119"/>
        <v>-296.30505443771847</v>
      </c>
      <c r="AX102" s="591">
        <f t="shared" si="119"/>
        <v>-311.26638004162629</v>
      </c>
      <c r="AY102" s="591">
        <f t="shared" si="119"/>
        <v>-326.59078878845156</v>
      </c>
      <c r="AZ102" s="591">
        <f t="shared" si="119"/>
        <v>-342.32546031771068</v>
      </c>
      <c r="BA102" s="591">
        <f t="shared" si="119"/>
        <v>-358.51622289154597</v>
      </c>
      <c r="BB102" s="591">
        <f t="shared" si="119"/>
        <v>-375.20787272309298</v>
      </c>
      <c r="BC102" s="591">
        <f t="shared" si="119"/>
        <v>-392.44446581027574</v>
      </c>
      <c r="BD102" s="592">
        <f t="shared" si="119"/>
        <v>-410.26958563801099</v>
      </c>
    </row>
    <row r="103" spans="2:56" x14ac:dyDescent="0.3">
      <c r="B103" s="593"/>
      <c r="C103" s="21"/>
      <c r="D103" s="17"/>
      <c r="E103" s="17"/>
      <c r="F103" s="594"/>
      <c r="G103" s="594"/>
      <c r="H103" s="594"/>
      <c r="I103" s="594"/>
      <c r="J103" s="594"/>
      <c r="K103" s="594"/>
      <c r="L103" s="594"/>
      <c r="M103" s="594"/>
      <c r="N103" s="594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39"/>
    </row>
    <row r="104" spans="2:56" x14ac:dyDescent="0.3">
      <c r="B104" s="572" t="s">
        <v>454</v>
      </c>
      <c r="C104" s="17"/>
      <c r="D104" s="574">
        <f>-BD!D288</f>
        <v>0</v>
      </c>
      <c r="E104" s="574">
        <f>-BD!E288</f>
        <v>0</v>
      </c>
      <c r="F104" s="574">
        <f>-BD!F288</f>
        <v>0</v>
      </c>
      <c r="G104" s="574">
        <f>-BD!G288</f>
        <v>0</v>
      </c>
      <c r="H104" s="574">
        <f>-BD!H288</f>
        <v>0</v>
      </c>
      <c r="I104" s="574">
        <f>-BD!I288</f>
        <v>-7.2</v>
      </c>
      <c r="J104" s="574">
        <f>-BD!J288</f>
        <v>-5.8</v>
      </c>
      <c r="K104" s="574">
        <f>-BD!K288</f>
        <v>-4.2</v>
      </c>
      <c r="L104" s="574">
        <f>-BD!L288</f>
        <v>-3</v>
      </c>
      <c r="M104" s="574">
        <f>-BD!M288</f>
        <v>-2.8</v>
      </c>
      <c r="N104" s="574">
        <f>-BD!N288</f>
        <v>-3.3</v>
      </c>
      <c r="O104" s="206">
        <f t="shared" ref="O104:BD104" si="120">O105*O$102</f>
        <v>-3.1307539999999996</v>
      </c>
      <c r="P104" s="206">
        <f t="shared" si="120"/>
        <v>-2.9923793545840947</v>
      </c>
      <c r="Q104" s="206">
        <f t="shared" si="120"/>
        <v>-3.1075963663821327</v>
      </c>
      <c r="R104" s="206">
        <f t="shared" si="120"/>
        <v>-3.1291978952654946</v>
      </c>
      <c r="S104" s="206">
        <f t="shared" si="120"/>
        <v>-3.1618049398197212</v>
      </c>
      <c r="T104" s="206">
        <f t="shared" si="120"/>
        <v>-3.2526008618983173</v>
      </c>
      <c r="U104" s="206">
        <f t="shared" si="120"/>
        <v>-3.3329966462502143</v>
      </c>
      <c r="V104" s="206">
        <f t="shared" si="120"/>
        <v>-3.4325959201758387</v>
      </c>
      <c r="W104" s="206">
        <f t="shared" si="120"/>
        <v>-3.5549305755761247</v>
      </c>
      <c r="X104" s="206">
        <f t="shared" si="120"/>
        <v>-3.6871275196668072</v>
      </c>
      <c r="Y104" s="206">
        <f t="shared" si="120"/>
        <v>-3.83701708983893</v>
      </c>
      <c r="Z104" s="206">
        <f t="shared" si="120"/>
        <v>-4.0042931005669642</v>
      </c>
      <c r="AA104" s="206">
        <f t="shared" si="120"/>
        <v>-4.1870796539266832</v>
      </c>
      <c r="AB104" s="206">
        <f t="shared" si="120"/>
        <v>-4.3823262523971565</v>
      </c>
      <c r="AC104" s="206">
        <f t="shared" si="120"/>
        <v>-4.5898371117486727</v>
      </c>
      <c r="AD104" s="206">
        <f t="shared" si="120"/>
        <v>-4.8099052311867467</v>
      </c>
      <c r="AE104" s="206">
        <f t="shared" si="120"/>
        <v>-5.0436613079713588</v>
      </c>
      <c r="AF104" s="206">
        <f t="shared" si="120"/>
        <v>-5.2917288951230512</v>
      </c>
      <c r="AG104" s="206">
        <f t="shared" si="120"/>
        <v>-5.5549074193045209</v>
      </c>
      <c r="AH104" s="206">
        <f t="shared" si="120"/>
        <v>-5.8341942754663894</v>
      </c>
      <c r="AI104" s="206">
        <f t="shared" si="120"/>
        <v>-6.1305263500280001</v>
      </c>
      <c r="AJ104" s="206">
        <f t="shared" si="120"/>
        <v>-6.4449607658078385</v>
      </c>
      <c r="AK104" s="206">
        <f t="shared" si="120"/>
        <v>-6.7786524141593985</v>
      </c>
      <c r="AL104" s="206">
        <f t="shared" si="120"/>
        <v>-7.132813079026703</v>
      </c>
      <c r="AM104" s="206">
        <f t="shared" si="120"/>
        <v>-7.5087591197086541</v>
      </c>
      <c r="AN104" s="206">
        <f t="shared" si="120"/>
        <v>-7.9079048863063486</v>
      </c>
      <c r="AO104" s="206">
        <f t="shared" si="120"/>
        <v>-8.3317625279695626</v>
      </c>
      <c r="AP104" s="206">
        <f t="shared" si="120"/>
        <v>-8.7819584195602918</v>
      </c>
      <c r="AQ104" s="206">
        <f t="shared" si="120"/>
        <v>-9.2602367198539657</v>
      </c>
      <c r="AR104" s="206">
        <f t="shared" si="120"/>
        <v>-9.7684670338906798</v>
      </c>
      <c r="AS104" s="206">
        <f t="shared" si="120"/>
        <v>-10.308655253664574</v>
      </c>
      <c r="AT104" s="206">
        <f t="shared" si="120"/>
        <v>-10.882952034472847</v>
      </c>
      <c r="AU104" s="206">
        <f t="shared" si="120"/>
        <v>-11.492420987679671</v>
      </c>
      <c r="AV104" s="206">
        <f t="shared" si="120"/>
        <v>-12.110908833290038</v>
      </c>
      <c r="AW104" s="206">
        <f t="shared" si="120"/>
        <v>-12.740715302641258</v>
      </c>
      <c r="AX104" s="206">
        <f t="shared" si="120"/>
        <v>-13.384031998177814</v>
      </c>
      <c r="AY104" s="206">
        <f t="shared" si="120"/>
        <v>-14.042960781869677</v>
      </c>
      <c r="AZ104" s="206">
        <f t="shared" si="120"/>
        <v>-14.719530309513392</v>
      </c>
      <c r="BA104" s="206">
        <f t="shared" si="120"/>
        <v>-15.415711130468578</v>
      </c>
      <c r="BB104" s="206">
        <f t="shared" si="120"/>
        <v>-16.133429425445907</v>
      </c>
      <c r="BC104" s="206">
        <f t="shared" si="120"/>
        <v>-16.87457954091953</v>
      </c>
      <c r="BD104" s="207">
        <f t="shared" si="120"/>
        <v>-17.641035507181726</v>
      </c>
    </row>
    <row r="105" spans="2:56" x14ac:dyDescent="0.3">
      <c r="B105" s="572"/>
      <c r="C105" s="17"/>
      <c r="D105" s="574"/>
      <c r="E105" s="574"/>
      <c r="F105" s="574"/>
      <c r="G105" s="574"/>
      <c r="H105" s="574"/>
      <c r="I105" s="595">
        <f t="shared" ref="I105:N105" si="121">I104/I$102</f>
        <v>7.8688524590163941E-2</v>
      </c>
      <c r="J105" s="595">
        <f t="shared" si="121"/>
        <v>6.7441860465116271E-2</v>
      </c>
      <c r="K105" s="595">
        <f t="shared" si="121"/>
        <v>5.3367217280813214E-2</v>
      </c>
      <c r="L105" s="595">
        <f t="shared" si="121"/>
        <v>3.8610038610038616E-2</v>
      </c>
      <c r="M105" s="595">
        <f t="shared" si="121"/>
        <v>3.7991858887381269E-2</v>
      </c>
      <c r="N105" s="595">
        <f t="shared" si="121"/>
        <v>4.3999999999999991E-2</v>
      </c>
      <c r="O105" s="514">
        <f>N105</f>
        <v>4.3999999999999991E-2</v>
      </c>
      <c r="P105" s="514">
        <f>AVERAGE(M105:O105)</f>
        <v>4.1997286295793745E-2</v>
      </c>
      <c r="Q105" s="514">
        <f>AVERAGE(N105:P105)</f>
        <v>4.3332428765264573E-2</v>
      </c>
      <c r="R105" s="514">
        <f t="shared" ref="R105:BD105" si="122">AVERAGE(O105:Q105)</f>
        <v>4.3109905020352772E-2</v>
      </c>
      <c r="S105" s="514">
        <f t="shared" si="122"/>
        <v>4.2813206693803701E-2</v>
      </c>
      <c r="T105" s="514">
        <f t="shared" si="122"/>
        <v>4.3085180159807022E-2</v>
      </c>
      <c r="U105" s="514">
        <f t="shared" si="122"/>
        <v>4.3002763957987834E-2</v>
      </c>
      <c r="V105" s="514">
        <f t="shared" si="122"/>
        <v>4.2967050270532853E-2</v>
      </c>
      <c r="W105" s="514">
        <f t="shared" si="122"/>
        <v>4.3018331462775901E-2</v>
      </c>
      <c r="X105" s="514">
        <f t="shared" si="122"/>
        <v>4.2996048563765522E-2</v>
      </c>
      <c r="Y105" s="514">
        <f t="shared" si="122"/>
        <v>4.2993810099024754E-2</v>
      </c>
      <c r="Z105" s="514">
        <f t="shared" si="122"/>
        <v>4.3002730041855397E-2</v>
      </c>
      <c r="AA105" s="514">
        <f t="shared" si="122"/>
        <v>4.2997529568215224E-2</v>
      </c>
      <c r="AB105" s="514">
        <f t="shared" si="122"/>
        <v>4.2998023236365125E-2</v>
      </c>
      <c r="AC105" s="514">
        <f t="shared" si="122"/>
        <v>4.2999427615478585E-2</v>
      </c>
      <c r="AD105" s="514">
        <f t="shared" si="122"/>
        <v>4.2998326806686311E-2</v>
      </c>
      <c r="AE105" s="514">
        <f t="shared" si="122"/>
        <v>4.2998592552843336E-2</v>
      </c>
      <c r="AF105" s="514">
        <f t="shared" si="122"/>
        <v>4.2998782325002739E-2</v>
      </c>
      <c r="AG105" s="514">
        <f t="shared" si="122"/>
        <v>4.2998567228177464E-2</v>
      </c>
      <c r="AH105" s="514">
        <f t="shared" si="122"/>
        <v>4.2998647368674515E-2</v>
      </c>
      <c r="AI105" s="514">
        <f t="shared" si="122"/>
        <v>4.2998665640618237E-2</v>
      </c>
      <c r="AJ105" s="514">
        <f t="shared" si="122"/>
        <v>4.2998626745823408E-2</v>
      </c>
      <c r="AK105" s="514">
        <f t="shared" si="122"/>
        <v>4.299864658503872E-2</v>
      </c>
      <c r="AL105" s="514">
        <f t="shared" si="122"/>
        <v>4.2998646323826793E-2</v>
      </c>
      <c r="AM105" s="514">
        <f t="shared" si="122"/>
        <v>4.2998639884896307E-2</v>
      </c>
      <c r="AN105" s="514">
        <f t="shared" si="122"/>
        <v>4.2998644264587271E-2</v>
      </c>
      <c r="AO105" s="514">
        <f t="shared" si="122"/>
        <v>4.299864349110346E-2</v>
      </c>
      <c r="AP105" s="514">
        <f t="shared" si="122"/>
        <v>4.2998642546862344E-2</v>
      </c>
      <c r="AQ105" s="514">
        <f t="shared" si="122"/>
        <v>4.2998643434184358E-2</v>
      </c>
      <c r="AR105" s="514">
        <f t="shared" si="122"/>
        <v>4.2998643157383387E-2</v>
      </c>
      <c r="AS105" s="514">
        <f t="shared" si="122"/>
        <v>4.2998643046143363E-2</v>
      </c>
      <c r="AT105" s="514">
        <f t="shared" si="122"/>
        <v>4.2998643212570374E-2</v>
      </c>
      <c r="AU105" s="514">
        <f t="shared" si="122"/>
        <v>4.2998643138699048E-2</v>
      </c>
      <c r="AV105" s="514">
        <f t="shared" si="122"/>
        <v>4.2998643132470926E-2</v>
      </c>
      <c r="AW105" s="514">
        <f t="shared" si="122"/>
        <v>4.2998643161246776E-2</v>
      </c>
      <c r="AX105" s="514">
        <f t="shared" si="122"/>
        <v>4.2998643144138919E-2</v>
      </c>
      <c r="AY105" s="514">
        <f t="shared" si="122"/>
        <v>4.2998643145952205E-2</v>
      </c>
      <c r="AZ105" s="514">
        <f t="shared" si="122"/>
        <v>4.2998643150445964E-2</v>
      </c>
      <c r="BA105" s="514">
        <f t="shared" si="122"/>
        <v>4.2998643146845698E-2</v>
      </c>
      <c r="BB105" s="514">
        <f t="shared" si="122"/>
        <v>4.2998643147747956E-2</v>
      </c>
      <c r="BC105" s="514">
        <f t="shared" si="122"/>
        <v>4.2998643148346539E-2</v>
      </c>
      <c r="BD105" s="526">
        <f t="shared" si="122"/>
        <v>4.2998643147646731E-2</v>
      </c>
    </row>
    <row r="106" spans="2:56" x14ac:dyDescent="0.3">
      <c r="B106" s="572" t="s">
        <v>455</v>
      </c>
      <c r="C106" s="17"/>
      <c r="D106" s="553">
        <f t="shared" ref="D106:L106" si="123">D107+D109</f>
        <v>0</v>
      </c>
      <c r="E106" s="553">
        <f t="shared" si="123"/>
        <v>0</v>
      </c>
      <c r="F106" s="553">
        <f t="shared" si="123"/>
        <v>0</v>
      </c>
      <c r="G106" s="553">
        <f t="shared" si="123"/>
        <v>0</v>
      </c>
      <c r="H106" s="553">
        <f t="shared" si="123"/>
        <v>0</v>
      </c>
      <c r="I106" s="553">
        <f t="shared" si="123"/>
        <v>-84.3</v>
      </c>
      <c r="J106" s="553">
        <f t="shared" si="123"/>
        <v>-80.2</v>
      </c>
      <c r="K106" s="553">
        <f t="shared" si="123"/>
        <v>-74.5</v>
      </c>
      <c r="L106" s="553">
        <f t="shared" si="123"/>
        <v>-74.699999999999989</v>
      </c>
      <c r="M106" s="553">
        <f>M107+M109</f>
        <v>-70.900000000000006</v>
      </c>
      <c r="N106" s="553">
        <f>N107+N109</f>
        <v>-71.7</v>
      </c>
      <c r="O106" s="553">
        <f t="shared" ref="O106:BD106" si="124">O107+O109</f>
        <v>-68.022745999999998</v>
      </c>
      <c r="P106" s="553">
        <f t="shared" si="124"/>
        <v>-71.251731207304161</v>
      </c>
      <c r="Q106" s="553">
        <f t="shared" si="124"/>
        <v>-71.715259331902317</v>
      </c>
      <c r="R106" s="553">
        <f t="shared" si="124"/>
        <v>-72.586517965840045</v>
      </c>
      <c r="S106" s="553">
        <f t="shared" si="124"/>
        <v>-73.851159116220202</v>
      </c>
      <c r="T106" s="553">
        <f t="shared" si="124"/>
        <v>-75.49233517961656</v>
      </c>
      <c r="U106" s="553">
        <f t="shared" si="124"/>
        <v>-77.506567938433747</v>
      </c>
      <c r="V106" s="553">
        <f t="shared" si="124"/>
        <v>-79.889028885232563</v>
      </c>
      <c r="W106" s="553">
        <f t="shared" si="124"/>
        <v>-82.637574603567174</v>
      </c>
      <c r="X106" s="553">
        <f t="shared" si="124"/>
        <v>-85.755031981569019</v>
      </c>
      <c r="Y106" s="553">
        <f t="shared" si="124"/>
        <v>-89.245802616734494</v>
      </c>
      <c r="Z106" s="553">
        <f t="shared" si="124"/>
        <v>-93.117183412995118</v>
      </c>
      <c r="AA106" s="553">
        <f t="shared" si="124"/>
        <v>-97.379540079946125</v>
      </c>
      <c r="AB106" s="553">
        <f t="shared" si="124"/>
        <v>-101.91924936425566</v>
      </c>
      <c r="AC106" s="553">
        <f t="shared" si="124"/>
        <v>-106.7418188165942</v>
      </c>
      <c r="AD106" s="553">
        <f t="shared" si="124"/>
        <v>-111.86261392940524</v>
      </c>
      <c r="AE106" s="553">
        <f t="shared" si="124"/>
        <v>-117.29828835148328</v>
      </c>
      <c r="AF106" s="553">
        <f t="shared" si="124"/>
        <v>-123.06694768995914</v>
      </c>
      <c r="AG106" s="553">
        <f t="shared" si="124"/>
        <v>-129.18819805847681</v>
      </c>
      <c r="AH106" s="553">
        <f t="shared" si="124"/>
        <v>-135.68320476324405</v>
      </c>
      <c r="AI106" s="553">
        <f t="shared" si="124"/>
        <v>-142.57480455944341</v>
      </c>
      <c r="AJ106" s="553">
        <f t="shared" si="124"/>
        <v>-149.88759533893389</v>
      </c>
      <c r="AK106" s="553">
        <f t="shared" si="124"/>
        <v>-157.64804133435248</v>
      </c>
      <c r="AL106" s="553">
        <f t="shared" si="124"/>
        <v>-165.88459611748769</v>
      </c>
      <c r="AM106" s="553">
        <f t="shared" si="124"/>
        <v>-174.62782868967395</v>
      </c>
      <c r="AN106" s="553">
        <f t="shared" si="124"/>
        <v>-183.91056326441259</v>
      </c>
      <c r="AO106" s="553">
        <f t="shared" si="124"/>
        <v>-193.76803200067062</v>
      </c>
      <c r="AP106" s="553">
        <f t="shared" si="124"/>
        <v>-204.23803867736567</v>
      </c>
      <c r="AQ106" s="553">
        <f t="shared" si="124"/>
        <v>-215.36113654441439</v>
      </c>
      <c r="AR106" s="553">
        <f t="shared" si="124"/>
        <v>-227.18082052348009</v>
      </c>
      <c r="AS106" s="553">
        <f t="shared" si="124"/>
        <v>-239.74373429882408</v>
      </c>
      <c r="AT106" s="553">
        <f t="shared" si="124"/>
        <v>-253.09989388900738</v>
      </c>
      <c r="AU106" s="553">
        <f t="shared" si="124"/>
        <v>-267.27403817392599</v>
      </c>
      <c r="AV106" s="553">
        <f t="shared" si="124"/>
        <v>-281.65793036721067</v>
      </c>
      <c r="AW106" s="553">
        <f t="shared" si="124"/>
        <v>-296.30505443771847</v>
      </c>
      <c r="AX106" s="553">
        <f t="shared" si="124"/>
        <v>-311.26638004162629</v>
      </c>
      <c r="AY106" s="553">
        <f t="shared" si="124"/>
        <v>-326.59078878845156</v>
      </c>
      <c r="AZ106" s="553">
        <f t="shared" si="124"/>
        <v>-342.32546031771068</v>
      </c>
      <c r="BA106" s="553">
        <f t="shared" si="124"/>
        <v>-358.51622289154597</v>
      </c>
      <c r="BB106" s="553">
        <f t="shared" si="124"/>
        <v>-375.20787272309298</v>
      </c>
      <c r="BC106" s="553">
        <f t="shared" si="124"/>
        <v>-392.44446581027574</v>
      </c>
      <c r="BD106" s="575">
        <f t="shared" si="124"/>
        <v>-410.26958563801099</v>
      </c>
    </row>
    <row r="107" spans="2:56" x14ac:dyDescent="0.3">
      <c r="B107" s="577" t="s">
        <v>463</v>
      </c>
      <c r="C107" s="17"/>
      <c r="D107" s="574">
        <f>-BD!D290</f>
        <v>0</v>
      </c>
      <c r="E107" s="574">
        <f>-BD!E290</f>
        <v>0</v>
      </c>
      <c r="F107" s="574">
        <f>-BD!F290</f>
        <v>0</v>
      </c>
      <c r="G107" s="574">
        <f>-BD!G290</f>
        <v>0</v>
      </c>
      <c r="H107" s="574">
        <f>-BD!H290</f>
        <v>0</v>
      </c>
      <c r="I107" s="574">
        <f>-BD!I290</f>
        <v>-12.2</v>
      </c>
      <c r="J107" s="574">
        <f>-BD!J290</f>
        <v>-12.9</v>
      </c>
      <c r="K107" s="574">
        <f>-BD!K290</f>
        <v>-11.2</v>
      </c>
      <c r="L107" s="574">
        <f>-BD!L290</f>
        <v>-9.6</v>
      </c>
      <c r="M107" s="574">
        <f>-BD!M290</f>
        <v>-3.9</v>
      </c>
      <c r="N107" s="574">
        <f>-BD!N290</f>
        <v>-3.3</v>
      </c>
      <c r="O107" s="206">
        <f t="shared" ref="O107:BD107" si="125">O108*O$102</f>
        <v>-3.1307539999999996</v>
      </c>
      <c r="P107" s="206">
        <f t="shared" si="125"/>
        <v>-3.3468655794960558</v>
      </c>
      <c r="Q107" s="206">
        <f t="shared" si="125"/>
        <v>-3.2265271447103294</v>
      </c>
      <c r="R107" s="206">
        <f t="shared" si="125"/>
        <v>-3.2896987641783522</v>
      </c>
      <c r="S107" s="206">
        <f t="shared" si="125"/>
        <v>-3.37953454104683</v>
      </c>
      <c r="T107" s="206">
        <f t="shared" si="125"/>
        <v>-3.4241638126781098</v>
      </c>
      <c r="U107" s="206">
        <f t="shared" si="125"/>
        <v>-3.5250056285107316</v>
      </c>
      <c r="V107" s="206">
        <f t="shared" si="125"/>
        <v>-3.6375947590462836</v>
      </c>
      <c r="W107" s="206">
        <f t="shared" si="125"/>
        <v>-3.7564549154110689</v>
      </c>
      <c r="X107" s="206">
        <f t="shared" si="125"/>
        <v>-3.9010012239903205</v>
      </c>
      <c r="Y107" s="206">
        <f t="shared" si="125"/>
        <v>-4.0600930786084106</v>
      </c>
      <c r="Z107" s="206">
        <f t="shared" si="125"/>
        <v>-4.2349825011209443</v>
      </c>
      <c r="AA107" s="206">
        <f t="shared" si="125"/>
        <v>-4.4295867012393302</v>
      </c>
      <c r="AB107" s="206">
        <f t="shared" si="125"/>
        <v>-4.636013676952488</v>
      </c>
      <c r="AC107" s="206">
        <f t="shared" si="125"/>
        <v>-4.8551560092184536</v>
      </c>
      <c r="AD107" s="206">
        <f t="shared" si="125"/>
        <v>-5.0882583474419212</v>
      </c>
      <c r="AE107" s="206">
        <f t="shared" si="125"/>
        <v>-5.3354628378794304</v>
      </c>
      <c r="AF107" s="206">
        <f t="shared" si="125"/>
        <v>-5.5978230314343982</v>
      </c>
      <c r="AG107" s="206">
        <f t="shared" si="125"/>
        <v>-5.8762954608476647</v>
      </c>
      <c r="AH107" s="206">
        <f t="shared" si="125"/>
        <v>-6.1717132626569553</v>
      </c>
      <c r="AI107" s="206">
        <f t="shared" si="125"/>
        <v>-6.4851820764197337</v>
      </c>
      <c r="AJ107" s="206">
        <f t="shared" si="125"/>
        <v>-6.8178215878850228</v>
      </c>
      <c r="AK107" s="206">
        <f t="shared" si="125"/>
        <v>-7.1708103748805376</v>
      </c>
      <c r="AL107" s="206">
        <f t="shared" si="125"/>
        <v>-7.5454600193090622</v>
      </c>
      <c r="AM107" s="206">
        <f t="shared" si="125"/>
        <v>-7.9431581190327254</v>
      </c>
      <c r="AN107" s="206">
        <f t="shared" si="125"/>
        <v>-8.3653933394693656</v>
      </c>
      <c r="AO107" s="206">
        <f t="shared" si="125"/>
        <v>-8.8137723926171194</v>
      </c>
      <c r="AP107" s="206">
        <f t="shared" si="125"/>
        <v>-9.290013547085529</v>
      </c>
      <c r="AQ107" s="206">
        <f t="shared" si="125"/>
        <v>-9.7959607869503813</v>
      </c>
      <c r="AR107" s="206">
        <f t="shared" si="125"/>
        <v>-10.333593447749502</v>
      </c>
      <c r="AS107" s="206">
        <f t="shared" si="125"/>
        <v>-10.905032762770384</v>
      </c>
      <c r="AT107" s="206">
        <f t="shared" si="125"/>
        <v>-11.512553719901533</v>
      </c>
      <c r="AU107" s="206">
        <f t="shared" si="125"/>
        <v>-12.157281785264088</v>
      </c>
      <c r="AV107" s="206">
        <f t="shared" si="125"/>
        <v>-12.811550461912336</v>
      </c>
      <c r="AW107" s="206">
        <f t="shared" si="125"/>
        <v>-13.477792542659751</v>
      </c>
      <c r="AX107" s="206">
        <f t="shared" si="125"/>
        <v>-14.158326478799124</v>
      </c>
      <c r="AY107" s="206">
        <f t="shared" si="125"/>
        <v>-14.855375680931122</v>
      </c>
      <c r="AZ107" s="206">
        <f t="shared" si="125"/>
        <v>-15.571086178782728</v>
      </c>
      <c r="BA107" s="206">
        <f t="shared" si="125"/>
        <v>-16.307542531632503</v>
      </c>
      <c r="BB107" s="206">
        <f t="shared" si="125"/>
        <v>-17.066782342806334</v>
      </c>
      <c r="BC107" s="206">
        <f t="shared" si="125"/>
        <v>-17.850809554934568</v>
      </c>
      <c r="BD107" s="207">
        <f t="shared" si="125"/>
        <v>-18.661606615988934</v>
      </c>
    </row>
    <row r="108" spans="2:56" x14ac:dyDescent="0.3">
      <c r="B108" s="577"/>
      <c r="C108" s="17"/>
      <c r="D108" s="574"/>
      <c r="E108" s="574"/>
      <c r="F108" s="574"/>
      <c r="G108" s="574"/>
      <c r="H108" s="574"/>
      <c r="I108" s="595">
        <f t="shared" ref="I108:N108" si="126">I107/I$102</f>
        <v>0.13333333333333333</v>
      </c>
      <c r="J108" s="595">
        <f t="shared" si="126"/>
        <v>0.15</v>
      </c>
      <c r="K108" s="595">
        <f t="shared" si="126"/>
        <v>0.14231257941550191</v>
      </c>
      <c r="L108" s="595">
        <f t="shared" si="126"/>
        <v>0.12355212355212357</v>
      </c>
      <c r="M108" s="595">
        <f t="shared" si="126"/>
        <v>5.2917232021709629E-2</v>
      </c>
      <c r="N108" s="595">
        <f t="shared" si="126"/>
        <v>4.3999999999999991E-2</v>
      </c>
      <c r="O108" s="514">
        <f>N108</f>
        <v>4.3999999999999991E-2</v>
      </c>
      <c r="P108" s="514">
        <f t="shared" ref="P108:BD108" si="127">AVERAGE(M108:O108)</f>
        <v>4.6972410673903203E-2</v>
      </c>
      <c r="Q108" s="514">
        <f t="shared" si="127"/>
        <v>4.499080355796773E-2</v>
      </c>
      <c r="R108" s="514">
        <f t="shared" si="127"/>
        <v>4.5321071410623637E-2</v>
      </c>
      <c r="S108" s="514">
        <f t="shared" si="127"/>
        <v>4.5761428547498186E-2</v>
      </c>
      <c r="T108" s="514">
        <f t="shared" si="127"/>
        <v>4.5357767838696515E-2</v>
      </c>
      <c r="U108" s="514">
        <f t="shared" si="127"/>
        <v>4.5480089265606115E-2</v>
      </c>
      <c r="V108" s="514">
        <f t="shared" si="127"/>
        <v>4.5533095217266943E-2</v>
      </c>
      <c r="W108" s="514">
        <f t="shared" si="127"/>
        <v>4.5456984107189853E-2</v>
      </c>
      <c r="X108" s="514">
        <f t="shared" si="127"/>
        <v>4.5490056196687639E-2</v>
      </c>
      <c r="Y108" s="514">
        <f t="shared" si="127"/>
        <v>4.5493378507048148E-2</v>
      </c>
      <c r="Z108" s="514">
        <f t="shared" si="127"/>
        <v>4.5480139603641882E-2</v>
      </c>
      <c r="AA108" s="514">
        <f t="shared" si="127"/>
        <v>4.5487858102459228E-2</v>
      </c>
      <c r="AB108" s="514">
        <f t="shared" si="127"/>
        <v>4.5487125404383079E-2</v>
      </c>
      <c r="AC108" s="514">
        <f t="shared" si="127"/>
        <v>4.5485041036828065E-2</v>
      </c>
      <c r="AD108" s="514">
        <f t="shared" si="127"/>
        <v>4.5486674847890124E-2</v>
      </c>
      <c r="AE108" s="514">
        <f t="shared" si="127"/>
        <v>4.5486280429700425E-2</v>
      </c>
      <c r="AF108" s="514">
        <f t="shared" si="127"/>
        <v>4.5485998771472878E-2</v>
      </c>
      <c r="AG108" s="514">
        <f t="shared" si="127"/>
        <v>4.5486318016354478E-2</v>
      </c>
      <c r="AH108" s="514">
        <f t="shared" si="127"/>
        <v>4.548619907250926E-2</v>
      </c>
      <c r="AI108" s="514">
        <f t="shared" si="127"/>
        <v>4.5486171953445537E-2</v>
      </c>
      <c r="AJ108" s="514">
        <f t="shared" si="127"/>
        <v>4.5486229680769763E-2</v>
      </c>
      <c r="AK108" s="514">
        <f t="shared" si="127"/>
        <v>4.5486200235574849E-2</v>
      </c>
      <c r="AL108" s="514">
        <f t="shared" si="127"/>
        <v>4.5486200623263383E-2</v>
      </c>
      <c r="AM108" s="514">
        <f t="shared" si="127"/>
        <v>4.5486210179869334E-2</v>
      </c>
      <c r="AN108" s="514">
        <f t="shared" si="127"/>
        <v>4.5486203679569188E-2</v>
      </c>
      <c r="AO108" s="514">
        <f t="shared" si="127"/>
        <v>4.5486204827567302E-2</v>
      </c>
      <c r="AP108" s="514">
        <f t="shared" si="127"/>
        <v>4.5486206229001937E-2</v>
      </c>
      <c r="AQ108" s="514">
        <f t="shared" si="127"/>
        <v>4.5486204912046142E-2</v>
      </c>
      <c r="AR108" s="514">
        <f t="shared" si="127"/>
        <v>4.5486205322871794E-2</v>
      </c>
      <c r="AS108" s="514">
        <f t="shared" si="127"/>
        <v>4.5486205487973295E-2</v>
      </c>
      <c r="AT108" s="514">
        <f t="shared" si="127"/>
        <v>4.5486205240963744E-2</v>
      </c>
      <c r="AU108" s="514">
        <f t="shared" si="127"/>
        <v>4.5486205350602944E-2</v>
      </c>
      <c r="AV108" s="514">
        <f t="shared" si="127"/>
        <v>4.5486205359846661E-2</v>
      </c>
      <c r="AW108" s="514">
        <f t="shared" si="127"/>
        <v>4.5486205317137783E-2</v>
      </c>
      <c r="AX108" s="514">
        <f t="shared" si="127"/>
        <v>4.5486205342529125E-2</v>
      </c>
      <c r="AY108" s="514">
        <f t="shared" si="127"/>
        <v>4.5486205339837854E-2</v>
      </c>
      <c r="AZ108" s="514">
        <f t="shared" si="127"/>
        <v>4.5486205333168252E-2</v>
      </c>
      <c r="BA108" s="514">
        <f t="shared" si="127"/>
        <v>4.5486205338511741E-2</v>
      </c>
      <c r="BB108" s="514">
        <f t="shared" si="127"/>
        <v>4.5486205337172618E-2</v>
      </c>
      <c r="BC108" s="514">
        <f t="shared" si="127"/>
        <v>4.5486205336284204E-2</v>
      </c>
      <c r="BD108" s="526">
        <f t="shared" si="127"/>
        <v>4.5486205337322859E-2</v>
      </c>
    </row>
    <row r="109" spans="2:56" x14ac:dyDescent="0.3">
      <c r="B109" s="577" t="s">
        <v>464</v>
      </c>
      <c r="C109" s="17"/>
      <c r="D109" s="574">
        <f>-BD!D291</f>
        <v>0</v>
      </c>
      <c r="E109" s="574">
        <f>-BD!E291</f>
        <v>0</v>
      </c>
      <c r="F109" s="574">
        <f>-BD!F291</f>
        <v>0</v>
      </c>
      <c r="G109" s="574">
        <f>-BD!G291</f>
        <v>0</v>
      </c>
      <c r="H109" s="574">
        <f>-BD!H291</f>
        <v>0</v>
      </c>
      <c r="I109" s="574">
        <f>-BD!I291</f>
        <v>-72.099999999999994</v>
      </c>
      <c r="J109" s="574">
        <f>-BD!J291</f>
        <v>-67.3</v>
      </c>
      <c r="K109" s="574">
        <f>-BD!K291</f>
        <v>-63.3</v>
      </c>
      <c r="L109" s="574">
        <f>-BD!L291</f>
        <v>-65.099999999999994</v>
      </c>
      <c r="M109" s="574">
        <f>-BD!M291</f>
        <v>-67</v>
      </c>
      <c r="N109" s="574">
        <f>-BD!N291</f>
        <v>-68.400000000000006</v>
      </c>
      <c r="O109" s="206">
        <f t="shared" ref="O109:BD109" si="128">O110*O$102</f>
        <v>-64.891992000000002</v>
      </c>
      <c r="P109" s="206">
        <f t="shared" si="128"/>
        <v>-67.904865627808107</v>
      </c>
      <c r="Q109" s="206">
        <f t="shared" si="128"/>
        <v>-68.488732187191985</v>
      </c>
      <c r="R109" s="206">
        <f t="shared" si="128"/>
        <v>-69.296819201661691</v>
      </c>
      <c r="S109" s="206">
        <f t="shared" si="128"/>
        <v>-70.471624575173365</v>
      </c>
      <c r="T109" s="206">
        <f t="shared" si="128"/>
        <v>-72.068171366938458</v>
      </c>
      <c r="U109" s="206">
        <f t="shared" si="128"/>
        <v>-73.981562309923021</v>
      </c>
      <c r="V109" s="206">
        <f t="shared" si="128"/>
        <v>-76.251434126186282</v>
      </c>
      <c r="W109" s="206">
        <f t="shared" si="128"/>
        <v>-78.881119688156105</v>
      </c>
      <c r="X109" s="206">
        <f t="shared" si="128"/>
        <v>-81.854030757578698</v>
      </c>
      <c r="Y109" s="206">
        <f t="shared" si="128"/>
        <v>-85.18570953812609</v>
      </c>
      <c r="Z109" s="206">
        <f t="shared" si="128"/>
        <v>-88.882200911874179</v>
      </c>
      <c r="AA109" s="206">
        <f t="shared" si="128"/>
        <v>-92.949953378706795</v>
      </c>
      <c r="AB109" s="206">
        <f t="shared" si="128"/>
        <v>-97.283235687303176</v>
      </c>
      <c r="AC109" s="206">
        <f t="shared" si="128"/>
        <v>-101.88666280737576</v>
      </c>
      <c r="AD109" s="206">
        <f t="shared" si="128"/>
        <v>-106.77435558196332</v>
      </c>
      <c r="AE109" s="206">
        <f t="shared" si="128"/>
        <v>-111.96282551360385</v>
      </c>
      <c r="AF109" s="206">
        <f t="shared" si="128"/>
        <v>-117.46912465852473</v>
      </c>
      <c r="AG109" s="206">
        <f t="shared" si="128"/>
        <v>-123.31190259762914</v>
      </c>
      <c r="AH109" s="206">
        <f t="shared" si="128"/>
        <v>-129.51149150058708</v>
      </c>
      <c r="AI109" s="206">
        <f t="shared" si="128"/>
        <v>-136.08962248302367</v>
      </c>
      <c r="AJ109" s="206">
        <f t="shared" si="128"/>
        <v>-143.06977375104887</v>
      </c>
      <c r="AK109" s="206">
        <f t="shared" si="128"/>
        <v>-150.47723095947194</v>
      </c>
      <c r="AL109" s="206">
        <f t="shared" si="128"/>
        <v>-158.33913609817861</v>
      </c>
      <c r="AM109" s="206">
        <f t="shared" si="128"/>
        <v>-166.68467057064123</v>
      </c>
      <c r="AN109" s="206">
        <f t="shared" si="128"/>
        <v>-175.54516992494322</v>
      </c>
      <c r="AO109" s="206">
        <f t="shared" si="128"/>
        <v>-184.95425960805349</v>
      </c>
      <c r="AP109" s="206">
        <f t="shared" si="128"/>
        <v>-194.94802513028014</v>
      </c>
      <c r="AQ109" s="206">
        <f t="shared" si="128"/>
        <v>-205.565175757464</v>
      </c>
      <c r="AR109" s="206">
        <f t="shared" si="128"/>
        <v>-216.84722707573059</v>
      </c>
      <c r="AS109" s="206">
        <f t="shared" si="128"/>
        <v>-228.83870153605369</v>
      </c>
      <c r="AT109" s="206">
        <f t="shared" si="128"/>
        <v>-241.58734016910583</v>
      </c>
      <c r="AU109" s="206">
        <f t="shared" si="128"/>
        <v>-255.11675638866188</v>
      </c>
      <c r="AV109" s="206">
        <f t="shared" si="128"/>
        <v>-268.84637990529831</v>
      </c>
      <c r="AW109" s="206">
        <f t="shared" si="128"/>
        <v>-282.82726189505871</v>
      </c>
      <c r="AX109" s="206">
        <f t="shared" si="128"/>
        <v>-297.10805356282719</v>
      </c>
      <c r="AY109" s="206">
        <f t="shared" si="128"/>
        <v>-311.73541310752046</v>
      </c>
      <c r="AZ109" s="206">
        <f t="shared" si="128"/>
        <v>-326.75437413892797</v>
      </c>
      <c r="BA109" s="206">
        <f t="shared" si="128"/>
        <v>-342.20868035991344</v>
      </c>
      <c r="BB109" s="206">
        <f t="shared" si="128"/>
        <v>-358.14109038028664</v>
      </c>
      <c r="BC109" s="206">
        <f t="shared" si="128"/>
        <v>-374.59365625534116</v>
      </c>
      <c r="BD109" s="207">
        <f t="shared" si="128"/>
        <v>-391.60797902202205</v>
      </c>
    </row>
    <row r="110" spans="2:56" x14ac:dyDescent="0.3">
      <c r="B110" s="582"/>
      <c r="C110" s="43"/>
      <c r="D110" s="596"/>
      <c r="E110" s="596"/>
      <c r="F110" s="596"/>
      <c r="G110" s="596"/>
      <c r="H110" s="596"/>
      <c r="I110" s="562">
        <f t="shared" ref="I110:N110" si="129">I109/I$102</f>
        <v>0.78797814207650263</v>
      </c>
      <c r="J110" s="562">
        <f t="shared" si="129"/>
        <v>0.78255813953488373</v>
      </c>
      <c r="K110" s="562">
        <f t="shared" si="129"/>
        <v>0.80432020330368481</v>
      </c>
      <c r="L110" s="562">
        <f t="shared" si="129"/>
        <v>0.83783783783783794</v>
      </c>
      <c r="M110" s="562">
        <f t="shared" si="129"/>
        <v>0.90909090909090906</v>
      </c>
      <c r="N110" s="562">
        <f t="shared" si="129"/>
        <v>0.91199999999999992</v>
      </c>
      <c r="O110" s="535">
        <f>N110</f>
        <v>0.91199999999999992</v>
      </c>
      <c r="P110" s="535">
        <f t="shared" ref="P110:BD110" si="130">100%-P108</f>
        <v>0.95302758932609677</v>
      </c>
      <c r="Q110" s="535">
        <f t="shared" si="130"/>
        <v>0.9550091964420323</v>
      </c>
      <c r="R110" s="535">
        <f t="shared" si="130"/>
        <v>0.95467892858937642</v>
      </c>
      <c r="S110" s="535">
        <f t="shared" si="130"/>
        <v>0.95423857145250179</v>
      </c>
      <c r="T110" s="535">
        <f t="shared" si="130"/>
        <v>0.95464223216130351</v>
      </c>
      <c r="U110" s="535">
        <f t="shared" si="130"/>
        <v>0.95451991073439391</v>
      </c>
      <c r="V110" s="535">
        <f t="shared" si="130"/>
        <v>0.95446690478273311</v>
      </c>
      <c r="W110" s="535">
        <f t="shared" si="130"/>
        <v>0.9545430158928101</v>
      </c>
      <c r="X110" s="535">
        <f t="shared" si="130"/>
        <v>0.95450994380331233</v>
      </c>
      <c r="Y110" s="535">
        <f t="shared" si="130"/>
        <v>0.95450662149295185</v>
      </c>
      <c r="Z110" s="535">
        <f t="shared" si="130"/>
        <v>0.95451986039635817</v>
      </c>
      <c r="AA110" s="535">
        <f t="shared" si="130"/>
        <v>0.95451214189754074</v>
      </c>
      <c r="AB110" s="535">
        <f t="shared" si="130"/>
        <v>0.95451287459561696</v>
      </c>
      <c r="AC110" s="535">
        <f t="shared" si="130"/>
        <v>0.95451495896317196</v>
      </c>
      <c r="AD110" s="535">
        <f t="shared" si="130"/>
        <v>0.95451332515210985</v>
      </c>
      <c r="AE110" s="535">
        <f t="shared" si="130"/>
        <v>0.95451371957029962</v>
      </c>
      <c r="AF110" s="535">
        <f t="shared" si="130"/>
        <v>0.95451400122852714</v>
      </c>
      <c r="AG110" s="535">
        <f t="shared" si="130"/>
        <v>0.9545136819836455</v>
      </c>
      <c r="AH110" s="535">
        <f t="shared" si="130"/>
        <v>0.95451380092749072</v>
      </c>
      <c r="AI110" s="535">
        <f t="shared" si="130"/>
        <v>0.95451382804655449</v>
      </c>
      <c r="AJ110" s="535">
        <f t="shared" si="130"/>
        <v>0.95451377031923024</v>
      </c>
      <c r="AK110" s="535">
        <f t="shared" si="130"/>
        <v>0.95451379976442519</v>
      </c>
      <c r="AL110" s="535">
        <f t="shared" si="130"/>
        <v>0.95451379937673664</v>
      </c>
      <c r="AM110" s="535">
        <f t="shared" si="130"/>
        <v>0.95451378982013069</v>
      </c>
      <c r="AN110" s="535">
        <f t="shared" si="130"/>
        <v>0.95451379632043076</v>
      </c>
      <c r="AO110" s="535">
        <f t="shared" si="130"/>
        <v>0.95451379517243273</v>
      </c>
      <c r="AP110" s="535">
        <f t="shared" si="130"/>
        <v>0.9545137937709981</v>
      </c>
      <c r="AQ110" s="535">
        <f t="shared" si="130"/>
        <v>0.95451379508795386</v>
      </c>
      <c r="AR110" s="535">
        <f t="shared" si="130"/>
        <v>0.95451379467712816</v>
      </c>
      <c r="AS110" s="535">
        <f t="shared" si="130"/>
        <v>0.95451379451202667</v>
      </c>
      <c r="AT110" s="535">
        <f t="shared" si="130"/>
        <v>0.9545137947590363</v>
      </c>
      <c r="AU110" s="535">
        <f t="shared" si="130"/>
        <v>0.95451379464939701</v>
      </c>
      <c r="AV110" s="535">
        <f t="shared" si="130"/>
        <v>0.95451379464015329</v>
      </c>
      <c r="AW110" s="535">
        <f t="shared" si="130"/>
        <v>0.95451379468286224</v>
      </c>
      <c r="AX110" s="535">
        <f t="shared" si="130"/>
        <v>0.95451379465747088</v>
      </c>
      <c r="AY110" s="535">
        <f t="shared" si="130"/>
        <v>0.95451379466016217</v>
      </c>
      <c r="AZ110" s="535">
        <f t="shared" si="130"/>
        <v>0.95451379466683173</v>
      </c>
      <c r="BA110" s="535">
        <f t="shared" si="130"/>
        <v>0.95451379466148822</v>
      </c>
      <c r="BB110" s="535">
        <f t="shared" si="130"/>
        <v>0.95451379466282738</v>
      </c>
      <c r="BC110" s="535">
        <f t="shared" si="130"/>
        <v>0.95451379466371578</v>
      </c>
      <c r="BD110" s="535">
        <f t="shared" si="130"/>
        <v>0.95451379466267716</v>
      </c>
    </row>
    <row r="111" spans="2:56" x14ac:dyDescent="0.3">
      <c r="B111" s="460"/>
      <c r="D111" s="505"/>
      <c r="E111" s="505"/>
      <c r="F111" s="505"/>
      <c r="G111" s="505"/>
      <c r="H111" s="505"/>
      <c r="I111" s="505"/>
      <c r="J111" s="505"/>
      <c r="K111" s="505"/>
      <c r="L111" s="505"/>
      <c r="M111" s="505"/>
      <c r="N111" s="505"/>
    </row>
    <row r="112" spans="2:56" s="31" customFormat="1" x14ac:dyDescent="0.3">
      <c r="B112" s="32" t="s">
        <v>87</v>
      </c>
      <c r="C112" s="32" t="s">
        <v>77</v>
      </c>
      <c r="D112" s="69">
        <f t="shared" ref="D112:L112" si="131">ReceitaLíquida+CPV</f>
        <v>0</v>
      </c>
      <c r="E112" s="69">
        <f t="shared" si="131"/>
        <v>0</v>
      </c>
      <c r="F112" s="69">
        <f t="shared" si="131"/>
        <v>0</v>
      </c>
      <c r="G112" s="69">
        <f t="shared" si="131"/>
        <v>344.90000000000009</v>
      </c>
      <c r="H112" s="69">
        <f t="shared" si="131"/>
        <v>402</v>
      </c>
      <c r="I112" s="69">
        <f t="shared" si="131"/>
        <v>481.70000000000027</v>
      </c>
      <c r="J112" s="69">
        <f t="shared" si="131"/>
        <v>549.70000000000005</v>
      </c>
      <c r="K112" s="69">
        <f t="shared" si="131"/>
        <v>609.99499999999989</v>
      </c>
      <c r="L112" s="69">
        <f t="shared" si="131"/>
        <v>618.97100000000023</v>
      </c>
      <c r="M112" s="69">
        <f t="shared" ref="M112:BD112" si="132">ReceitaLíquida+CPV</f>
        <v>577.59500000000025</v>
      </c>
      <c r="N112" s="69">
        <f t="shared" si="132"/>
        <v>577.15800000000058</v>
      </c>
      <c r="O112" s="69">
        <f t="shared" si="132"/>
        <v>687.22865198749423</v>
      </c>
      <c r="P112" s="69">
        <f t="shared" si="132"/>
        <v>713.99800491161022</v>
      </c>
      <c r="Q112" s="69">
        <f t="shared" si="132"/>
        <v>761.3704810402819</v>
      </c>
      <c r="R112" s="69">
        <f t="shared" si="132"/>
        <v>812.1313142584338</v>
      </c>
      <c r="S112" s="69">
        <f t="shared" si="132"/>
        <v>860.27631827581627</v>
      </c>
      <c r="T112" s="69">
        <f t="shared" si="132"/>
        <v>915.37873971455519</v>
      </c>
      <c r="U112" s="69">
        <f t="shared" si="132"/>
        <v>973.22265984826845</v>
      </c>
      <c r="V112" s="69">
        <f t="shared" si="132"/>
        <v>1033.9204442891414</v>
      </c>
      <c r="W112" s="69">
        <f t="shared" si="132"/>
        <v>1099.5412302704772</v>
      </c>
      <c r="X112" s="69">
        <f t="shared" si="132"/>
        <v>1169.1725116565722</v>
      </c>
      <c r="Y112" s="69">
        <f t="shared" si="132"/>
        <v>1243.3923679719974</v>
      </c>
      <c r="Z112" s="69">
        <f t="shared" si="132"/>
        <v>1322.8408677813927</v>
      </c>
      <c r="AA112" s="69">
        <f t="shared" si="132"/>
        <v>1394.5519451157006</v>
      </c>
      <c r="AB112" s="69">
        <f t="shared" si="132"/>
        <v>1469.7670772878982</v>
      </c>
      <c r="AC112" s="69">
        <f t="shared" si="132"/>
        <v>1549.5898262701744</v>
      </c>
      <c r="AD112" s="69">
        <f t="shared" si="132"/>
        <v>1634.2633336687745</v>
      </c>
      <c r="AE112" s="69">
        <f t="shared" si="132"/>
        <v>1724.1467547928723</v>
      </c>
      <c r="AF112" s="69">
        <f t="shared" si="132"/>
        <v>1819.5864784145506</v>
      </c>
      <c r="AG112" s="69">
        <f t="shared" si="132"/>
        <v>1920.943186911356</v>
      </c>
      <c r="AH112" s="69">
        <f t="shared" si="132"/>
        <v>2028.6234930444207</v>
      </c>
      <c r="AI112" s="69">
        <f t="shared" si="132"/>
        <v>2143.0509367940431</v>
      </c>
      <c r="AJ112" s="69">
        <f t="shared" si="132"/>
        <v>2264.6792094356933</v>
      </c>
      <c r="AK112" s="69">
        <f t="shared" si="132"/>
        <v>2393.9977394723201</v>
      </c>
      <c r="AL112" s="69">
        <f t="shared" si="132"/>
        <v>2531.5274284235966</v>
      </c>
      <c r="AM112" s="69">
        <f t="shared" si="132"/>
        <v>2677.8266633520734</v>
      </c>
      <c r="AN112" s="69">
        <f t="shared" si="132"/>
        <v>2833.4939554824714</v>
      </c>
      <c r="AO112" s="69">
        <f t="shared" si="132"/>
        <v>2999.1695797010916</v>
      </c>
      <c r="AP112" s="69">
        <f t="shared" si="132"/>
        <v>3175.5396190344427</v>
      </c>
      <c r="AQ112" s="69">
        <f t="shared" si="132"/>
        <v>3363.3391068866877</v>
      </c>
      <c r="AR112" s="69">
        <f t="shared" si="132"/>
        <v>3563.3554151516209</v>
      </c>
      <c r="AS112" s="69">
        <f t="shared" si="132"/>
        <v>3776.4323340023329</v>
      </c>
      <c r="AT112" s="69">
        <f t="shared" si="132"/>
        <v>4000.4883290986108</v>
      </c>
      <c r="AU112" s="69">
        <f t="shared" si="132"/>
        <v>4170.3752193880409</v>
      </c>
      <c r="AV112" s="69">
        <f t="shared" si="132"/>
        <v>4348.1884731004611</v>
      </c>
      <c r="AW112" s="69">
        <f t="shared" si="132"/>
        <v>4534.2370664292139</v>
      </c>
      <c r="AX112" s="69">
        <f t="shared" si="132"/>
        <v>4728.8487048082425</v>
      </c>
      <c r="AY112" s="69">
        <f t="shared" si="132"/>
        <v>4932.3701330248841</v>
      </c>
      <c r="AZ112" s="69">
        <f t="shared" si="132"/>
        <v>5145.1675028240752</v>
      </c>
      <c r="BA112" s="69">
        <f t="shared" si="132"/>
        <v>5367.6268181196356</v>
      </c>
      <c r="BB112" s="69">
        <f t="shared" si="132"/>
        <v>5600.1544471556444</v>
      </c>
      <c r="BC112" s="69">
        <f t="shared" si="132"/>
        <v>5843.1776965583795</v>
      </c>
      <c r="BD112" s="69">
        <f t="shared" si="132"/>
        <v>6097.1454505214388</v>
      </c>
    </row>
    <row r="113" spans="2:56" s="65" customFormat="1" x14ac:dyDescent="0.3">
      <c r="B113" s="66" t="s">
        <v>26</v>
      </c>
      <c r="C113" s="66" t="s">
        <v>27</v>
      </c>
      <c r="F113" s="67" t="e">
        <f t="shared" ref="F113:AK113" si="133">LucroBruto/ReceitaLíquida</f>
        <v>#DIV/0!</v>
      </c>
      <c r="G113" s="67">
        <f t="shared" si="133"/>
        <v>0.2449921863901123</v>
      </c>
      <c r="H113" s="67">
        <f t="shared" si="133"/>
        <v>0.23887337334363301</v>
      </c>
      <c r="I113" s="67">
        <f t="shared" si="133"/>
        <v>0.23578071463534028</v>
      </c>
      <c r="J113" s="67">
        <f t="shared" si="133"/>
        <v>0.26276290630975147</v>
      </c>
      <c r="K113" s="67">
        <f t="shared" si="133"/>
        <v>0.26906459588151355</v>
      </c>
      <c r="L113" s="67">
        <f t="shared" si="133"/>
        <v>0.26780546288167861</v>
      </c>
      <c r="M113" s="67">
        <f t="shared" si="133"/>
        <v>0.26269901009462443</v>
      </c>
      <c r="N113" s="67">
        <f t="shared" si="133"/>
        <v>0.25590969614498016</v>
      </c>
      <c r="O113" s="67">
        <f t="shared" si="133"/>
        <v>0.2861604161045071</v>
      </c>
      <c r="P113" s="67">
        <f t="shared" si="133"/>
        <v>0.28383705355010291</v>
      </c>
      <c r="Q113" s="67">
        <f t="shared" si="133"/>
        <v>0.28681970445832866</v>
      </c>
      <c r="R113" s="67">
        <f t="shared" si="133"/>
        <v>0.28975970573350746</v>
      </c>
      <c r="S113" s="67">
        <f t="shared" si="133"/>
        <v>0.29072902809253431</v>
      </c>
      <c r="T113" s="67">
        <f t="shared" si="133"/>
        <v>0.29275400036189569</v>
      </c>
      <c r="U113" s="67">
        <f t="shared" si="133"/>
        <v>0.29442434673430501</v>
      </c>
      <c r="V113" s="67">
        <f t="shared" si="133"/>
        <v>0.29575565497845263</v>
      </c>
      <c r="W113" s="67">
        <f t="shared" si="133"/>
        <v>0.29723195865784607</v>
      </c>
      <c r="X113" s="67">
        <f t="shared" si="133"/>
        <v>0.29853929013184888</v>
      </c>
      <c r="Y113" s="67">
        <f t="shared" si="133"/>
        <v>0.29975666211690594</v>
      </c>
      <c r="Z113" s="67">
        <f t="shared" si="133"/>
        <v>0.30095143578833367</v>
      </c>
      <c r="AA113" s="67">
        <f t="shared" si="133"/>
        <v>0.30174303399338115</v>
      </c>
      <c r="AB113" s="67">
        <f t="shared" si="133"/>
        <v>0.30250256167669681</v>
      </c>
      <c r="AC113" s="67">
        <f t="shared" si="133"/>
        <v>0.30325741813696871</v>
      </c>
      <c r="AD113" s="67">
        <f t="shared" si="133"/>
        <v>0.30399651459721339</v>
      </c>
      <c r="AE113" s="67">
        <f t="shared" si="133"/>
        <v>0.30472608577035665</v>
      </c>
      <c r="AF113" s="67">
        <f t="shared" si="133"/>
        <v>0.3054455004354974</v>
      </c>
      <c r="AG113" s="67">
        <f t="shared" si="133"/>
        <v>0.30615289109772392</v>
      </c>
      <c r="AH113" s="67">
        <f t="shared" si="133"/>
        <v>0.30684940768483077</v>
      </c>
      <c r="AI113" s="67">
        <f t="shared" si="133"/>
        <v>0.3075344478100388</v>
      </c>
      <c r="AJ113" s="67">
        <f t="shared" si="133"/>
        <v>0.30820753371640452</v>
      </c>
      <c r="AK113" s="67">
        <f t="shared" si="133"/>
        <v>0.308868643608187</v>
      </c>
      <c r="AL113" s="67">
        <f t="shared" ref="AL113:BD113" si="134">LucroBruto/ReceitaLíquida</f>
        <v>0.30951737489944908</v>
      </c>
      <c r="AM113" s="67">
        <f t="shared" si="134"/>
        <v>0.31015342355449677</v>
      </c>
      <c r="AN113" s="67">
        <f t="shared" si="134"/>
        <v>0.31077654959848061</v>
      </c>
      <c r="AO113" s="67">
        <f t="shared" si="134"/>
        <v>0.31138645143409432</v>
      </c>
      <c r="AP113" s="67">
        <f t="shared" si="134"/>
        <v>0.31198287313463086</v>
      </c>
      <c r="AQ113" s="67">
        <f t="shared" si="134"/>
        <v>0.31256558094373982</v>
      </c>
      <c r="AR113" s="67">
        <f t="shared" si="134"/>
        <v>0.31313434969303028</v>
      </c>
      <c r="AS113" s="67">
        <f t="shared" si="134"/>
        <v>0.31368898507327919</v>
      </c>
      <c r="AT113" s="67">
        <f t="shared" si="134"/>
        <v>0.31421087272807924</v>
      </c>
      <c r="AU113" s="67">
        <f t="shared" si="134"/>
        <v>0.31432091140788881</v>
      </c>
      <c r="AV113" s="67">
        <f t="shared" si="134"/>
        <v>0.3144681201829681</v>
      </c>
      <c r="AW113" s="67">
        <f t="shared" si="134"/>
        <v>0.31464661078486816</v>
      </c>
      <c r="AX113" s="67">
        <f t="shared" si="134"/>
        <v>0.31485134087534744</v>
      </c>
      <c r="AY113" s="67">
        <f t="shared" si="134"/>
        <v>0.31507799269059367</v>
      </c>
      <c r="AZ113" s="67">
        <f t="shared" si="134"/>
        <v>0.3153228683042455</v>
      </c>
      <c r="BA113" s="67">
        <f t="shared" si="134"/>
        <v>0.31558280050110898</v>
      </c>
      <c r="BB113" s="67">
        <f t="shared" si="134"/>
        <v>0.31585507649663513</v>
      </c>
      <c r="BC113" s="67">
        <f t="shared" si="134"/>
        <v>0.31613737252832835</v>
      </c>
      <c r="BD113" s="67">
        <f t="shared" si="134"/>
        <v>0.31642769800166115</v>
      </c>
    </row>
    <row r="114" spans="2:56" s="65" customFormat="1" x14ac:dyDescent="0.3">
      <c r="B114" s="66"/>
      <c r="C114" s="66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</row>
    <row r="115" spans="2:56" s="65" customFormat="1" x14ac:dyDescent="0.3">
      <c r="B115" s="572" t="s">
        <v>454</v>
      </c>
      <c r="C115" s="66"/>
      <c r="F115" s="67"/>
      <c r="G115" s="598">
        <f t="shared" ref="G115:L115" si="135">G35+G81</f>
        <v>72</v>
      </c>
      <c r="H115" s="598">
        <f t="shared" si="135"/>
        <v>89</v>
      </c>
      <c r="I115" s="598">
        <f t="shared" si="135"/>
        <v>75.899999999999977</v>
      </c>
      <c r="J115" s="598">
        <f t="shared" si="135"/>
        <v>76.100000000000023</v>
      </c>
      <c r="K115" s="598">
        <f t="shared" si="135"/>
        <v>139.5</v>
      </c>
      <c r="L115" s="598">
        <f t="shared" si="135"/>
        <v>162.30000000000007</v>
      </c>
      <c r="M115" s="598">
        <f>M35+M81</f>
        <v>126.39999999999998</v>
      </c>
      <c r="N115" s="598">
        <f>N35+N81</f>
        <v>118.59999999999991</v>
      </c>
      <c r="O115" s="598">
        <f t="shared" ref="O115:BD115" si="136">O35+O81</f>
        <v>137.74225932348816</v>
      </c>
      <c r="P115" s="598">
        <f t="shared" si="136"/>
        <v>137.68428072590223</v>
      </c>
      <c r="Q115" s="598">
        <f t="shared" si="136"/>
        <v>138.04948809794712</v>
      </c>
      <c r="R115" s="598">
        <f t="shared" si="136"/>
        <v>144.93388708358873</v>
      </c>
      <c r="S115" s="598">
        <f t="shared" si="136"/>
        <v>147.35859518206325</v>
      </c>
      <c r="T115" s="598">
        <f t="shared" si="136"/>
        <v>150.6983757023711</v>
      </c>
      <c r="U115" s="598">
        <f t="shared" si="136"/>
        <v>155.12966817999506</v>
      </c>
      <c r="V115" s="598">
        <f t="shared" si="136"/>
        <v>158.6550654005714</v>
      </c>
      <c r="W115" s="598">
        <f t="shared" si="136"/>
        <v>162.5827539105893</v>
      </c>
      <c r="X115" s="598">
        <f t="shared" si="136"/>
        <v>166.72335045944328</v>
      </c>
      <c r="Y115" s="598">
        <f t="shared" si="136"/>
        <v>170.75292544227887</v>
      </c>
      <c r="Z115" s="598">
        <f t="shared" si="136"/>
        <v>174.96381170096049</v>
      </c>
      <c r="AA115" s="598">
        <f t="shared" si="136"/>
        <v>179.27435765668804</v>
      </c>
      <c r="AB115" s="598">
        <f t="shared" si="136"/>
        <v>183.6478773084732</v>
      </c>
      <c r="AC115" s="598">
        <f t="shared" si="136"/>
        <v>188.14656470796444</v>
      </c>
      <c r="AD115" s="598">
        <f t="shared" si="136"/>
        <v>192.74741022553712</v>
      </c>
      <c r="AE115" s="598">
        <f t="shared" si="136"/>
        <v>197.44897000420224</v>
      </c>
      <c r="AF115" s="598">
        <f t="shared" si="136"/>
        <v>202.26481305907055</v>
      </c>
      <c r="AG115" s="598">
        <f t="shared" si="136"/>
        <v>207.19072497766683</v>
      </c>
      <c r="AH115" s="598">
        <f t="shared" si="136"/>
        <v>212.22939952092747</v>
      </c>
      <c r="AI115" s="598">
        <f t="shared" si="136"/>
        <v>217.3850596053926</v>
      </c>
      <c r="AJ115" s="598">
        <f t="shared" si="136"/>
        <v>222.65847785907135</v>
      </c>
      <c r="AK115" s="598">
        <f t="shared" si="136"/>
        <v>228.05225655186064</v>
      </c>
      <c r="AL115" s="598">
        <f t="shared" si="136"/>
        <v>233.56896057170957</v>
      </c>
      <c r="AM115" s="598">
        <f t="shared" si="136"/>
        <v>239.21053652523301</v>
      </c>
      <c r="AN115" s="598">
        <f t="shared" si="136"/>
        <v>244.97935621489546</v>
      </c>
      <c r="AO115" s="598">
        <f t="shared" si="136"/>
        <v>250.87769949904646</v>
      </c>
      <c r="AP115" s="598">
        <f t="shared" si="136"/>
        <v>256.90773283336716</v>
      </c>
      <c r="AQ115" s="598">
        <f t="shared" si="136"/>
        <v>263.0716950262115</v>
      </c>
      <c r="AR115" s="598">
        <f t="shared" si="136"/>
        <v>269.37176679294657</v>
      </c>
      <c r="AS115" s="598">
        <f t="shared" si="136"/>
        <v>275.81008245721546</v>
      </c>
      <c r="AT115" s="598">
        <f t="shared" si="136"/>
        <v>282.38875413334381</v>
      </c>
      <c r="AU115" s="598">
        <f t="shared" si="136"/>
        <v>289.11107851163138</v>
      </c>
      <c r="AV115" s="598">
        <f t="shared" si="136"/>
        <v>296.00767768572223</v>
      </c>
      <c r="AW115" s="598">
        <f t="shared" si="136"/>
        <v>303.08083596180154</v>
      </c>
      <c r="AX115" s="598">
        <f t="shared" si="136"/>
        <v>310.33305815535277</v>
      </c>
      <c r="AY115" s="598">
        <f t="shared" si="136"/>
        <v>317.76705652318014</v>
      </c>
      <c r="AZ115" s="598">
        <f t="shared" si="136"/>
        <v>325.38573746044131</v>
      </c>
      <c r="BA115" s="598">
        <f t="shared" si="136"/>
        <v>333.19218834751064</v>
      </c>
      <c r="BB115" s="598">
        <f t="shared" si="136"/>
        <v>341.18966751876496</v>
      </c>
      <c r="BC115" s="598">
        <f t="shared" si="136"/>
        <v>349.3815948362294</v>
      </c>
      <c r="BD115" s="598">
        <f t="shared" si="136"/>
        <v>357.77154323027435</v>
      </c>
    </row>
    <row r="116" spans="2:56" s="65" customFormat="1" x14ac:dyDescent="0.3">
      <c r="B116" s="572" t="s">
        <v>455</v>
      </c>
      <c r="C116" s="66"/>
      <c r="F116" s="67"/>
      <c r="G116" s="597">
        <f t="shared" ref="G116:L116" si="137">G20+G71</f>
        <v>272.89999999999998</v>
      </c>
      <c r="H116" s="597">
        <f t="shared" si="137"/>
        <v>313</v>
      </c>
      <c r="I116" s="597">
        <f t="shared" si="137"/>
        <v>405.80000000000018</v>
      </c>
      <c r="J116" s="597">
        <f t="shared" si="137"/>
        <v>473.59999999999991</v>
      </c>
      <c r="K116" s="597">
        <f t="shared" si="137"/>
        <v>470.50000000000011</v>
      </c>
      <c r="L116" s="597">
        <f t="shared" si="137"/>
        <v>456.69999999999982</v>
      </c>
      <c r="M116" s="597">
        <f>M20+M71</f>
        <v>451.20000000000005</v>
      </c>
      <c r="N116" s="597">
        <f>N20+N71</f>
        <v>464.09999999999991</v>
      </c>
      <c r="O116" s="597">
        <f t="shared" ref="O116:BD116" si="138">O20+O71</f>
        <v>549.48639266400619</v>
      </c>
      <c r="P116" s="597">
        <f t="shared" si="138"/>
        <v>573.32134483112395</v>
      </c>
      <c r="Q116" s="597">
        <f t="shared" si="138"/>
        <v>620.21339657595286</v>
      </c>
      <c r="R116" s="597">
        <f t="shared" si="138"/>
        <v>664.06822927957978</v>
      </c>
      <c r="S116" s="597">
        <f t="shared" si="138"/>
        <v>709.75591815393341</v>
      </c>
      <c r="T116" s="597">
        <f t="shared" si="138"/>
        <v>761.42776315028505</v>
      </c>
      <c r="U116" s="597">
        <f t="shared" si="138"/>
        <v>814.75999502202308</v>
      </c>
      <c r="V116" s="597">
        <f t="shared" si="138"/>
        <v>871.83278296839421</v>
      </c>
      <c r="W116" s="597">
        <f t="shared" si="138"/>
        <v>933.4035457843122</v>
      </c>
      <c r="X116" s="597">
        <f t="shared" si="138"/>
        <v>998.76203367746166</v>
      </c>
      <c r="Y116" s="597">
        <f t="shared" si="138"/>
        <v>1068.8024254398792</v>
      </c>
      <c r="Z116" s="597">
        <f t="shared" si="138"/>
        <v>1143.872762979865</v>
      </c>
      <c r="AA116" s="597">
        <f t="shared" si="138"/>
        <v>1211.0905078050869</v>
      </c>
      <c r="AB116" s="597">
        <f t="shared" si="138"/>
        <v>1281.7368737270281</v>
      </c>
      <c r="AC116" s="597">
        <f t="shared" si="138"/>
        <v>1356.8534244504613</v>
      </c>
      <c r="AD116" s="597">
        <f t="shared" si="138"/>
        <v>1436.7060182120513</v>
      </c>
      <c r="AE116" s="597">
        <f t="shared" si="138"/>
        <v>1521.6541234806987</v>
      </c>
      <c r="AF116" s="597">
        <f t="shared" si="138"/>
        <v>1612.029936460357</v>
      </c>
      <c r="AG116" s="597">
        <f t="shared" si="138"/>
        <v>1708.1975545143841</v>
      </c>
      <c r="AH116" s="597">
        <f t="shared" si="138"/>
        <v>1810.5598992480268</v>
      </c>
      <c r="AI116" s="597">
        <f t="shared" si="138"/>
        <v>1919.5353508386229</v>
      </c>
      <c r="AJ116" s="597">
        <f t="shared" si="138"/>
        <v>2035.5757708108135</v>
      </c>
      <c r="AK116" s="597">
        <f t="shared" si="138"/>
        <v>2159.1668305063004</v>
      </c>
      <c r="AL116" s="597">
        <f t="shared" si="138"/>
        <v>2290.8256547728606</v>
      </c>
      <c r="AM116" s="597">
        <f t="shared" si="138"/>
        <v>2431.1073677071317</v>
      </c>
      <c r="AN116" s="597">
        <f t="shared" si="138"/>
        <v>2580.6066943812684</v>
      </c>
      <c r="AO116" s="597">
        <f t="shared" si="138"/>
        <v>2739.9601176740744</v>
      </c>
      <c r="AP116" s="597">
        <f t="shared" si="138"/>
        <v>2909.8499277815145</v>
      </c>
      <c r="AQ116" s="597">
        <f t="shared" si="138"/>
        <v>3091.0071751406213</v>
      </c>
      <c r="AR116" s="597">
        <f t="shared" si="138"/>
        <v>3284.2151813247829</v>
      </c>
      <c r="AS116" s="597">
        <f t="shared" si="138"/>
        <v>3490.3135962914521</v>
      </c>
      <c r="AT116" s="597">
        <f t="shared" si="138"/>
        <v>3707.216622930795</v>
      </c>
      <c r="AU116" s="597">
        <f t="shared" si="138"/>
        <v>3869.7717198887303</v>
      </c>
      <c r="AV116" s="597">
        <f t="shared" si="138"/>
        <v>4040.069886581452</v>
      </c>
      <c r="AW116" s="597">
        <f t="shared" si="138"/>
        <v>4218.4155151647719</v>
      </c>
      <c r="AX116" s="597">
        <f t="shared" si="138"/>
        <v>4405.1316146547124</v>
      </c>
      <c r="AY116" s="597">
        <f t="shared" si="138"/>
        <v>4600.5601157198325</v>
      </c>
      <c r="AZ116" s="597">
        <f t="shared" si="138"/>
        <v>4805.0622350541198</v>
      </c>
      <c r="BA116" s="597">
        <f t="shared" si="138"/>
        <v>5019.0189186416574</v>
      </c>
      <c r="BB116" s="597">
        <f t="shared" si="138"/>
        <v>5242.8313502114324</v>
      </c>
      <c r="BC116" s="597">
        <f t="shared" si="138"/>
        <v>5476.9215221812356</v>
      </c>
      <c r="BD116" s="597">
        <f t="shared" si="138"/>
        <v>5721.732871783981</v>
      </c>
    </row>
    <row r="117" spans="2:56" s="65" customFormat="1" x14ac:dyDescent="0.3">
      <c r="B117" s="577" t="s">
        <v>463</v>
      </c>
      <c r="C117" s="66"/>
      <c r="F117" s="67"/>
      <c r="G117" s="597">
        <f t="shared" ref="G117:L117" si="139">G28+G75</f>
        <v>98.7</v>
      </c>
      <c r="H117" s="597">
        <f>H28+H75</f>
        <v>112.19999999999999</v>
      </c>
      <c r="I117" s="597">
        <f t="shared" si="139"/>
        <v>119.69999999999999</v>
      </c>
      <c r="J117" s="597">
        <f t="shared" si="139"/>
        <v>133.80000000000001</v>
      </c>
      <c r="K117" s="597">
        <f t="shared" si="139"/>
        <v>121.29999999999998</v>
      </c>
      <c r="L117" s="597">
        <f t="shared" si="139"/>
        <v>130.6</v>
      </c>
      <c r="M117" s="597">
        <f>M28+M75</f>
        <v>129.60000000000002</v>
      </c>
      <c r="N117" s="597">
        <f>N28+N75</f>
        <v>133.5</v>
      </c>
      <c r="O117" s="597">
        <f t="shared" ref="O117:BD117" si="140">O28+O75</f>
        <v>142.56382347902849</v>
      </c>
      <c r="P117" s="597">
        <f t="shared" si="140"/>
        <v>147.10201175581489</v>
      </c>
      <c r="Q117" s="597">
        <f t="shared" si="140"/>
        <v>154.25104741760165</v>
      </c>
      <c r="R117" s="597">
        <f t="shared" si="140"/>
        <v>161.75020693747635</v>
      </c>
      <c r="S117" s="597">
        <f t="shared" si="140"/>
        <v>168.66156951861146</v>
      </c>
      <c r="T117" s="597">
        <f t="shared" si="140"/>
        <v>176.4820796219434</v>
      </c>
      <c r="U117" s="597">
        <f t="shared" si="140"/>
        <v>184.54604794143941</v>
      </c>
      <c r="V117" s="597">
        <f t="shared" si="140"/>
        <v>192.80368741687781</v>
      </c>
      <c r="W117" s="597">
        <f t="shared" si="140"/>
        <v>201.56432602864194</v>
      </c>
      <c r="X117" s="597">
        <f t="shared" si="140"/>
        <v>210.66543966993845</v>
      </c>
      <c r="Y117" s="597">
        <f t="shared" si="140"/>
        <v>220.1430713598302</v>
      </c>
      <c r="Z117" s="597">
        <f t="shared" si="140"/>
        <v>230.06813230796558</v>
      </c>
      <c r="AA117" s="597">
        <f t="shared" si="140"/>
        <v>240.41646980920984</v>
      </c>
      <c r="AB117" s="597">
        <f t="shared" si="140"/>
        <v>251.22466778230174</v>
      </c>
      <c r="AC117" s="597">
        <f t="shared" si="140"/>
        <v>262.52191218673454</v>
      </c>
      <c r="AD117" s="597">
        <f t="shared" si="140"/>
        <v>274.32018247418245</v>
      </c>
      <c r="AE117" s="597">
        <f t="shared" si="140"/>
        <v>286.64580581412031</v>
      </c>
      <c r="AF117" s="597">
        <f t="shared" si="140"/>
        <v>299.52320402076901</v>
      </c>
      <c r="AG117" s="597">
        <f t="shared" si="140"/>
        <v>312.97495983047151</v>
      </c>
      <c r="AH117" s="597">
        <f t="shared" si="140"/>
        <v>327.02778149277555</v>
      </c>
      <c r="AI117" s="597">
        <f t="shared" si="140"/>
        <v>341.70841598228452</v>
      </c>
      <c r="AJ117" s="597">
        <f t="shared" si="140"/>
        <v>357.04442497339085</v>
      </c>
      <c r="AK117" s="597">
        <f t="shared" si="140"/>
        <v>373.06523557798761</v>
      </c>
      <c r="AL117" s="597">
        <f t="shared" si="140"/>
        <v>389.80123227011865</v>
      </c>
      <c r="AM117" s="597">
        <f t="shared" si="140"/>
        <v>407.28411903638676</v>
      </c>
      <c r="AN117" s="597">
        <f t="shared" si="140"/>
        <v>425.54711380057461</v>
      </c>
      <c r="AO117" s="597">
        <f t="shared" si="140"/>
        <v>444.62480174687835</v>
      </c>
      <c r="AP117" s="597">
        <f t="shared" si="140"/>
        <v>464.55329260329114</v>
      </c>
      <c r="AQ117" s="597">
        <f t="shared" si="140"/>
        <v>485.37029528433783</v>
      </c>
      <c r="AR117" s="597">
        <f t="shared" si="140"/>
        <v>507.11514474213533</v>
      </c>
      <c r="AS117" s="597">
        <f t="shared" si="140"/>
        <v>529.82889781439371</v>
      </c>
      <c r="AT117" s="597">
        <f t="shared" si="140"/>
        <v>553.55440409562334</v>
      </c>
      <c r="AU117" s="597">
        <f t="shared" si="140"/>
        <v>578.33768918208295</v>
      </c>
      <c r="AV117" s="597">
        <f t="shared" si="140"/>
        <v>604.25569403213342</v>
      </c>
      <c r="AW117" s="597">
        <f t="shared" si="140"/>
        <v>631.35747805159895</v>
      </c>
      <c r="AX117" s="597">
        <f t="shared" si="140"/>
        <v>659.69453128466932</v>
      </c>
      <c r="AY117" s="597">
        <f t="shared" si="140"/>
        <v>689.3208606514745</v>
      </c>
      <c r="AZ117" s="597">
        <f t="shared" si="140"/>
        <v>720.29308081251452</v>
      </c>
      <c r="BA117" s="597">
        <f t="shared" si="140"/>
        <v>752.67051196867214</v>
      </c>
      <c r="BB117" s="597">
        <f t="shared" si="140"/>
        <v>786.51528460520217</v>
      </c>
      <c r="BC117" s="597">
        <f t="shared" si="140"/>
        <v>821.89245041112383</v>
      </c>
      <c r="BD117" s="597">
        <f t="shared" si="140"/>
        <v>858.87010004653814</v>
      </c>
    </row>
    <row r="118" spans="2:56" s="65" customFormat="1" x14ac:dyDescent="0.3">
      <c r="B118" s="577" t="s">
        <v>464</v>
      </c>
      <c r="C118" s="66"/>
      <c r="F118" s="67"/>
      <c r="G118" s="597">
        <f t="shared" ref="G118:L118" si="141">G22+G73</f>
        <v>174.20000000000005</v>
      </c>
      <c r="H118" s="597">
        <f t="shared" si="141"/>
        <v>200.79999999999995</v>
      </c>
      <c r="I118" s="597">
        <f t="shared" si="141"/>
        <v>286.10000000000014</v>
      </c>
      <c r="J118" s="597">
        <f t="shared" si="141"/>
        <v>339.79999999999995</v>
      </c>
      <c r="K118" s="597">
        <f t="shared" si="141"/>
        <v>349.20000000000005</v>
      </c>
      <c r="L118" s="597">
        <f t="shared" si="141"/>
        <v>326.09999999999991</v>
      </c>
      <c r="M118" s="597">
        <f>M22+M73</f>
        <v>321.60000000000002</v>
      </c>
      <c r="N118" s="597">
        <f>N22+N73</f>
        <v>330.6</v>
      </c>
      <c r="O118" s="597">
        <f t="shared" ref="O118:BD118" si="142">O22+O73</f>
        <v>406.92256918497753</v>
      </c>
      <c r="P118" s="597">
        <f t="shared" si="142"/>
        <v>426.21933307530912</v>
      </c>
      <c r="Q118" s="597">
        <f t="shared" si="142"/>
        <v>465.96234915835112</v>
      </c>
      <c r="R118" s="597">
        <f t="shared" si="142"/>
        <v>502.3180223421034</v>
      </c>
      <c r="S118" s="597">
        <f t="shared" si="142"/>
        <v>541.09434863532192</v>
      </c>
      <c r="T118" s="597">
        <f t="shared" si="142"/>
        <v>584.94568352834176</v>
      </c>
      <c r="U118" s="597">
        <f t="shared" si="142"/>
        <v>630.21394708058392</v>
      </c>
      <c r="V118" s="597">
        <f t="shared" si="142"/>
        <v>679.02909555151655</v>
      </c>
      <c r="W118" s="597">
        <f t="shared" si="142"/>
        <v>731.83921975567046</v>
      </c>
      <c r="X118" s="597">
        <f t="shared" si="142"/>
        <v>788.09659400752344</v>
      </c>
      <c r="Y118" s="597">
        <f t="shared" si="142"/>
        <v>848.6593540800493</v>
      </c>
      <c r="Z118" s="597">
        <f t="shared" si="142"/>
        <v>913.80463067189976</v>
      </c>
      <c r="AA118" s="597">
        <f t="shared" si="142"/>
        <v>970.67403799587692</v>
      </c>
      <c r="AB118" s="597">
        <f t="shared" si="142"/>
        <v>1030.5122059447262</v>
      </c>
      <c r="AC118" s="597">
        <f t="shared" si="142"/>
        <v>1094.3315122637264</v>
      </c>
      <c r="AD118" s="597">
        <f t="shared" si="142"/>
        <v>1162.3858357378685</v>
      </c>
      <c r="AE118" s="597">
        <f t="shared" si="142"/>
        <v>1235.0083176665785</v>
      </c>
      <c r="AF118" s="597">
        <f t="shared" si="142"/>
        <v>1312.5067324395877</v>
      </c>
      <c r="AG118" s="597">
        <f t="shared" si="142"/>
        <v>1395.2225946839126</v>
      </c>
      <c r="AH118" s="597">
        <f t="shared" si="142"/>
        <v>1483.5321177552514</v>
      </c>
      <c r="AI118" s="597">
        <f t="shared" si="142"/>
        <v>1577.826934856339</v>
      </c>
      <c r="AJ118" s="597">
        <f t="shared" si="142"/>
        <v>1678.5313458374226</v>
      </c>
      <c r="AK118" s="597">
        <f t="shared" si="142"/>
        <v>1786.1015949283133</v>
      </c>
      <c r="AL118" s="597">
        <f t="shared" si="142"/>
        <v>1901.0244225027418</v>
      </c>
      <c r="AM118" s="597">
        <f t="shared" si="142"/>
        <v>2023.8232486707448</v>
      </c>
      <c r="AN118" s="597">
        <f t="shared" si="142"/>
        <v>2155.0595805806934</v>
      </c>
      <c r="AO118" s="597">
        <f t="shared" si="142"/>
        <v>2295.3353159271965</v>
      </c>
      <c r="AP118" s="597">
        <f t="shared" si="142"/>
        <v>2445.2966351782234</v>
      </c>
      <c r="AQ118" s="597">
        <f t="shared" si="142"/>
        <v>2605.6368798562835</v>
      </c>
      <c r="AR118" s="597">
        <f t="shared" si="142"/>
        <v>2777.1000365826476</v>
      </c>
      <c r="AS118" s="597">
        <f t="shared" si="142"/>
        <v>2960.4846984770584</v>
      </c>
      <c r="AT118" s="597">
        <f t="shared" si="142"/>
        <v>3153.6622188351721</v>
      </c>
      <c r="AU118" s="597">
        <f t="shared" si="142"/>
        <v>3291.4340307066477</v>
      </c>
      <c r="AV118" s="597">
        <f t="shared" si="142"/>
        <v>3435.8141925493173</v>
      </c>
      <c r="AW118" s="597">
        <f t="shared" si="142"/>
        <v>3587.0580371131746</v>
      </c>
      <c r="AX118" s="597">
        <f t="shared" si="142"/>
        <v>3745.4370833700432</v>
      </c>
      <c r="AY118" s="597">
        <f t="shared" si="142"/>
        <v>3911.239255068358</v>
      </c>
      <c r="AZ118" s="597">
        <f t="shared" si="142"/>
        <v>4084.7691542416069</v>
      </c>
      <c r="BA118" s="597">
        <f t="shared" si="142"/>
        <v>4266.3484066729852</v>
      </c>
      <c r="BB118" s="597">
        <f t="shared" si="142"/>
        <v>4456.3160656062319</v>
      </c>
      <c r="BC118" s="597">
        <f t="shared" si="142"/>
        <v>4655.02907177011</v>
      </c>
      <c r="BD118" s="597">
        <f t="shared" si="142"/>
        <v>4862.862771737442</v>
      </c>
    </row>
    <row r="120" spans="2:56" x14ac:dyDescent="0.3">
      <c r="B120" s="26" t="s">
        <v>96</v>
      </c>
      <c r="C120" s="27"/>
      <c r="D120" s="76" t="e">
        <f t="shared" ref="D120:AI120" si="143">LucroBruto/ReceitaLíquida</f>
        <v>#DIV/0!</v>
      </c>
      <c r="E120" s="76" t="e">
        <f t="shared" si="143"/>
        <v>#DIV/0!</v>
      </c>
      <c r="F120" s="76" t="e">
        <f t="shared" si="143"/>
        <v>#DIV/0!</v>
      </c>
      <c r="G120" s="76">
        <f t="shared" si="143"/>
        <v>0.2449921863901123</v>
      </c>
      <c r="H120" s="76">
        <f t="shared" si="143"/>
        <v>0.23887337334363301</v>
      </c>
      <c r="I120" s="76">
        <f t="shared" si="143"/>
        <v>0.23578071463534028</v>
      </c>
      <c r="J120" s="76">
        <f t="shared" si="143"/>
        <v>0.26276290630975147</v>
      </c>
      <c r="K120" s="76">
        <f t="shared" si="143"/>
        <v>0.26906459588151355</v>
      </c>
      <c r="L120" s="76">
        <f t="shared" si="143"/>
        <v>0.26780546288167861</v>
      </c>
      <c r="M120" s="76">
        <f t="shared" si="143"/>
        <v>0.26269901009462443</v>
      </c>
      <c r="N120" s="76">
        <f t="shared" si="143"/>
        <v>0.25590969614498016</v>
      </c>
      <c r="O120" s="76">
        <f t="shared" si="143"/>
        <v>0.2861604161045071</v>
      </c>
      <c r="P120" s="76">
        <f t="shared" si="143"/>
        <v>0.28383705355010291</v>
      </c>
      <c r="Q120" s="76">
        <f t="shared" si="143"/>
        <v>0.28681970445832866</v>
      </c>
      <c r="R120" s="76">
        <f t="shared" si="143"/>
        <v>0.28975970573350746</v>
      </c>
      <c r="S120" s="76">
        <f t="shared" si="143"/>
        <v>0.29072902809253431</v>
      </c>
      <c r="T120" s="76">
        <f t="shared" si="143"/>
        <v>0.29275400036189569</v>
      </c>
      <c r="U120" s="76">
        <f t="shared" si="143"/>
        <v>0.29442434673430501</v>
      </c>
      <c r="V120" s="76">
        <f t="shared" si="143"/>
        <v>0.29575565497845263</v>
      </c>
      <c r="W120" s="76">
        <f t="shared" si="143"/>
        <v>0.29723195865784607</v>
      </c>
      <c r="X120" s="76">
        <f t="shared" si="143"/>
        <v>0.29853929013184888</v>
      </c>
      <c r="Y120" s="76">
        <f t="shared" si="143"/>
        <v>0.29975666211690594</v>
      </c>
      <c r="Z120" s="76">
        <f t="shared" si="143"/>
        <v>0.30095143578833367</v>
      </c>
      <c r="AA120" s="76">
        <f t="shared" si="143"/>
        <v>0.30174303399338115</v>
      </c>
      <c r="AB120" s="76">
        <f t="shared" si="143"/>
        <v>0.30250256167669681</v>
      </c>
      <c r="AC120" s="76">
        <f t="shared" si="143"/>
        <v>0.30325741813696871</v>
      </c>
      <c r="AD120" s="76">
        <f t="shared" si="143"/>
        <v>0.30399651459721339</v>
      </c>
      <c r="AE120" s="76">
        <f t="shared" si="143"/>
        <v>0.30472608577035665</v>
      </c>
      <c r="AF120" s="76">
        <f t="shared" si="143"/>
        <v>0.3054455004354974</v>
      </c>
      <c r="AG120" s="76">
        <f t="shared" si="143"/>
        <v>0.30615289109772392</v>
      </c>
      <c r="AH120" s="76">
        <f t="shared" si="143"/>
        <v>0.30684940768483077</v>
      </c>
      <c r="AI120" s="76">
        <f t="shared" si="143"/>
        <v>0.3075344478100388</v>
      </c>
      <c r="AJ120" s="76">
        <f t="shared" ref="AJ120:BD120" si="144">LucroBruto/ReceitaLíquida</f>
        <v>0.30820753371640452</v>
      </c>
      <c r="AK120" s="76">
        <f t="shared" si="144"/>
        <v>0.308868643608187</v>
      </c>
      <c r="AL120" s="76">
        <f t="shared" si="144"/>
        <v>0.30951737489944908</v>
      </c>
      <c r="AM120" s="76">
        <f t="shared" si="144"/>
        <v>0.31015342355449677</v>
      </c>
      <c r="AN120" s="76">
        <f t="shared" si="144"/>
        <v>0.31077654959848061</v>
      </c>
      <c r="AO120" s="76">
        <f t="shared" si="144"/>
        <v>0.31138645143409432</v>
      </c>
      <c r="AP120" s="76">
        <f t="shared" si="144"/>
        <v>0.31198287313463086</v>
      </c>
      <c r="AQ120" s="76">
        <f t="shared" si="144"/>
        <v>0.31256558094373982</v>
      </c>
      <c r="AR120" s="76">
        <f t="shared" si="144"/>
        <v>0.31313434969303028</v>
      </c>
      <c r="AS120" s="76">
        <f t="shared" si="144"/>
        <v>0.31368898507327919</v>
      </c>
      <c r="AT120" s="76">
        <f t="shared" si="144"/>
        <v>0.31421087272807924</v>
      </c>
      <c r="AU120" s="76">
        <f t="shared" si="144"/>
        <v>0.31432091140788881</v>
      </c>
      <c r="AV120" s="76">
        <f t="shared" si="144"/>
        <v>0.3144681201829681</v>
      </c>
      <c r="AW120" s="76">
        <f t="shared" si="144"/>
        <v>0.31464661078486816</v>
      </c>
      <c r="AX120" s="76">
        <f t="shared" si="144"/>
        <v>0.31485134087534744</v>
      </c>
      <c r="AY120" s="76">
        <f t="shared" si="144"/>
        <v>0.31507799269059367</v>
      </c>
      <c r="AZ120" s="76">
        <f t="shared" si="144"/>
        <v>0.3153228683042455</v>
      </c>
      <c r="BA120" s="76">
        <f t="shared" si="144"/>
        <v>0.31558280050110898</v>
      </c>
      <c r="BB120" s="76">
        <f t="shared" si="144"/>
        <v>0.31585507649663513</v>
      </c>
      <c r="BC120" s="76">
        <f t="shared" si="144"/>
        <v>0.31613737252832835</v>
      </c>
      <c r="BD120" s="76">
        <f t="shared" si="144"/>
        <v>0.31642769800166115</v>
      </c>
    </row>
    <row r="121" spans="2:56" x14ac:dyDescent="0.3">
      <c r="B121" s="17"/>
      <c r="C121" s="17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  <c r="AL121" s="102"/>
      <c r="AM121" s="102"/>
      <c r="AN121" s="102"/>
      <c r="AO121" s="102"/>
      <c r="AP121" s="102"/>
      <c r="AQ121" s="102"/>
      <c r="AR121" s="102"/>
      <c r="AS121" s="102"/>
      <c r="AT121" s="102"/>
      <c r="AU121" s="102"/>
      <c r="AV121" s="102"/>
      <c r="AW121" s="102"/>
      <c r="AX121" s="102"/>
      <c r="AY121" s="102"/>
      <c r="AZ121" s="102"/>
      <c r="BA121" s="102"/>
      <c r="BB121" s="102"/>
      <c r="BC121" s="102"/>
      <c r="BD121" s="102"/>
    </row>
    <row r="122" spans="2:56" x14ac:dyDescent="0.3">
      <c r="B122" s="572" t="s">
        <v>454</v>
      </c>
      <c r="C122" s="17"/>
      <c r="D122" s="102"/>
      <c r="E122" s="102"/>
      <c r="F122" s="102"/>
      <c r="G122" s="102">
        <f t="shared" ref="G122:L122" si="145">G115/G$35</f>
        <v>0.15453960077269802</v>
      </c>
      <c r="H122" s="102">
        <f t="shared" si="145"/>
        <v>0.13417759686416403</v>
      </c>
      <c r="I122" s="102">
        <f t="shared" si="145"/>
        <v>0.10643668489692887</v>
      </c>
      <c r="J122" s="102">
        <f t="shared" si="145"/>
        <v>0.1089945574334002</v>
      </c>
      <c r="K122" s="102">
        <f t="shared" si="145"/>
        <v>0.15100671140939598</v>
      </c>
      <c r="L122" s="102">
        <f t="shared" si="145"/>
        <v>0.16815167840862003</v>
      </c>
      <c r="M122" s="102">
        <f>M115/M$35</f>
        <v>0.16110119806270709</v>
      </c>
      <c r="N122" s="102">
        <f>N115/N$35</f>
        <v>0.13718912666281077</v>
      </c>
      <c r="O122" s="102">
        <f t="shared" ref="O122:BD122" si="146">O115/O$35</f>
        <v>0.15544556624975742</v>
      </c>
      <c r="P122" s="102">
        <f t="shared" si="146"/>
        <v>0.15159037654639293</v>
      </c>
      <c r="Q122" s="102">
        <f t="shared" si="146"/>
        <v>0.14828533640893762</v>
      </c>
      <c r="R122" s="102">
        <f t="shared" si="146"/>
        <v>0.15188310984003714</v>
      </c>
      <c r="S122" s="102">
        <f t="shared" si="146"/>
        <v>0.1506576358216099</v>
      </c>
      <c r="T122" s="102">
        <f t="shared" si="146"/>
        <v>0.15031432859860414</v>
      </c>
      <c r="U122" s="102">
        <f t="shared" si="146"/>
        <v>0.15096032015020985</v>
      </c>
      <c r="V122" s="102">
        <f t="shared" si="146"/>
        <v>0.1506253335681271</v>
      </c>
      <c r="W122" s="102">
        <f t="shared" si="146"/>
        <v>0.15058949935303367</v>
      </c>
      <c r="X122" s="102">
        <f t="shared" si="146"/>
        <v>0.15065820116746723</v>
      </c>
      <c r="Y122" s="102">
        <f t="shared" si="146"/>
        <v>0.15053609157471604</v>
      </c>
      <c r="Z122" s="102">
        <f t="shared" si="146"/>
        <v>0.15048626010434754</v>
      </c>
      <c r="AA122" s="102">
        <f t="shared" si="146"/>
        <v>0.15043293450137307</v>
      </c>
      <c r="AB122" s="102">
        <f t="shared" si="146"/>
        <v>0.15034424200670343</v>
      </c>
      <c r="AC122" s="102">
        <f t="shared" si="146"/>
        <v>0.15027035577608683</v>
      </c>
      <c r="AD122" s="102">
        <f t="shared" si="146"/>
        <v>0.15019023874581167</v>
      </c>
      <c r="AE122" s="102">
        <f t="shared" si="146"/>
        <v>0.15010119966596858</v>
      </c>
      <c r="AF122" s="102">
        <f t="shared" si="146"/>
        <v>0.1500119176318315</v>
      </c>
      <c r="AG122" s="102">
        <f t="shared" si="146"/>
        <v>0.14991734072969187</v>
      </c>
      <c r="AH122" s="102">
        <f t="shared" si="146"/>
        <v>0.14981773944245225</v>
      </c>
      <c r="AI122" s="102">
        <f t="shared" si="146"/>
        <v>0.14971438196482517</v>
      </c>
      <c r="AJ122" s="102">
        <f t="shared" si="146"/>
        <v>0.14960606482323155</v>
      </c>
      <c r="AK122" s="102">
        <f t="shared" si="146"/>
        <v>0.14949286745721596</v>
      </c>
      <c r="AL122" s="102">
        <f t="shared" si="146"/>
        <v>0.14937480833178246</v>
      </c>
      <c r="AM122" s="102">
        <f t="shared" si="146"/>
        <v>0.14925148906746569</v>
      </c>
      <c r="AN122" s="102">
        <f t="shared" si="146"/>
        <v>0.14912277995362638</v>
      </c>
      <c r="AO122" s="102">
        <f t="shared" si="146"/>
        <v>0.14898848205487333</v>
      </c>
      <c r="AP122" s="102">
        <f t="shared" si="146"/>
        <v>0.14884832367376347</v>
      </c>
      <c r="AQ122" s="102">
        <f t="shared" si="146"/>
        <v>0.14870207511735489</v>
      </c>
      <c r="AR122" s="102">
        <f t="shared" si="146"/>
        <v>0.14854947300498761</v>
      </c>
      <c r="AS122" s="102">
        <f t="shared" si="146"/>
        <v>0.14839023183922814</v>
      </c>
      <c r="AT122" s="102">
        <f t="shared" si="146"/>
        <v>0.14822406080870726</v>
      </c>
      <c r="AU122" s="102">
        <f t="shared" si="146"/>
        <v>0.14805128401472484</v>
      </c>
      <c r="AV122" s="102">
        <f t="shared" si="146"/>
        <v>0.14788582715360657</v>
      </c>
      <c r="AW122" s="102">
        <f t="shared" si="146"/>
        <v>0.14772642573705058</v>
      </c>
      <c r="AX122" s="102">
        <f t="shared" si="146"/>
        <v>0.14757197494565114</v>
      </c>
      <c r="AY122" s="102">
        <f t="shared" si="146"/>
        <v>0.14742150958096206</v>
      </c>
      <c r="AZ122" s="102">
        <f t="shared" si="146"/>
        <v>0.14727418572610348</v>
      </c>
      <c r="BA122" s="102">
        <f t="shared" si="146"/>
        <v>0.14712926417633071</v>
      </c>
      <c r="BB122" s="102">
        <f t="shared" si="146"/>
        <v>0.14698609678804034</v>
      </c>
      <c r="BC122" s="102">
        <f t="shared" si="146"/>
        <v>0.14684411434596767</v>
      </c>
      <c r="BD122" s="102">
        <f t="shared" si="146"/>
        <v>0.14670281596444637</v>
      </c>
    </row>
    <row r="123" spans="2:56" x14ac:dyDescent="0.3">
      <c r="B123" s="572" t="s">
        <v>455</v>
      </c>
      <c r="C123" s="17"/>
      <c r="D123" s="102"/>
      <c r="E123" s="102"/>
      <c r="F123" s="102"/>
      <c r="G123" s="102">
        <f t="shared" ref="G123:L123" si="147">G116/G$20</f>
        <v>0.28973351735853059</v>
      </c>
      <c r="H123" s="102">
        <f t="shared" si="147"/>
        <v>0.30698313063946647</v>
      </c>
      <c r="I123" s="102">
        <f t="shared" si="147"/>
        <v>0.30513572449056331</v>
      </c>
      <c r="J123" s="102">
        <f t="shared" si="147"/>
        <v>0.32369626136285962</v>
      </c>
      <c r="K123" s="102">
        <f t="shared" si="147"/>
        <v>0.33173517591482765</v>
      </c>
      <c r="L123" s="102">
        <f t="shared" si="147"/>
        <v>0.32426867367225209</v>
      </c>
      <c r="M123" s="102">
        <f>M116/M$20</f>
        <v>0.30316468453940743</v>
      </c>
      <c r="N123" s="102">
        <f>N116/N$20</f>
        <v>0.31642462671302923</v>
      </c>
      <c r="O123" s="102">
        <f t="shared" ref="O123:BD123" si="148">O116/O$20</f>
        <v>0.34539100303927794</v>
      </c>
      <c r="P123" s="102">
        <f t="shared" si="148"/>
        <v>0.33922686250132789</v>
      </c>
      <c r="Q123" s="102">
        <f t="shared" si="148"/>
        <v>0.34261527341706094</v>
      </c>
      <c r="R123" s="102">
        <f t="shared" si="148"/>
        <v>0.34245206981919984</v>
      </c>
      <c r="S123" s="102">
        <f t="shared" si="148"/>
        <v>0.34163843447073616</v>
      </c>
      <c r="T123" s="102">
        <f t="shared" si="148"/>
        <v>0.3420638100716592</v>
      </c>
      <c r="U123" s="102">
        <f t="shared" si="148"/>
        <v>0.34157018944626927</v>
      </c>
      <c r="V123" s="102">
        <f t="shared" si="148"/>
        <v>0.34104165395715647</v>
      </c>
      <c r="W123" s="102">
        <f t="shared" si="148"/>
        <v>0.34065969854244221</v>
      </c>
      <c r="X123" s="102">
        <f t="shared" si="148"/>
        <v>0.34005135687340687</v>
      </c>
      <c r="Y123" s="102">
        <f t="shared" si="148"/>
        <v>0.33944245306185811</v>
      </c>
      <c r="Z123" s="102">
        <f t="shared" si="148"/>
        <v>0.33883534510752927</v>
      </c>
      <c r="AA123" s="102">
        <f t="shared" si="148"/>
        <v>0.33826369650162008</v>
      </c>
      <c r="AB123" s="102">
        <f t="shared" si="148"/>
        <v>0.33771857966230595</v>
      </c>
      <c r="AC123" s="102">
        <f t="shared" si="148"/>
        <v>0.33718752513979261</v>
      </c>
      <c r="AD123" s="102">
        <f t="shared" si="148"/>
        <v>0.33666201173655258</v>
      </c>
      <c r="AE123" s="102">
        <f t="shared" si="148"/>
        <v>0.3361514056904798</v>
      </c>
      <c r="AF123" s="102">
        <f t="shared" si="148"/>
        <v>0.33565262005795371</v>
      </c>
      <c r="AG123" s="102">
        <f t="shared" si="148"/>
        <v>0.33516467175190812</v>
      </c>
      <c r="AH123" s="102">
        <f t="shared" si="148"/>
        <v>0.33468912238376003</v>
      </c>
      <c r="AI123" s="102">
        <f t="shared" si="148"/>
        <v>0.33422496900219573</v>
      </c>
      <c r="AJ123" s="102">
        <f t="shared" si="148"/>
        <v>0.33377195161952922</v>
      </c>
      <c r="AK123" s="102">
        <f t="shared" si="148"/>
        <v>0.33333007608517168</v>
      </c>
      <c r="AL123" s="102">
        <f t="shared" si="148"/>
        <v>0.33289885432791233</v>
      </c>
      <c r="AM123" s="102">
        <f t="shared" si="148"/>
        <v>0.33247799236140801</v>
      </c>
      <c r="AN123" s="102">
        <f t="shared" si="148"/>
        <v>0.33206720034883191</v>
      </c>
      <c r="AO123" s="102">
        <f t="shared" si="148"/>
        <v>0.33166610362280791</v>
      </c>
      <c r="AP123" s="102">
        <f t="shared" si="148"/>
        <v>0.33127437655446407</v>
      </c>
      <c r="AQ123" s="102">
        <f t="shared" si="148"/>
        <v>0.33089169144523245</v>
      </c>
      <c r="AR123" s="102">
        <f t="shared" si="148"/>
        <v>0.33051771493703608</v>
      </c>
      <c r="AS123" s="102">
        <f t="shared" si="148"/>
        <v>0.33015213283974199</v>
      </c>
      <c r="AT123" s="102">
        <f t="shared" si="148"/>
        <v>0.32979422874392456</v>
      </c>
      <c r="AU123" s="102">
        <f t="shared" si="148"/>
        <v>0.32943075655865228</v>
      </c>
      <c r="AV123" s="102">
        <f t="shared" si="148"/>
        <v>0.3291178099808123</v>
      </c>
      <c r="AW123" s="102">
        <f t="shared" si="148"/>
        <v>0.32884827790621601</v>
      </c>
      <c r="AX123" s="102">
        <f t="shared" si="148"/>
        <v>0.32861608280306492</v>
      </c>
      <c r="AY123" s="102">
        <f t="shared" si="148"/>
        <v>0.3284160288643993</v>
      </c>
      <c r="AZ123" s="102">
        <f t="shared" si="148"/>
        <v>0.32824367168556323</v>
      </c>
      <c r="BA123" s="102">
        <f t="shared" si="148"/>
        <v>0.32809520788954633</v>
      </c>
      <c r="BB123" s="102">
        <f t="shared" si="148"/>
        <v>0.3279673809607157</v>
      </c>
      <c r="BC123" s="102">
        <f t="shared" si="148"/>
        <v>0.32785740086844489</v>
      </c>
      <c r="BD123" s="102">
        <f t="shared" si="148"/>
        <v>0.32776287570857804</v>
      </c>
    </row>
    <row r="124" spans="2:56" x14ac:dyDescent="0.3">
      <c r="B124" s="577" t="s">
        <v>463</v>
      </c>
      <c r="C124" s="17"/>
      <c r="D124" s="102"/>
      <c r="E124" s="102"/>
      <c r="F124" s="102"/>
      <c r="G124" s="102">
        <f t="shared" ref="G124:L124" si="149">G117/G$28</f>
        <v>0.54410143329658212</v>
      </c>
      <c r="H124" s="102">
        <f t="shared" si="149"/>
        <v>0.49933244325767689</v>
      </c>
      <c r="I124" s="102">
        <f t="shared" si="149"/>
        <v>0.48266129032258059</v>
      </c>
      <c r="J124" s="102">
        <f t="shared" si="149"/>
        <v>0.47262451430589897</v>
      </c>
      <c r="K124" s="102">
        <f t="shared" si="149"/>
        <v>0.45704596834966088</v>
      </c>
      <c r="L124" s="102">
        <f t="shared" si="149"/>
        <v>0.51804839349464493</v>
      </c>
      <c r="M124" s="102">
        <f>M117/M$28</f>
        <v>0.51265822784810133</v>
      </c>
      <c r="N124" s="102">
        <f>N117/N$28</f>
        <v>0.51425269645608629</v>
      </c>
      <c r="O124" s="102">
        <f t="shared" ref="O124:BD124" si="150">O117/O$28</f>
        <v>0.52551891934971162</v>
      </c>
      <c r="P124" s="102">
        <f t="shared" si="150"/>
        <v>0.51889721899873986</v>
      </c>
      <c r="Q124" s="102">
        <f t="shared" si="150"/>
        <v>0.52068439531570532</v>
      </c>
      <c r="R124" s="102">
        <f t="shared" si="150"/>
        <v>0.52248640545443248</v>
      </c>
      <c r="S124" s="102">
        <f t="shared" si="150"/>
        <v>0.52135074331532205</v>
      </c>
      <c r="T124" s="102">
        <f t="shared" si="150"/>
        <v>0.52203326973866859</v>
      </c>
      <c r="U124" s="102">
        <f t="shared" si="150"/>
        <v>0.52237938282049501</v>
      </c>
      <c r="V124" s="102">
        <f t="shared" si="150"/>
        <v>0.52225225507049744</v>
      </c>
      <c r="W124" s="102">
        <f t="shared" si="150"/>
        <v>0.52247121515929096</v>
      </c>
      <c r="X124" s="102">
        <f t="shared" si="150"/>
        <v>0.52254741236711599</v>
      </c>
      <c r="Y124" s="102">
        <f t="shared" si="150"/>
        <v>0.52254192189570181</v>
      </c>
      <c r="Z124" s="102">
        <f t="shared" si="150"/>
        <v>0.52258422218476275</v>
      </c>
      <c r="AA124" s="102">
        <f t="shared" si="150"/>
        <v>0.52257394432761295</v>
      </c>
      <c r="AB124" s="102">
        <f t="shared" si="150"/>
        <v>0.52255201434003218</v>
      </c>
      <c r="AC124" s="102">
        <f t="shared" si="150"/>
        <v>0.52253635817685129</v>
      </c>
      <c r="AD124" s="102">
        <f t="shared" si="150"/>
        <v>0.52250737617756304</v>
      </c>
      <c r="AE124" s="102">
        <f t="shared" si="150"/>
        <v>0.52247313674169915</v>
      </c>
      <c r="AF124" s="102">
        <f t="shared" si="150"/>
        <v>0.52243535153642839</v>
      </c>
      <c r="AG124" s="102">
        <f t="shared" si="150"/>
        <v>0.52239063871222802</v>
      </c>
      <c r="AH124" s="102">
        <f t="shared" si="150"/>
        <v>0.52234104204341203</v>
      </c>
      <c r="AI124" s="102">
        <f t="shared" si="150"/>
        <v>0.52228660501317414</v>
      </c>
      <c r="AJ124" s="102">
        <f t="shared" si="150"/>
        <v>0.52222682738622606</v>
      </c>
      <c r="AK124" s="102">
        <f t="shared" si="150"/>
        <v>0.52216217944920595</v>
      </c>
      <c r="AL124" s="102">
        <f t="shared" si="150"/>
        <v>0.52209261342829583</v>
      </c>
      <c r="AM124" s="102">
        <f t="shared" si="150"/>
        <v>0.52201805833752835</v>
      </c>
      <c r="AN124" s="102">
        <f t="shared" si="150"/>
        <v>0.52193859190597425</v>
      </c>
      <c r="AO124" s="102">
        <f t="shared" si="150"/>
        <v>0.52185416543030383</v>
      </c>
      <c r="AP124" s="102">
        <f t="shared" si="150"/>
        <v>0.52176473407001378</v>
      </c>
      <c r="AQ124" s="102">
        <f t="shared" si="150"/>
        <v>0.52167026503889313</v>
      </c>
      <c r="AR124" s="102">
        <f t="shared" si="150"/>
        <v>0.52157069148684898</v>
      </c>
      <c r="AS124" s="102">
        <f t="shared" si="150"/>
        <v>0.52146594293945492</v>
      </c>
      <c r="AT124" s="102">
        <f t="shared" si="150"/>
        <v>0.52135594235367444</v>
      </c>
      <c r="AU124" s="102">
        <f t="shared" si="150"/>
        <v>0.5212417839643505</v>
      </c>
      <c r="AV124" s="102">
        <f t="shared" si="150"/>
        <v>0.52114933534702024</v>
      </c>
      <c r="AW124" s="102">
        <f t="shared" si="150"/>
        <v>0.52107528533758174</v>
      </c>
      <c r="AX124" s="102">
        <f t="shared" si="150"/>
        <v>0.52101681496754226</v>
      </c>
      <c r="AY124" s="102">
        <f t="shared" si="150"/>
        <v>0.52097152549304082</v>
      </c>
      <c r="AZ124" s="102">
        <f t="shared" si="150"/>
        <v>0.52093737562031039</v>
      </c>
      <c r="BA124" s="102">
        <f t="shared" si="150"/>
        <v>0.5209126283732668</v>
      </c>
      <c r="BB124" s="102">
        <f t="shared" si="150"/>
        <v>0.5208958061154344</v>
      </c>
      <c r="BC124" s="102">
        <f t="shared" si="150"/>
        <v>0.52088565195159586</v>
      </c>
      <c r="BD124" s="102">
        <f t="shared" si="150"/>
        <v>0.52088109695916962</v>
      </c>
    </row>
    <row r="125" spans="2:56" x14ac:dyDescent="0.3">
      <c r="B125" s="577" t="s">
        <v>464</v>
      </c>
      <c r="G125" s="28">
        <f t="shared" ref="G125:L125" si="151">G118/G$22</f>
        <v>0.22905982905982911</v>
      </c>
      <c r="H125" s="28">
        <f t="shared" si="151"/>
        <v>0.25261039124418161</v>
      </c>
      <c r="I125" s="28">
        <f t="shared" si="151"/>
        <v>0.26444218504482864</v>
      </c>
      <c r="J125" s="28">
        <f t="shared" si="151"/>
        <v>0.28796610169491521</v>
      </c>
      <c r="K125" s="28">
        <f t="shared" si="151"/>
        <v>0.30288836846213896</v>
      </c>
      <c r="L125" s="28">
        <f t="shared" si="151"/>
        <v>0.28202023696272588</v>
      </c>
      <c r="M125" s="28">
        <f>M118/M$22</f>
        <v>0.26029947389720764</v>
      </c>
      <c r="N125" s="28">
        <f>N118/N$22</f>
        <v>0.27387954601938536</v>
      </c>
      <c r="O125" s="28">
        <f t="shared" ref="O125:BD125" si="152">O118/O$22</f>
        <v>0.30836131030479069</v>
      </c>
      <c r="P125" s="28">
        <f t="shared" si="152"/>
        <v>0.30301546040402949</v>
      </c>
      <c r="Q125" s="28">
        <f t="shared" si="152"/>
        <v>0.30777189129437843</v>
      </c>
      <c r="R125" s="28">
        <f t="shared" si="152"/>
        <v>0.30825020371861089</v>
      </c>
      <c r="S125" s="28">
        <f t="shared" si="152"/>
        <v>0.30849213413915916</v>
      </c>
      <c r="T125" s="28">
        <f t="shared" si="152"/>
        <v>0.30983688826467148</v>
      </c>
      <c r="U125" s="28">
        <f t="shared" si="152"/>
        <v>0.31013592542181934</v>
      </c>
      <c r="V125" s="28">
        <f t="shared" si="152"/>
        <v>0.31045519758792256</v>
      </c>
      <c r="W125" s="28">
        <f t="shared" si="152"/>
        <v>0.31086563579633558</v>
      </c>
      <c r="X125" s="28">
        <f t="shared" si="152"/>
        <v>0.31101617199306181</v>
      </c>
      <c r="Y125" s="28">
        <f t="shared" si="152"/>
        <v>0.31115974612083647</v>
      </c>
      <c r="Z125" s="28">
        <f t="shared" si="152"/>
        <v>0.31127901630838972</v>
      </c>
      <c r="AA125" s="28">
        <f t="shared" si="152"/>
        <v>0.31108828150907225</v>
      </c>
      <c r="AB125" s="28">
        <f t="shared" si="152"/>
        <v>0.31090880466419879</v>
      </c>
      <c r="AC125" s="28">
        <f t="shared" si="152"/>
        <v>0.31074549270675617</v>
      </c>
      <c r="AD125" s="28">
        <f t="shared" si="152"/>
        <v>0.31059112511579601</v>
      </c>
      <c r="AE125" s="28">
        <f t="shared" si="152"/>
        <v>0.31045491627702027</v>
      </c>
      <c r="AF125" s="28">
        <f t="shared" si="152"/>
        <v>0.31033279118558987</v>
      </c>
      <c r="AG125" s="28">
        <f t="shared" si="152"/>
        <v>0.3102237855288974</v>
      </c>
      <c r="AH125" s="28">
        <f t="shared" si="152"/>
        <v>0.31012908343324108</v>
      </c>
      <c r="AI125" s="28">
        <f t="shared" si="152"/>
        <v>0.3100472402051499</v>
      </c>
      <c r="AJ125" s="28">
        <f t="shared" si="152"/>
        <v>0.30997773043481763</v>
      </c>
      <c r="AK125" s="28">
        <f t="shared" si="152"/>
        <v>0.30992020954302901</v>
      </c>
      <c r="AL125" s="28">
        <f t="shared" si="152"/>
        <v>0.30987385116440103</v>
      </c>
      <c r="AM125" s="28">
        <f t="shared" si="152"/>
        <v>0.30983805825595451</v>
      </c>
      <c r="AN125" s="28">
        <f t="shared" si="152"/>
        <v>0.30981222859823804</v>
      </c>
      <c r="AO125" s="28">
        <f t="shared" si="152"/>
        <v>0.3097956891191187</v>
      </c>
      <c r="AP125" s="28">
        <f t="shared" si="152"/>
        <v>0.30978782994905563</v>
      </c>
      <c r="AQ125" s="28">
        <f t="shared" si="152"/>
        <v>0.30978804648292579</v>
      </c>
      <c r="AR125" s="28">
        <f t="shared" si="152"/>
        <v>0.30979574075946215</v>
      </c>
      <c r="AS125" s="28">
        <f t="shared" si="152"/>
        <v>0.30981034556384063</v>
      </c>
      <c r="AT125" s="28">
        <f t="shared" si="152"/>
        <v>0.30981313112861752</v>
      </c>
      <c r="AU125" s="28">
        <f t="shared" si="152"/>
        <v>0.30942365393848376</v>
      </c>
      <c r="AV125" s="28">
        <f t="shared" si="152"/>
        <v>0.30908770802956703</v>
      </c>
      <c r="AW125" s="28">
        <f t="shared" si="152"/>
        <v>0.30879778593990814</v>
      </c>
      <c r="AX125" s="28">
        <f t="shared" si="152"/>
        <v>0.3085474702489574</v>
      </c>
      <c r="AY125" s="28">
        <f t="shared" si="152"/>
        <v>0.30833127339839372</v>
      </c>
      <c r="AZ125" s="28">
        <f t="shared" si="152"/>
        <v>0.30814450032390506</v>
      </c>
      <c r="BA125" s="28">
        <f t="shared" si="152"/>
        <v>0.30798313210980222</v>
      </c>
      <c r="BB125" s="28">
        <f t="shared" si="152"/>
        <v>0.30784372669211202</v>
      </c>
      <c r="BC125" s="28">
        <f t="shared" si="152"/>
        <v>0.30772333412449321</v>
      </c>
      <c r="BD125" s="28">
        <f t="shared" si="152"/>
        <v>0.30761942450744956</v>
      </c>
    </row>
    <row r="127" spans="2:56" s="31" customFormat="1" x14ac:dyDescent="0.3">
      <c r="B127" s="32" t="s">
        <v>88</v>
      </c>
      <c r="C127" s="32" t="s">
        <v>95</v>
      </c>
      <c r="D127" s="33"/>
      <c r="E127" s="33"/>
      <c r="F127" s="33"/>
      <c r="G127" s="33"/>
      <c r="H127" s="33"/>
      <c r="I127" s="33">
        <f t="shared" ref="I127:BD127" si="153">I129+I142</f>
        <v>-418.2</v>
      </c>
      <c r="J127" s="33">
        <f t="shared" si="153"/>
        <v>-446</v>
      </c>
      <c r="K127" s="33">
        <f t="shared" si="153"/>
        <v>-455.6</v>
      </c>
      <c r="L127" s="33">
        <f t="shared" si="153"/>
        <v>-431</v>
      </c>
      <c r="M127" s="33">
        <f t="shared" si="153"/>
        <v>-396.7</v>
      </c>
      <c r="N127" s="33">
        <f t="shared" ref="N127" si="154">N129+N142</f>
        <v>-407.63399999999996</v>
      </c>
      <c r="O127" s="566">
        <f t="shared" si="153"/>
        <v>-420.5507693546819</v>
      </c>
      <c r="P127" s="566">
        <f t="shared" si="153"/>
        <v>-439.42667457453626</v>
      </c>
      <c r="Q127" s="566">
        <f t="shared" si="153"/>
        <v>-465.95481042777948</v>
      </c>
      <c r="R127" s="566">
        <f t="shared" si="153"/>
        <v>-491.52957237604005</v>
      </c>
      <c r="S127" s="566">
        <f t="shared" si="153"/>
        <v>-519.74889106277919</v>
      </c>
      <c r="T127" s="566">
        <f t="shared" si="153"/>
        <v>-550.60029070345252</v>
      </c>
      <c r="U127" s="566">
        <f t="shared" si="153"/>
        <v>-583.22151693148646</v>
      </c>
      <c r="V127" s="566">
        <f t="shared" si="153"/>
        <v>-618.41101669738657</v>
      </c>
      <c r="W127" s="566">
        <f t="shared" si="153"/>
        <v>-656.22958268894592</v>
      </c>
      <c r="X127" s="566">
        <f t="shared" si="153"/>
        <v>-696.70556876795729</v>
      </c>
      <c r="Y127" s="566">
        <f t="shared" si="153"/>
        <v>-740.13498766199859</v>
      </c>
      <c r="Z127" s="566">
        <f t="shared" si="153"/>
        <v>-786.69243665707847</v>
      </c>
      <c r="AA127" s="566">
        <f t="shared" si="153"/>
        <v>-829.74402561693364</v>
      </c>
      <c r="AB127" s="566">
        <f t="shared" si="153"/>
        <v>-875.04067551692788</v>
      </c>
      <c r="AC127" s="566">
        <f t="shared" si="153"/>
        <v>-923.14937469053643</v>
      </c>
      <c r="AD127" s="566">
        <f t="shared" si="153"/>
        <v>-974.24220418801258</v>
      </c>
      <c r="AE127" s="566">
        <f t="shared" si="153"/>
        <v>-1028.5105028329276</v>
      </c>
      <c r="AF127" s="566">
        <f t="shared" si="153"/>
        <v>-1086.1558850602091</v>
      </c>
      <c r="AG127" s="566">
        <f t="shared" si="153"/>
        <v>-1147.3942274019425</v>
      </c>
      <c r="AH127" s="566">
        <f t="shared" si="153"/>
        <v>-1212.4583550758862</v>
      </c>
      <c r="AI127" s="566">
        <f t="shared" si="153"/>
        <v>-1281.5971959626168</v>
      </c>
      <c r="AJ127" s="566">
        <f t="shared" si="153"/>
        <v>-1355.0773126399406</v>
      </c>
      <c r="AK127" s="566">
        <f t="shared" si="153"/>
        <v>-1433.1846841398458</v>
      </c>
      <c r="AL127" s="566">
        <f t="shared" si="153"/>
        <v>-1516.225580856546</v>
      </c>
      <c r="AM127" s="566">
        <f t="shared" si="153"/>
        <v>-1604.5280695722608</v>
      </c>
      <c r="AN127" s="566">
        <f t="shared" si="153"/>
        <v>-1698.4437215119797</v>
      </c>
      <c r="AO127" s="566">
        <f t="shared" si="153"/>
        <v>-1798.3491551963245</v>
      </c>
      <c r="AP127" s="566">
        <f t="shared" si="153"/>
        <v>-1904.6478544003221</v>
      </c>
      <c r="AQ127" s="566">
        <f t="shared" si="153"/>
        <v>-2017.7721404092779</v>
      </c>
      <c r="AR127" s="566">
        <f t="shared" si="153"/>
        <v>-2138.185214987413</v>
      </c>
      <c r="AS127" s="566">
        <f t="shared" si="153"/>
        <v>-2266.3834040024376</v>
      </c>
      <c r="AT127" s="566">
        <f t="shared" si="153"/>
        <v>-2401.2894450557151</v>
      </c>
      <c r="AU127" s="566">
        <f t="shared" si="153"/>
        <v>-2507.7901576241675</v>
      </c>
      <c r="AV127" s="566">
        <f t="shared" si="153"/>
        <v>-2619.0055706253838</v>
      </c>
      <c r="AW127" s="566">
        <f t="shared" si="153"/>
        <v>-2735.145032614414</v>
      </c>
      <c r="AX127" s="566">
        <f t="shared" si="153"/>
        <v>-2856.4273536129986</v>
      </c>
      <c r="AY127" s="566">
        <f t="shared" si="153"/>
        <v>-2983.0812224943074</v>
      </c>
      <c r="AZ127" s="566">
        <f t="shared" si="153"/>
        <v>-3115.3456429120565</v>
      </c>
      <c r="BA127" s="566">
        <f t="shared" si="153"/>
        <v>-3253.4703888144609</v>
      </c>
      <c r="BB127" s="566">
        <f t="shared" si="153"/>
        <v>-3397.7164819232244</v>
      </c>
      <c r="BC127" s="566">
        <f t="shared" si="153"/>
        <v>-3548.3566908948478</v>
      </c>
      <c r="BD127" s="566">
        <f t="shared" si="153"/>
        <v>-3705.6760533410661</v>
      </c>
    </row>
    <row r="128" spans="2:56" s="65" customFormat="1" x14ac:dyDescent="0.3">
      <c r="B128" s="145" t="s">
        <v>26</v>
      </c>
      <c r="C128" s="145" t="s">
        <v>27</v>
      </c>
      <c r="D128" s="78"/>
      <c r="E128" s="78"/>
      <c r="F128" s="78"/>
      <c r="G128" s="78"/>
      <c r="H128" s="78"/>
      <c r="I128" s="78">
        <f t="shared" ref="I128:BD128" si="155">I127/I$17</f>
        <v>-0.20469897209985313</v>
      </c>
      <c r="J128" s="78">
        <f t="shared" si="155"/>
        <v>-0.21319311663479923</v>
      </c>
      <c r="K128" s="78">
        <f t="shared" si="155"/>
        <v>-0.20096202408809513</v>
      </c>
      <c r="L128" s="78">
        <f t="shared" si="155"/>
        <v>-0.18647748360101432</v>
      </c>
      <c r="M128" s="78">
        <f t="shared" si="155"/>
        <v>-0.18042520677037968</v>
      </c>
      <c r="N128" s="78">
        <f t="shared" ref="N128" si="156">N127/N$17</f>
        <v>-0.18074338929437472</v>
      </c>
      <c r="O128" s="78">
        <f t="shared" si="155"/>
        <v>-0.17511636455139579</v>
      </c>
      <c r="P128" s="78">
        <f t="shared" si="155"/>
        <v>-0.17468616397324077</v>
      </c>
      <c r="Q128" s="78">
        <f t="shared" si="155"/>
        <v>-0.17553218091044101</v>
      </c>
      <c r="R128" s="78">
        <f t="shared" si="155"/>
        <v>-0.17537245732366374</v>
      </c>
      <c r="S128" s="78">
        <f t="shared" si="155"/>
        <v>-0.17564831989529162</v>
      </c>
      <c r="T128" s="78">
        <f t="shared" si="155"/>
        <v>-0.17609152442640608</v>
      </c>
      <c r="U128" s="78">
        <f t="shared" si="155"/>
        <v>-0.176439186229711</v>
      </c>
      <c r="V128" s="78">
        <f t="shared" si="155"/>
        <v>-0.17689809336827256</v>
      </c>
      <c r="W128" s="78">
        <f t="shared" si="155"/>
        <v>-0.17739435213709559</v>
      </c>
      <c r="X128" s="78">
        <f t="shared" si="155"/>
        <v>-0.17789845712006208</v>
      </c>
      <c r="Y128" s="78">
        <f t="shared" si="155"/>
        <v>-0.17843152260887499</v>
      </c>
      <c r="Z128" s="78">
        <f t="shared" si="155"/>
        <v>-0.17897558512298387</v>
      </c>
      <c r="AA128" s="78">
        <f t="shared" si="155"/>
        <v>-0.17953399341231649</v>
      </c>
      <c r="AB128" s="78">
        <f t="shared" si="155"/>
        <v>-0.18009795565949258</v>
      </c>
      <c r="AC128" s="78">
        <f t="shared" si="155"/>
        <v>-0.18066193464708447</v>
      </c>
      <c r="AD128" s="78">
        <f t="shared" si="155"/>
        <v>-0.18122307974798402</v>
      </c>
      <c r="AE128" s="78">
        <f t="shared" si="155"/>
        <v>-0.18177917792133122</v>
      </c>
      <c r="AF128" s="78">
        <f t="shared" si="155"/>
        <v>-0.18232792549230628</v>
      </c>
      <c r="AG128" s="78">
        <f t="shared" si="155"/>
        <v>-0.18286749048146322</v>
      </c>
      <c r="AH128" s="78">
        <f t="shared" si="155"/>
        <v>-0.18339634208771993</v>
      </c>
      <c r="AI128" s="78">
        <f t="shared" si="155"/>
        <v>-0.18391316753528739</v>
      </c>
      <c r="AJ128" s="78">
        <f t="shared" si="155"/>
        <v>-0.18441686344967018</v>
      </c>
      <c r="AK128" s="78">
        <f t="shared" si="155"/>
        <v>-0.18490652774295163</v>
      </c>
      <c r="AL128" s="78">
        <f t="shared" si="155"/>
        <v>-0.18538142477656125</v>
      </c>
      <c r="AM128" s="78">
        <f t="shared" si="155"/>
        <v>-0.18584095855710536</v>
      </c>
      <c r="AN128" s="78">
        <f t="shared" si="155"/>
        <v>-0.1862846675347217</v>
      </c>
      <c r="AO128" s="78">
        <f t="shared" si="155"/>
        <v>-0.18671220382673218</v>
      </c>
      <c r="AP128" s="78">
        <f t="shared" si="155"/>
        <v>-0.18712331799097529</v>
      </c>
      <c r="AQ128" s="78">
        <f t="shared" si="155"/>
        <v>-0.18751785093205214</v>
      </c>
      <c r="AR128" s="78">
        <f t="shared" si="155"/>
        <v>-0.18789572153577802</v>
      </c>
      <c r="AS128" s="78">
        <f t="shared" si="155"/>
        <v>-0.18825691735219879</v>
      </c>
      <c r="AT128" s="78">
        <f t="shared" si="155"/>
        <v>-0.18860478774942149</v>
      </c>
      <c r="AU128" s="78">
        <f t="shared" si="155"/>
        <v>-0.18901198249490583</v>
      </c>
      <c r="AV128" s="78">
        <f t="shared" si="155"/>
        <v>-0.18941077730147826</v>
      </c>
      <c r="AW128" s="78">
        <f t="shared" si="155"/>
        <v>-0.18980130546966148</v>
      </c>
      <c r="AX128" s="78">
        <f t="shared" si="155"/>
        <v>-0.19018370824247846</v>
      </c>
      <c r="AY128" s="78">
        <f t="shared" si="155"/>
        <v>-0.19055813295992291</v>
      </c>
      <c r="AZ128" s="78">
        <f t="shared" si="155"/>
        <v>-0.19092473147725075</v>
      </c>
      <c r="BA128" s="78">
        <f t="shared" si="155"/>
        <v>-0.19128365876396422</v>
      </c>
      <c r="BB128" s="78">
        <f t="shared" si="155"/>
        <v>-0.19163507175356859</v>
      </c>
      <c r="BC128" s="78">
        <f t="shared" si="155"/>
        <v>-0.19197912836255693</v>
      </c>
      <c r="BD128" s="78">
        <f t="shared" si="155"/>
        <v>-0.19231598665541322</v>
      </c>
    </row>
    <row r="129" spans="2:56" s="506" customFormat="1" x14ac:dyDescent="0.3">
      <c r="B129" s="567" t="s">
        <v>492</v>
      </c>
      <c r="C129" s="568"/>
      <c r="D129" s="569"/>
      <c r="E129" s="569"/>
      <c r="F129" s="570"/>
      <c r="G129" s="570">
        <f>BD!G20+BD!G21</f>
        <v>-282.39999999999998</v>
      </c>
      <c r="H129" s="570">
        <f>BD!H20+BD!H21</f>
        <v>-354.3</v>
      </c>
      <c r="I129" s="570">
        <f>BD!I269</f>
        <v>-425.59999999999997</v>
      </c>
      <c r="J129" s="570">
        <f>BD!J269</f>
        <v>-437.4</v>
      </c>
      <c r="K129" s="570">
        <f>BD!K269</f>
        <v>-443.5</v>
      </c>
      <c r="L129" s="570">
        <f>BD!L269</f>
        <v>-426.1</v>
      </c>
      <c r="M129" s="570">
        <f>BD!M269</f>
        <v>-415.3</v>
      </c>
      <c r="N129" s="570">
        <f>BD!N269</f>
        <v>-426.93699999999995</v>
      </c>
      <c r="O129" s="244">
        <f t="shared" ref="O129:BD129" si="157">O130+O131+O134</f>
        <v>-448.06164701432039</v>
      </c>
      <c r="P129" s="244">
        <f t="shared" si="157"/>
        <v>-468.91891114197358</v>
      </c>
      <c r="Q129" s="244">
        <f t="shared" si="157"/>
        <v>-495.48646548461869</v>
      </c>
      <c r="R129" s="244">
        <f t="shared" si="157"/>
        <v>-521.72132277215485</v>
      </c>
      <c r="S129" s="244">
        <f t="shared" si="157"/>
        <v>-550.97541353221482</v>
      </c>
      <c r="T129" s="244">
        <f t="shared" si="157"/>
        <v>-582.43698740028674</v>
      </c>
      <c r="U129" s="244">
        <f t="shared" si="157"/>
        <v>-615.8527403030223</v>
      </c>
      <c r="V129" s="244">
        <f t="shared" si="157"/>
        <v>-651.90402300028188</v>
      </c>
      <c r="W129" s="244">
        <f t="shared" si="157"/>
        <v>-690.5153964315748</v>
      </c>
      <c r="X129" s="244">
        <f t="shared" si="157"/>
        <v>-731.84643649480165</v>
      </c>
      <c r="Y129" s="244">
        <f t="shared" si="157"/>
        <v>-776.15610251002477</v>
      </c>
      <c r="Z129" s="244">
        <f t="shared" si="157"/>
        <v>-823.59790255050518</v>
      </c>
      <c r="AA129" s="244">
        <f t="shared" si="157"/>
        <v>-867.25729113351292</v>
      </c>
      <c r="AB129" s="244">
        <f t="shared" si="157"/>
        <v>-913.16068647890222</v>
      </c>
      <c r="AC129" s="244">
        <f t="shared" si="157"/>
        <v>-961.8920755677575</v>
      </c>
      <c r="AD129" s="244">
        <f t="shared" si="157"/>
        <v>-1013.6296343908948</v>
      </c>
      <c r="AE129" s="244">
        <f t="shared" si="157"/>
        <v>-1068.5625613087998</v>
      </c>
      <c r="AF129" s="244">
        <f t="shared" si="157"/>
        <v>-1126.8926883573599</v>
      </c>
      <c r="AG129" s="244">
        <f t="shared" si="157"/>
        <v>-1188.8375293212828</v>
      </c>
      <c r="AH129" s="244">
        <f t="shared" si="157"/>
        <v>-1254.6297794447239</v>
      </c>
      <c r="AI129" s="244">
        <f t="shared" si="157"/>
        <v>-1324.5189066904536</v>
      </c>
      <c r="AJ129" s="244">
        <f t="shared" si="157"/>
        <v>-1398.7722222092032</v>
      </c>
      <c r="AK129" s="244">
        <f t="shared" si="157"/>
        <v>-1477.6760857612619</v>
      </c>
      <c r="AL129" s="244">
        <f t="shared" si="157"/>
        <v>-1561.5373284044299</v>
      </c>
      <c r="AM129" s="244">
        <f t="shared" si="157"/>
        <v>-1650.6846009074281</v>
      </c>
      <c r="AN129" s="244">
        <f t="shared" si="157"/>
        <v>-1745.469985354285</v>
      </c>
      <c r="AO129" s="244">
        <f t="shared" si="157"/>
        <v>-1846.2706571953668</v>
      </c>
      <c r="AP129" s="244">
        <f t="shared" si="157"/>
        <v>-1953.4906563271697</v>
      </c>
      <c r="AQ129" s="244">
        <f t="shared" si="157"/>
        <v>-2067.5628446914734</v>
      </c>
      <c r="AR129" s="244">
        <f t="shared" si="157"/>
        <v>-2188.9509732434908</v>
      </c>
      <c r="AS129" s="244">
        <f t="shared" si="157"/>
        <v>-2318.1519115371789</v>
      </c>
      <c r="AT129" s="244">
        <f t="shared" si="157"/>
        <v>-2454.0640012818358</v>
      </c>
      <c r="AU129" s="244">
        <f t="shared" si="157"/>
        <v>-2561.0570508143073</v>
      </c>
      <c r="AV129" s="244">
        <f t="shared" si="157"/>
        <v>-2672.7923563413747</v>
      </c>
      <c r="AW129" s="244">
        <f t="shared" si="157"/>
        <v>-2789.480260704373</v>
      </c>
      <c r="AX129" s="244">
        <f t="shared" si="157"/>
        <v>-2911.3406101460941</v>
      </c>
      <c r="AY129" s="244">
        <f t="shared" si="157"/>
        <v>-3038.6031726972869</v>
      </c>
      <c r="AZ129" s="244">
        <f t="shared" si="157"/>
        <v>-3171.5080760767437</v>
      </c>
      <c r="BA129" s="244">
        <f t="shared" si="157"/>
        <v>-3310.30626530876</v>
      </c>
      <c r="BB129" s="244">
        <f t="shared" si="157"/>
        <v>-3455.2599820205533</v>
      </c>
      <c r="BC129" s="244">
        <f t="shared" si="157"/>
        <v>-3606.64326574083</v>
      </c>
      <c r="BD129" s="571">
        <f t="shared" si="157"/>
        <v>-3764.742478128142</v>
      </c>
    </row>
    <row r="130" spans="2:56" s="65" customFormat="1" x14ac:dyDescent="0.3">
      <c r="B130" s="572" t="s">
        <v>454</v>
      </c>
      <c r="C130" s="145"/>
      <c r="D130" s="573"/>
      <c r="E130" s="573"/>
      <c r="F130" s="574"/>
      <c r="G130" s="574"/>
      <c r="H130" s="574"/>
      <c r="I130" s="574">
        <f>BD!I270</f>
        <v>-67.8</v>
      </c>
      <c r="J130" s="574">
        <f>BD!J270</f>
        <v>-66</v>
      </c>
      <c r="K130" s="574">
        <f>BD!K270</f>
        <v>-82.4</v>
      </c>
      <c r="L130" s="574">
        <f>BD!L270</f>
        <v>-79.8</v>
      </c>
      <c r="M130" s="574">
        <f>BD!M270</f>
        <v>-66.5</v>
      </c>
      <c r="N130" s="574">
        <f>BD!N270</f>
        <v>-76.800000000000011</v>
      </c>
      <c r="O130" s="553">
        <f t="shared" ref="O130:BD130" si="158">O136*O$35</f>
        <v>-75.695040124429383</v>
      </c>
      <c r="P130" s="553">
        <f t="shared" si="158"/>
        <v>-78.41895436099837</v>
      </c>
      <c r="Q130" s="553">
        <f t="shared" si="158"/>
        <v>-80.870576583583983</v>
      </c>
      <c r="R130" s="553">
        <f t="shared" si="158"/>
        <v>-82.265511330898079</v>
      </c>
      <c r="S130" s="553">
        <f t="shared" si="158"/>
        <v>-84.578478470320135</v>
      </c>
      <c r="T130" s="553">
        <f t="shared" si="158"/>
        <v>-86.737303011769669</v>
      </c>
      <c r="U130" s="553">
        <f t="shared" si="158"/>
        <v>-88.785652481006466</v>
      </c>
      <c r="V130" s="553">
        <f t="shared" si="158"/>
        <v>-91.071814437074707</v>
      </c>
      <c r="W130" s="553">
        <f t="shared" si="158"/>
        <v>-93.345208129005982</v>
      </c>
      <c r="X130" s="553">
        <f t="shared" si="158"/>
        <v>-95.657866722162183</v>
      </c>
      <c r="Y130" s="553">
        <f t="shared" si="158"/>
        <v>-98.064835283259498</v>
      </c>
      <c r="Z130" s="553">
        <f t="shared" si="158"/>
        <v>-100.51319397103764</v>
      </c>
      <c r="AA130" s="553">
        <f t="shared" si="158"/>
        <v>-103.02281709012799</v>
      </c>
      <c r="AB130" s="553">
        <f t="shared" si="158"/>
        <v>-105.60172123063796</v>
      </c>
      <c r="AC130" s="553">
        <f t="shared" si="158"/>
        <v>-108.24060924764552</v>
      </c>
      <c r="AD130" s="553">
        <f t="shared" si="158"/>
        <v>-110.94624624407474</v>
      </c>
      <c r="AE130" s="553">
        <f t="shared" si="158"/>
        <v>-113.72056535604052</v>
      </c>
      <c r="AF130" s="553">
        <f t="shared" si="158"/>
        <v>-116.56325893106676</v>
      </c>
      <c r="AG130" s="553">
        <f t="shared" si="158"/>
        <v>-119.47732728023965</v>
      </c>
      <c r="AH130" s="553">
        <f t="shared" si="158"/>
        <v>-122.46438169277245</v>
      </c>
      <c r="AI130" s="553">
        <f t="shared" si="158"/>
        <v>-125.52591299040226</v>
      </c>
      <c r="AJ130" s="553">
        <f t="shared" si="158"/>
        <v>-128.66407182642604</v>
      </c>
      <c r="AK130" s="553">
        <f t="shared" si="158"/>
        <v>-131.88069349966543</v>
      </c>
      <c r="AL130" s="553">
        <f t="shared" si="158"/>
        <v>-135.1776933979086</v>
      </c>
      <c r="AM130" s="553">
        <f t="shared" si="158"/>
        <v>-138.55714068838233</v>
      </c>
      <c r="AN130" s="553">
        <f t="shared" si="158"/>
        <v>-142.02107192668589</v>
      </c>
      <c r="AO130" s="553">
        <f t="shared" si="158"/>
        <v>-145.57159512997228</v>
      </c>
      <c r="AP130" s="553">
        <f t="shared" si="158"/>
        <v>-149.21088651177365</v>
      </c>
      <c r="AQ130" s="553">
        <f t="shared" si="158"/>
        <v>-152.94115890609797</v>
      </c>
      <c r="AR130" s="553">
        <f t="shared" si="158"/>
        <v>-156.76468719398179</v>
      </c>
      <c r="AS130" s="553">
        <f t="shared" si="158"/>
        <v>-160.68380476067281</v>
      </c>
      <c r="AT130" s="553">
        <f t="shared" si="158"/>
        <v>-164.70089985515963</v>
      </c>
      <c r="AU130" s="553">
        <f t="shared" si="158"/>
        <v>-168.81842223282567</v>
      </c>
      <c r="AV130" s="553">
        <f t="shared" si="158"/>
        <v>-173.03888287835741</v>
      </c>
      <c r="AW130" s="553">
        <f t="shared" si="158"/>
        <v>-177.36485493058802</v>
      </c>
      <c r="AX130" s="553">
        <f t="shared" si="158"/>
        <v>-181.79897628591613</v>
      </c>
      <c r="AY130" s="553">
        <f t="shared" si="158"/>
        <v>-186.34395071222968</v>
      </c>
      <c r="AZ130" s="553">
        <f t="shared" si="158"/>
        <v>-191.0025494732204</v>
      </c>
      <c r="BA130" s="553">
        <f t="shared" si="158"/>
        <v>-195.77761320799581</v>
      </c>
      <c r="BB130" s="553">
        <f t="shared" si="158"/>
        <v>-200.67205354198666</v>
      </c>
      <c r="BC130" s="553">
        <f t="shared" si="158"/>
        <v>-205.6888548786655</v>
      </c>
      <c r="BD130" s="575">
        <f t="shared" si="158"/>
        <v>-210.83107625058287</v>
      </c>
    </row>
    <row r="131" spans="2:56" s="65" customFormat="1" x14ac:dyDescent="0.3">
      <c r="B131" s="572" t="s">
        <v>455</v>
      </c>
      <c r="C131" s="145"/>
      <c r="D131" s="573"/>
      <c r="E131" s="573"/>
      <c r="F131" s="574"/>
      <c r="G131" s="574"/>
      <c r="H131" s="574"/>
      <c r="I131" s="574">
        <f>BD!I271</f>
        <v>-354.4</v>
      </c>
      <c r="J131" s="574">
        <f>BD!J271</f>
        <v>-367.79999999999995</v>
      </c>
      <c r="K131" s="574">
        <f>BD!K271</f>
        <v>-357.5</v>
      </c>
      <c r="L131" s="574">
        <f>BD!L271</f>
        <v>-342.7</v>
      </c>
      <c r="M131" s="574">
        <f>BD!M271</f>
        <v>-344.5</v>
      </c>
      <c r="N131" s="574">
        <f>BD!N271</f>
        <v>-350.59999999999991</v>
      </c>
      <c r="O131" s="554">
        <f t="shared" ref="O131:BD131" si="159">O132+O133</f>
        <v>-369.71636957595115</v>
      </c>
      <c r="P131" s="554">
        <f t="shared" si="159"/>
        <v>-388.104655994886</v>
      </c>
      <c r="Q131" s="554">
        <f t="shared" si="159"/>
        <v>-412.97616202189477</v>
      </c>
      <c r="R131" s="554">
        <f t="shared" si="159"/>
        <v>-436.95809858237851</v>
      </c>
      <c r="S131" s="554">
        <f t="shared" si="159"/>
        <v>-463.96946849880618</v>
      </c>
      <c r="T131" s="554">
        <f t="shared" si="159"/>
        <v>-493.27202233611342</v>
      </c>
      <c r="U131" s="554">
        <f t="shared" si="159"/>
        <v>-524.32580184127255</v>
      </c>
      <c r="V131" s="554">
        <f t="shared" si="159"/>
        <v>-558.00513556426858</v>
      </c>
      <c r="W131" s="554">
        <f t="shared" si="159"/>
        <v>-594.19300594356105</v>
      </c>
      <c r="X131" s="554">
        <f t="shared" si="159"/>
        <v>-632.9996457485729</v>
      </c>
      <c r="Y131" s="554">
        <f t="shared" si="159"/>
        <v>-674.73447725118217</v>
      </c>
      <c r="Z131" s="554">
        <f t="shared" si="159"/>
        <v>-719.5267853456545</v>
      </c>
      <c r="AA131" s="554">
        <f t="shared" si="159"/>
        <v>-760.48636994463141</v>
      </c>
      <c r="AB131" s="554">
        <f t="shared" si="159"/>
        <v>-803.62393754945708</v>
      </c>
      <c r="AC131" s="554">
        <f t="shared" si="159"/>
        <v>-849.51196424436944</v>
      </c>
      <c r="AD131" s="554">
        <f t="shared" si="159"/>
        <v>-898.32711323048022</v>
      </c>
      <c r="AE131" s="554">
        <f t="shared" si="159"/>
        <v>-950.2583725556226</v>
      </c>
      <c r="AF131" s="554">
        <f t="shared" si="159"/>
        <v>-1005.5030444628937</v>
      </c>
      <c r="AG131" s="554">
        <f t="shared" si="159"/>
        <v>-1064.2765882652443</v>
      </c>
      <c r="AH131" s="554">
        <f t="shared" si="159"/>
        <v>-1126.8092723889974</v>
      </c>
      <c r="AI131" s="554">
        <f t="shared" si="159"/>
        <v>-1193.3472211757935</v>
      </c>
      <c r="AJ131" s="554">
        <f t="shared" si="159"/>
        <v>-1264.1549753964969</v>
      </c>
      <c r="AK131" s="554">
        <f t="shared" si="159"/>
        <v>-1339.5158007827642</v>
      </c>
      <c r="AL131" s="554">
        <f t="shared" si="159"/>
        <v>-1419.7331780439781</v>
      </c>
      <c r="AM131" s="554">
        <f t="shared" si="159"/>
        <v>-1505.1324336450971</v>
      </c>
      <c r="AN131" s="554">
        <f t="shared" si="159"/>
        <v>-1596.0621028317369</v>
      </c>
      <c r="AO131" s="554">
        <f t="shared" si="159"/>
        <v>-1692.8956470894225</v>
      </c>
      <c r="AP131" s="554">
        <f t="shared" si="159"/>
        <v>-1796.0332625400101</v>
      </c>
      <c r="AQ131" s="554">
        <f t="shared" si="159"/>
        <v>-1905.9037694978206</v>
      </c>
      <c r="AR131" s="554">
        <f t="shared" si="159"/>
        <v>-2022.9666938160972</v>
      </c>
      <c r="AS131" s="554">
        <f t="shared" si="159"/>
        <v>-2147.7144900910162</v>
      </c>
      <c r="AT131" s="554">
        <f t="shared" si="159"/>
        <v>-2279.0479635306683</v>
      </c>
      <c r="AU131" s="554">
        <f t="shared" si="159"/>
        <v>-2381.4892065993508</v>
      </c>
      <c r="AV131" s="554">
        <f t="shared" si="159"/>
        <v>-2488.5509726851265</v>
      </c>
      <c r="AW131" s="554">
        <f t="shared" si="159"/>
        <v>-2600.440203536843</v>
      </c>
      <c r="AX131" s="554">
        <f t="shared" si="159"/>
        <v>-2717.3732438132893</v>
      </c>
      <c r="AY131" s="554">
        <f t="shared" si="159"/>
        <v>-2839.5762557167595</v>
      </c>
      <c r="AZ131" s="554">
        <f t="shared" si="159"/>
        <v>-2967.2856531474044</v>
      </c>
      <c r="BA131" s="554">
        <f t="shared" si="159"/>
        <v>-3100.7485562911111</v>
      </c>
      <c r="BB131" s="554">
        <f t="shared" si="159"/>
        <v>-3240.2232671332522</v>
      </c>
      <c r="BC131" s="554">
        <f t="shared" si="159"/>
        <v>-3385.9797669839791</v>
      </c>
      <c r="BD131" s="554">
        <f t="shared" si="159"/>
        <v>-3538.3002369363276</v>
      </c>
    </row>
    <row r="132" spans="2:56" s="65" customFormat="1" x14ac:dyDescent="0.3">
      <c r="B132" s="577" t="s">
        <v>463</v>
      </c>
      <c r="C132" s="145"/>
      <c r="D132" s="573"/>
      <c r="E132" s="573"/>
      <c r="F132" s="574"/>
      <c r="G132" s="574"/>
      <c r="H132" s="574"/>
      <c r="I132" s="574">
        <f>BD!I272</f>
        <v>-154.80000000000001</v>
      </c>
      <c r="J132" s="574">
        <f>BD!J272</f>
        <v>-161.1</v>
      </c>
      <c r="K132" s="574">
        <f>BD!K272</f>
        <v>-149.1</v>
      </c>
      <c r="L132" s="574">
        <f>BD!L272</f>
        <v>-141.69999999999999</v>
      </c>
      <c r="M132" s="574">
        <f>BD!M272</f>
        <v>-127.4</v>
      </c>
      <c r="N132" s="574">
        <f>BD!N272</f>
        <v>-131.89999999999998</v>
      </c>
      <c r="O132" s="624">
        <f t="shared" ref="O132:BD132" si="160">O138*O$28</f>
        <v>-135.24245993412927</v>
      </c>
      <c r="P132" s="624">
        <f t="shared" si="160"/>
        <v>-136.82459550533872</v>
      </c>
      <c r="Q132" s="624">
        <f t="shared" si="160"/>
        <v>-141.40332161028661</v>
      </c>
      <c r="R132" s="624">
        <f t="shared" si="160"/>
        <v>-145.38478799782749</v>
      </c>
      <c r="S132" s="624">
        <f t="shared" si="160"/>
        <v>-149.58909205572957</v>
      </c>
      <c r="T132" s="624">
        <f t="shared" si="160"/>
        <v>-154.60928270701967</v>
      </c>
      <c r="U132" s="624">
        <f t="shared" si="160"/>
        <v>-159.80185273343801</v>
      </c>
      <c r="V132" s="624">
        <f t="shared" si="160"/>
        <v>-165.39765414922047</v>
      </c>
      <c r="W132" s="624">
        <f t="shared" si="160"/>
        <v>-171.45374205065352</v>
      </c>
      <c r="X132" s="624">
        <f t="shared" si="160"/>
        <v>-177.86783918931366</v>
      </c>
      <c r="Y132" s="624">
        <f t="shared" si="160"/>
        <v>-184.69819449130051</v>
      </c>
      <c r="Z132" s="624">
        <f t="shared" si="160"/>
        <v>-191.95207178608973</v>
      </c>
      <c r="AA132" s="624">
        <f t="shared" si="160"/>
        <v>-199.62194963503845</v>
      </c>
      <c r="AB132" s="624">
        <f t="shared" si="160"/>
        <v>-207.72849503921074</v>
      </c>
      <c r="AC132" s="624">
        <f t="shared" si="160"/>
        <v>-216.28133853678659</v>
      </c>
      <c r="AD132" s="624">
        <f t="shared" si="160"/>
        <v>-225.29089445532313</v>
      </c>
      <c r="AE132" s="624">
        <f t="shared" si="160"/>
        <v>-234.77300887406332</v>
      </c>
      <c r="AF132" s="624">
        <f t="shared" si="160"/>
        <v>-244.74221928822095</v>
      </c>
      <c r="AG132" s="624">
        <f t="shared" si="160"/>
        <v>-255.21464415194097</v>
      </c>
      <c r="AH132" s="624">
        <f t="shared" si="160"/>
        <v>-266.20823337611881</v>
      </c>
      <c r="AI132" s="624">
        <f t="shared" si="160"/>
        <v>-277.74170984580047</v>
      </c>
      <c r="AJ132" s="624">
        <f t="shared" si="160"/>
        <v>-289.83519627121535</v>
      </c>
      <c r="AK132" s="624">
        <f t="shared" si="160"/>
        <v>-302.51017255350507</v>
      </c>
      <c r="AL132" s="624">
        <f t="shared" si="160"/>
        <v>-315.78934541288027</v>
      </c>
      <c r="AM132" s="624">
        <f t="shared" si="160"/>
        <v>-329.69679365544766</v>
      </c>
      <c r="AN132" s="624">
        <f t="shared" si="160"/>
        <v>-344.2579710451231</v>
      </c>
      <c r="AO132" s="624">
        <f t="shared" si="160"/>
        <v>-359.49972276560874</v>
      </c>
      <c r="AP132" s="624">
        <f t="shared" si="160"/>
        <v>-375.45034579156317</v>
      </c>
      <c r="AQ132" s="624">
        <f t="shared" si="160"/>
        <v>-392.13962444009343</v>
      </c>
      <c r="AR132" s="624">
        <f t="shared" si="160"/>
        <v>-409.59887595368906</v>
      </c>
      <c r="AS132" s="624">
        <f t="shared" si="160"/>
        <v>-427.86100513512656</v>
      </c>
      <c r="AT132" s="624">
        <f t="shared" si="160"/>
        <v>-446.9605577158772</v>
      </c>
      <c r="AU132" s="624">
        <f t="shared" si="160"/>
        <v>-466.93377946963631</v>
      </c>
      <c r="AV132" s="624">
        <f t="shared" si="160"/>
        <v>-487.81867983974581</v>
      </c>
      <c r="AW132" s="624">
        <f t="shared" si="160"/>
        <v>-509.6550987642313</v>
      </c>
      <c r="AX132" s="624">
        <f t="shared" si="160"/>
        <v>-532.48477805530024</v>
      </c>
      <c r="AY132" s="624">
        <f t="shared" si="160"/>
        <v>-556.35143701531752</v>
      </c>
      <c r="AZ132" s="624">
        <f t="shared" si="160"/>
        <v>-581.30085224095149</v>
      </c>
      <c r="BA132" s="624">
        <f t="shared" si="160"/>
        <v>-607.38094194481357</v>
      </c>
      <c r="BB132" s="624">
        <f t="shared" si="160"/>
        <v>-634.64185482025755</v>
      </c>
      <c r="BC132" s="624">
        <f t="shared" si="160"/>
        <v>-663.13606357765786</v>
      </c>
      <c r="BD132" s="632">
        <f t="shared" si="160"/>
        <v>-692.91846333419085</v>
      </c>
    </row>
    <row r="133" spans="2:56" s="65" customFormat="1" x14ac:dyDescent="0.3">
      <c r="B133" s="577" t="s">
        <v>464</v>
      </c>
      <c r="C133" s="145"/>
      <c r="D133" s="573"/>
      <c r="E133" s="573"/>
      <c r="F133" s="574"/>
      <c r="G133" s="574"/>
      <c r="H133" s="574"/>
      <c r="I133" s="574">
        <f>BD!I273</f>
        <v>-199.6</v>
      </c>
      <c r="J133" s="574">
        <f>BD!J273</f>
        <v>-206.7</v>
      </c>
      <c r="K133" s="574">
        <f>BD!K273</f>
        <v>-208.4</v>
      </c>
      <c r="L133" s="574">
        <f>BD!L273</f>
        <v>-201</v>
      </c>
      <c r="M133" s="574">
        <f>BD!M273</f>
        <v>-217.1</v>
      </c>
      <c r="N133" s="574">
        <f>BD!N273</f>
        <v>-218.7</v>
      </c>
      <c r="O133" s="624">
        <f t="shared" ref="O133:BD133" si="161">O139*O$22</f>
        <v>-234.47390964182188</v>
      </c>
      <c r="P133" s="624">
        <f t="shared" si="161"/>
        <v>-251.28006048954725</v>
      </c>
      <c r="Q133" s="624">
        <f t="shared" si="161"/>
        <v>-271.57284041160818</v>
      </c>
      <c r="R133" s="624">
        <f t="shared" si="161"/>
        <v>-291.57331058455105</v>
      </c>
      <c r="S133" s="624">
        <f t="shared" si="161"/>
        <v>-314.38037644307661</v>
      </c>
      <c r="T133" s="624">
        <f t="shared" si="161"/>
        <v>-338.66273962909378</v>
      </c>
      <c r="U133" s="624">
        <f t="shared" si="161"/>
        <v>-364.52394910783448</v>
      </c>
      <c r="V133" s="624">
        <f t="shared" si="161"/>
        <v>-392.60748141504808</v>
      </c>
      <c r="W133" s="624">
        <f t="shared" si="161"/>
        <v>-422.73926389290756</v>
      </c>
      <c r="X133" s="624">
        <f t="shared" si="161"/>
        <v>-455.13180655925919</v>
      </c>
      <c r="Y133" s="624">
        <f t="shared" si="161"/>
        <v>-490.0362827598816</v>
      </c>
      <c r="Z133" s="624">
        <f t="shared" si="161"/>
        <v>-527.57471355956477</v>
      </c>
      <c r="AA133" s="624">
        <f t="shared" si="161"/>
        <v>-560.86442030959302</v>
      </c>
      <c r="AB133" s="624">
        <f t="shared" si="161"/>
        <v>-595.89544251024631</v>
      </c>
      <c r="AC133" s="624">
        <f t="shared" si="161"/>
        <v>-633.23062570758282</v>
      </c>
      <c r="AD133" s="624">
        <f t="shared" si="161"/>
        <v>-673.03621877515707</v>
      </c>
      <c r="AE133" s="624">
        <f t="shared" si="161"/>
        <v>-715.48536368155931</v>
      </c>
      <c r="AF133" s="624">
        <f t="shared" si="161"/>
        <v>-760.76082517467273</v>
      </c>
      <c r="AG133" s="624">
        <f t="shared" si="161"/>
        <v>-809.0619441133033</v>
      </c>
      <c r="AH133" s="624">
        <f t="shared" si="161"/>
        <v>-860.60103901287857</v>
      </c>
      <c r="AI133" s="624">
        <f t="shared" si="161"/>
        <v>-915.60551132999308</v>
      </c>
      <c r="AJ133" s="624">
        <f t="shared" si="161"/>
        <v>-974.31977912528146</v>
      </c>
      <c r="AK133" s="624">
        <f t="shared" si="161"/>
        <v>-1037.0056282292592</v>
      </c>
      <c r="AL133" s="624">
        <f t="shared" si="161"/>
        <v>-1103.9438326310978</v>
      </c>
      <c r="AM133" s="624">
        <f t="shared" si="161"/>
        <v>-1175.4356399896494</v>
      </c>
      <c r="AN133" s="624">
        <f t="shared" si="161"/>
        <v>-1251.8041317866139</v>
      </c>
      <c r="AO133" s="624">
        <f t="shared" si="161"/>
        <v>-1333.3959243238137</v>
      </c>
      <c r="AP133" s="624">
        <f t="shared" si="161"/>
        <v>-1420.5829167484469</v>
      </c>
      <c r="AQ133" s="624">
        <f t="shared" si="161"/>
        <v>-1513.7641450577271</v>
      </c>
      <c r="AR133" s="624">
        <f t="shared" si="161"/>
        <v>-1613.3678178624082</v>
      </c>
      <c r="AS133" s="624">
        <f t="shared" si="161"/>
        <v>-1719.8534849558898</v>
      </c>
      <c r="AT133" s="624">
        <f t="shared" si="161"/>
        <v>-1832.0874058147911</v>
      </c>
      <c r="AU133" s="624">
        <f t="shared" si="161"/>
        <v>-1914.5554271297144</v>
      </c>
      <c r="AV133" s="624">
        <f t="shared" si="161"/>
        <v>-2000.7322928453807</v>
      </c>
      <c r="AW133" s="624">
        <f t="shared" si="161"/>
        <v>-2090.7851047726117</v>
      </c>
      <c r="AX133" s="624">
        <f t="shared" si="161"/>
        <v>-2184.8884657579893</v>
      </c>
      <c r="AY133" s="624">
        <f t="shared" si="161"/>
        <v>-2283.224818701442</v>
      </c>
      <c r="AZ133" s="624">
        <f t="shared" si="161"/>
        <v>-2385.9848009064531</v>
      </c>
      <c r="BA133" s="624">
        <f t="shared" si="161"/>
        <v>-2493.3676143462976</v>
      </c>
      <c r="BB133" s="624">
        <f t="shared" si="161"/>
        <v>-2605.5814123129949</v>
      </c>
      <c r="BC133" s="624">
        <f t="shared" si="161"/>
        <v>-2722.8437034063213</v>
      </c>
      <c r="BD133" s="632">
        <f t="shared" si="161"/>
        <v>-2845.3817736021365</v>
      </c>
    </row>
    <row r="134" spans="2:56" s="65" customFormat="1" x14ac:dyDescent="0.3">
      <c r="B134" s="578" t="s">
        <v>467</v>
      </c>
      <c r="C134" s="145"/>
      <c r="D134" s="573"/>
      <c r="E134" s="573"/>
      <c r="F134" s="574"/>
      <c r="G134" s="574"/>
      <c r="H134" s="574"/>
      <c r="I134" s="574">
        <f>BD!I274</f>
        <v>-3.4</v>
      </c>
      <c r="J134" s="574">
        <f>BD!J274</f>
        <v>-3.6</v>
      </c>
      <c r="K134" s="574">
        <f>BD!K274</f>
        <v>-3.6</v>
      </c>
      <c r="L134" s="574">
        <f>BD!L274</f>
        <v>-3.6</v>
      </c>
      <c r="M134" s="574">
        <f>BD!M274</f>
        <v>-4.3</v>
      </c>
      <c r="N134" s="574">
        <f>BD!N274</f>
        <v>0.4570000000000225</v>
      </c>
      <c r="O134" s="554">
        <f t="shared" ref="O134:BD134" si="162">O140*O$17</f>
        <v>-2.6502373139398356</v>
      </c>
      <c r="P134" s="554">
        <f t="shared" si="162"/>
        <v>-2.3953007860892077</v>
      </c>
      <c r="Q134" s="554">
        <f t="shared" si="162"/>
        <v>-1.6397268791398889</v>
      </c>
      <c r="R134" s="554">
        <f t="shared" si="162"/>
        <v>-2.4977128588782502</v>
      </c>
      <c r="S134" s="554">
        <f t="shared" si="162"/>
        <v>-2.427466563088498</v>
      </c>
      <c r="T134" s="554">
        <f t="shared" si="162"/>
        <v>-2.427662052403702</v>
      </c>
      <c r="U134" s="554">
        <f t="shared" si="162"/>
        <v>-2.7412859807432728</v>
      </c>
      <c r="V134" s="554">
        <f t="shared" si="162"/>
        <v>-2.8270729989385455</v>
      </c>
      <c r="W134" s="554">
        <f t="shared" si="162"/>
        <v>-2.9771823590077617</v>
      </c>
      <c r="X134" s="554">
        <f t="shared" si="162"/>
        <v>-3.1889240240665457</v>
      </c>
      <c r="Y134" s="554">
        <f t="shared" si="162"/>
        <v>-3.3567899755830397</v>
      </c>
      <c r="Z134" s="554">
        <f t="shared" si="162"/>
        <v>-3.5579232338130562</v>
      </c>
      <c r="AA134" s="554">
        <f t="shared" si="162"/>
        <v>-3.7481040987535286</v>
      </c>
      <c r="AB134" s="554">
        <f t="shared" si="162"/>
        <v>-3.935027698807231</v>
      </c>
      <c r="AC134" s="554">
        <f t="shared" si="162"/>
        <v>-4.1395020757424392</v>
      </c>
      <c r="AD134" s="554">
        <f t="shared" si="162"/>
        <v>-4.3562749163398573</v>
      </c>
      <c r="AE134" s="554">
        <f t="shared" si="162"/>
        <v>-4.583623397136706</v>
      </c>
      <c r="AF134" s="554">
        <f t="shared" si="162"/>
        <v>-4.8263849633995628</v>
      </c>
      <c r="AG134" s="554">
        <f t="shared" si="162"/>
        <v>-5.0836137757987938</v>
      </c>
      <c r="AH134" s="554">
        <f t="shared" si="162"/>
        <v>-5.3561253629542112</v>
      </c>
      <c r="AI134" s="554">
        <f t="shared" si="162"/>
        <v>-5.6457725242578185</v>
      </c>
      <c r="AJ134" s="554">
        <f t="shared" si="162"/>
        <v>-5.9531749862801675</v>
      </c>
      <c r="AK134" s="554">
        <f t="shared" si="162"/>
        <v>-6.2795914788324243</v>
      </c>
      <c r="AL134" s="554">
        <f t="shared" si="162"/>
        <v>-6.6264569625432657</v>
      </c>
      <c r="AM134" s="554">
        <f t="shared" si="162"/>
        <v>-6.9950265739486941</v>
      </c>
      <c r="AN134" s="554">
        <f t="shared" si="162"/>
        <v>-7.3868105958623023</v>
      </c>
      <c r="AO134" s="554">
        <f t="shared" si="162"/>
        <v>-7.8034149759718829</v>
      </c>
      <c r="AP134" s="554">
        <f t="shared" si="162"/>
        <v>-8.2465072753859801</v>
      </c>
      <c r="AQ134" s="554">
        <f t="shared" si="162"/>
        <v>-8.7179162875549849</v>
      </c>
      <c r="AR134" s="554">
        <f t="shared" si="162"/>
        <v>-9.2195922334117366</v>
      </c>
      <c r="AS134" s="554">
        <f t="shared" si="162"/>
        <v>-9.7536166854898791</v>
      </c>
      <c r="AT134" s="554">
        <f t="shared" si="162"/>
        <v>-10.315137896007878</v>
      </c>
      <c r="AU134" s="554">
        <f t="shared" si="162"/>
        <v>-10.749421982131031</v>
      </c>
      <c r="AV134" s="554">
        <f t="shared" si="162"/>
        <v>-11.202500777890826</v>
      </c>
      <c r="AW134" s="554">
        <f t="shared" si="162"/>
        <v>-11.675202236941931</v>
      </c>
      <c r="AX134" s="554">
        <f t="shared" si="162"/>
        <v>-12.168390046888678</v>
      </c>
      <c r="AY134" s="554">
        <f t="shared" si="162"/>
        <v>-12.682966268297719</v>
      </c>
      <c r="AZ134" s="554">
        <f t="shared" si="162"/>
        <v>-13.219873456118876</v>
      </c>
      <c r="BA134" s="554">
        <f t="shared" si="162"/>
        <v>-13.780095809653256</v>
      </c>
      <c r="BB134" s="554">
        <f t="shared" si="162"/>
        <v>-14.364661345314376</v>
      </c>
      <c r="BC134" s="554">
        <f t="shared" si="162"/>
        <v>-14.974643878185237</v>
      </c>
      <c r="BD134" s="576">
        <f t="shared" si="162"/>
        <v>-15.611164941231621</v>
      </c>
    </row>
    <row r="135" spans="2:56" s="65" customFormat="1" x14ac:dyDescent="0.3">
      <c r="B135" s="578"/>
      <c r="C135" s="145"/>
      <c r="D135" s="573"/>
      <c r="E135" s="573"/>
      <c r="F135" s="573"/>
      <c r="G135" s="573"/>
      <c r="H135" s="573"/>
      <c r="I135" s="573"/>
      <c r="J135" s="573"/>
      <c r="K135" s="573"/>
      <c r="L135" s="573"/>
      <c r="M135" s="573"/>
      <c r="N135" s="573"/>
      <c r="O135" s="573"/>
      <c r="P135" s="573"/>
      <c r="Q135" s="573"/>
      <c r="R135" s="573"/>
      <c r="S135" s="573"/>
      <c r="T135" s="573"/>
      <c r="U135" s="573"/>
      <c r="V135" s="573"/>
      <c r="W135" s="573"/>
      <c r="X135" s="573"/>
      <c r="Y135" s="573"/>
      <c r="Z135" s="573"/>
      <c r="AA135" s="573"/>
      <c r="AB135" s="573"/>
      <c r="AC135" s="573"/>
      <c r="AD135" s="573"/>
      <c r="AE135" s="573"/>
      <c r="AF135" s="573"/>
      <c r="AG135" s="573"/>
      <c r="AH135" s="573"/>
      <c r="AI135" s="573"/>
      <c r="AJ135" s="573"/>
      <c r="AK135" s="573"/>
      <c r="AL135" s="573"/>
      <c r="AM135" s="573"/>
      <c r="AN135" s="573"/>
      <c r="AO135" s="573"/>
      <c r="AP135" s="573"/>
      <c r="AQ135" s="573"/>
      <c r="AR135" s="573"/>
      <c r="AS135" s="573"/>
      <c r="AT135" s="573"/>
      <c r="AU135" s="573"/>
      <c r="AV135" s="573"/>
      <c r="AW135" s="573"/>
      <c r="AX135" s="573"/>
      <c r="AY135" s="573"/>
      <c r="AZ135" s="573"/>
      <c r="BA135" s="573"/>
      <c r="BB135" s="573"/>
      <c r="BC135" s="573"/>
      <c r="BD135" s="579"/>
    </row>
    <row r="136" spans="2:56" s="65" customFormat="1" x14ac:dyDescent="0.3">
      <c r="B136" s="572" t="s">
        <v>454</v>
      </c>
      <c r="C136" s="145"/>
      <c r="D136" s="573"/>
      <c r="E136" s="573"/>
      <c r="F136" s="573"/>
      <c r="G136" s="573"/>
      <c r="H136" s="573"/>
      <c r="I136" s="573">
        <f t="shared" ref="I136:N136" si="163">I130/I$35</f>
        <v>-9.5077829196466124E-2</v>
      </c>
      <c r="J136" s="573">
        <f t="shared" si="163"/>
        <v>-9.4528788312804354E-2</v>
      </c>
      <c r="K136" s="573">
        <f t="shared" si="163"/>
        <v>-8.9196795843256127E-2</v>
      </c>
      <c r="L136" s="573">
        <f t="shared" si="163"/>
        <v>-8.2677165354330701E-2</v>
      </c>
      <c r="M136" s="573">
        <f t="shared" si="163"/>
        <v>-8.4756563854193223E-2</v>
      </c>
      <c r="N136" s="573">
        <f t="shared" si="163"/>
        <v>-8.8837478311162538E-2</v>
      </c>
      <c r="O136" s="580">
        <f t="shared" ref="O136:Q137" si="164">AVERAGE(L136:N136)</f>
        <v>-8.5423735839895487E-2</v>
      </c>
      <c r="P136" s="580">
        <f t="shared" si="164"/>
        <v>-8.6339259335083754E-2</v>
      </c>
      <c r="Q136" s="580">
        <f t="shared" si="164"/>
        <v>-8.6866824495380593E-2</v>
      </c>
      <c r="R136" s="580">
        <f t="shared" ref="R136:BD136" si="165">AVERAGE(O136:Q136)</f>
        <v>-8.6209939890119935E-2</v>
      </c>
      <c r="S136" s="580">
        <f t="shared" si="165"/>
        <v>-8.6472007906861423E-2</v>
      </c>
      <c r="T136" s="580">
        <f t="shared" si="165"/>
        <v>-8.6516257430787322E-2</v>
      </c>
      <c r="U136" s="580">
        <f t="shared" si="165"/>
        <v>-8.6399401742589574E-2</v>
      </c>
      <c r="V136" s="580">
        <f t="shared" si="165"/>
        <v>-8.6462555693412768E-2</v>
      </c>
      <c r="W136" s="580">
        <f t="shared" si="165"/>
        <v>-8.6459404955596564E-2</v>
      </c>
      <c r="X136" s="580">
        <f t="shared" si="165"/>
        <v>-8.6440454130532973E-2</v>
      </c>
      <c r="Y136" s="580">
        <f t="shared" si="165"/>
        <v>-8.6454138259847435E-2</v>
      </c>
      <c r="Z136" s="580">
        <f t="shared" si="165"/>
        <v>-8.6451332448658991E-2</v>
      </c>
      <c r="AA136" s="580">
        <f t="shared" si="165"/>
        <v>-8.6448641613013133E-2</v>
      </c>
      <c r="AB136" s="580">
        <f t="shared" si="165"/>
        <v>-8.6451370773839853E-2</v>
      </c>
      <c r="AC136" s="580">
        <f t="shared" si="165"/>
        <v>-8.6450448278503997E-2</v>
      </c>
      <c r="AD136" s="580">
        <f t="shared" si="165"/>
        <v>-8.6450153555118994E-2</v>
      </c>
      <c r="AE136" s="580">
        <f t="shared" si="165"/>
        <v>-8.6450657535820943E-2</v>
      </c>
      <c r="AF136" s="580">
        <f t="shared" si="165"/>
        <v>-8.6450419789814645E-2</v>
      </c>
      <c r="AG136" s="580">
        <f t="shared" si="165"/>
        <v>-8.6450410293584856E-2</v>
      </c>
      <c r="AH136" s="580">
        <f t="shared" si="165"/>
        <v>-8.6450495873073477E-2</v>
      </c>
      <c r="AI136" s="580">
        <f t="shared" si="165"/>
        <v>-8.6450441985490997E-2</v>
      </c>
      <c r="AJ136" s="580">
        <f t="shared" si="165"/>
        <v>-8.6450449384049777E-2</v>
      </c>
      <c r="AK136" s="580">
        <f t="shared" si="165"/>
        <v>-8.6450462414204746E-2</v>
      </c>
      <c r="AL136" s="580">
        <f t="shared" si="165"/>
        <v>-8.6450451261248507E-2</v>
      </c>
      <c r="AM136" s="580">
        <f t="shared" si="165"/>
        <v>-8.6450454353167672E-2</v>
      </c>
      <c r="AN136" s="580">
        <f t="shared" si="165"/>
        <v>-8.6450456009540308E-2</v>
      </c>
      <c r="AO136" s="580">
        <f t="shared" si="165"/>
        <v>-8.6450453874652167E-2</v>
      </c>
      <c r="AP136" s="580">
        <f t="shared" si="165"/>
        <v>-8.645045474578672E-2</v>
      </c>
      <c r="AQ136" s="580">
        <f t="shared" si="165"/>
        <v>-8.6450454876659741E-2</v>
      </c>
      <c r="AR136" s="580">
        <f t="shared" si="165"/>
        <v>-8.645045449903288E-2</v>
      </c>
      <c r="AS136" s="580">
        <f t="shared" si="165"/>
        <v>-8.6450454707159785E-2</v>
      </c>
      <c r="AT136" s="580">
        <f t="shared" si="165"/>
        <v>-8.645045469428414E-2</v>
      </c>
      <c r="AU136" s="580">
        <f t="shared" si="165"/>
        <v>-8.6450454633492269E-2</v>
      </c>
      <c r="AV136" s="580">
        <f t="shared" si="165"/>
        <v>-8.6450454678312069E-2</v>
      </c>
      <c r="AW136" s="580">
        <f t="shared" si="165"/>
        <v>-8.6450454668696164E-2</v>
      </c>
      <c r="AX136" s="580">
        <f t="shared" si="165"/>
        <v>-8.6450454660166834E-2</v>
      </c>
      <c r="AY136" s="580">
        <f t="shared" si="165"/>
        <v>-8.645045466905836E-2</v>
      </c>
      <c r="AZ136" s="580">
        <f t="shared" si="165"/>
        <v>-8.6450454665973786E-2</v>
      </c>
      <c r="BA136" s="580">
        <f t="shared" si="165"/>
        <v>-8.6450454665066331E-2</v>
      </c>
      <c r="BB136" s="580">
        <f t="shared" si="165"/>
        <v>-8.6450454666699497E-2</v>
      </c>
      <c r="BC136" s="580">
        <f t="shared" si="165"/>
        <v>-8.6450454665913209E-2</v>
      </c>
      <c r="BD136" s="581">
        <f t="shared" si="165"/>
        <v>-8.6450454665893017E-2</v>
      </c>
    </row>
    <row r="137" spans="2:56" s="65" customFormat="1" x14ac:dyDescent="0.3">
      <c r="B137" s="572" t="s">
        <v>455</v>
      </c>
      <c r="C137" s="145"/>
      <c r="D137" s="573"/>
      <c r="E137" s="573"/>
      <c r="F137" s="573"/>
      <c r="G137" s="573"/>
      <c r="H137" s="573"/>
      <c r="I137" s="573">
        <f t="shared" ref="I137:N137" si="166">I131/I$20</f>
        <v>-0.26648620197007289</v>
      </c>
      <c r="J137" s="573">
        <f t="shared" si="166"/>
        <v>-0.25138404757022759</v>
      </c>
      <c r="K137" s="573">
        <f t="shared" si="166"/>
        <v>-0.25206232813932167</v>
      </c>
      <c r="L137" s="573">
        <f t="shared" si="166"/>
        <v>-0.24332575972735021</v>
      </c>
      <c r="M137" s="573">
        <f t="shared" si="166"/>
        <v>-0.23147214943223812</v>
      </c>
      <c r="N137" s="573">
        <f t="shared" si="166"/>
        <v>-0.23904002181768594</v>
      </c>
      <c r="O137" s="580">
        <f t="shared" si="164"/>
        <v>-0.23794597699242473</v>
      </c>
      <c r="P137" s="580">
        <f t="shared" si="164"/>
        <v>-0.23615271608078292</v>
      </c>
      <c r="Q137" s="580">
        <f t="shared" si="164"/>
        <v>-0.23771290496363121</v>
      </c>
      <c r="R137" s="580">
        <f t="shared" ref="R137:BD137" si="167">AVERAGE(O137:Q137)</f>
        <v>-0.23727053267894627</v>
      </c>
      <c r="S137" s="580">
        <f t="shared" si="167"/>
        <v>-0.23704538457445345</v>
      </c>
      <c r="T137" s="580">
        <f t="shared" si="167"/>
        <v>-0.2373429407390103</v>
      </c>
      <c r="U137" s="580">
        <f t="shared" si="167"/>
        <v>-0.23721961933080335</v>
      </c>
      <c r="V137" s="580">
        <f t="shared" si="167"/>
        <v>-0.2372026482147557</v>
      </c>
      <c r="W137" s="580">
        <f t="shared" si="167"/>
        <v>-0.23725506942818977</v>
      </c>
      <c r="X137" s="580">
        <f t="shared" si="167"/>
        <v>-0.23722577899124961</v>
      </c>
      <c r="Y137" s="580">
        <f t="shared" si="167"/>
        <v>-0.23722783221139834</v>
      </c>
      <c r="Z137" s="580">
        <f t="shared" si="167"/>
        <v>-0.2372362268769459</v>
      </c>
      <c r="AA137" s="580">
        <f t="shared" si="167"/>
        <v>-0.23722994602653127</v>
      </c>
      <c r="AB137" s="580">
        <f t="shared" si="167"/>
        <v>-0.23723133503829183</v>
      </c>
      <c r="AC137" s="580">
        <f t="shared" si="167"/>
        <v>-0.23723250264725634</v>
      </c>
      <c r="AD137" s="580">
        <f t="shared" si="167"/>
        <v>-0.23723126123735983</v>
      </c>
      <c r="AE137" s="580">
        <f t="shared" si="167"/>
        <v>-0.23723169964096935</v>
      </c>
      <c r="AF137" s="580">
        <f t="shared" si="167"/>
        <v>-0.23723182117519517</v>
      </c>
      <c r="AG137" s="580">
        <f t="shared" si="167"/>
        <v>-0.23723159401784144</v>
      </c>
      <c r="AH137" s="580">
        <f t="shared" si="167"/>
        <v>-0.23723170494466864</v>
      </c>
      <c r="AI137" s="580">
        <f t="shared" si="167"/>
        <v>-0.23723170671256841</v>
      </c>
      <c r="AJ137" s="580">
        <f t="shared" si="167"/>
        <v>-0.2372316685583595</v>
      </c>
      <c r="AK137" s="580">
        <f t="shared" si="167"/>
        <v>-0.23723169340519887</v>
      </c>
      <c r="AL137" s="580">
        <f t="shared" si="167"/>
        <v>-0.23723168955870891</v>
      </c>
      <c r="AM137" s="580">
        <f t="shared" si="167"/>
        <v>-0.23723168384075577</v>
      </c>
      <c r="AN137" s="580">
        <f t="shared" si="167"/>
        <v>-0.23723168893488786</v>
      </c>
      <c r="AO137" s="580">
        <f t="shared" si="167"/>
        <v>-0.23723168744478418</v>
      </c>
      <c r="AP137" s="580">
        <f t="shared" si="167"/>
        <v>-0.23723168674014261</v>
      </c>
      <c r="AQ137" s="580">
        <f t="shared" si="167"/>
        <v>-0.23723168770660488</v>
      </c>
      <c r="AR137" s="580">
        <f t="shared" si="167"/>
        <v>-0.23723168729717722</v>
      </c>
      <c r="AS137" s="580">
        <f t="shared" si="167"/>
        <v>-0.23723168724797492</v>
      </c>
      <c r="AT137" s="580">
        <f t="shared" si="167"/>
        <v>-0.23723168741725234</v>
      </c>
      <c r="AU137" s="580">
        <f t="shared" si="167"/>
        <v>-0.23723168732080149</v>
      </c>
      <c r="AV137" s="580">
        <f t="shared" si="167"/>
        <v>-0.23723168732867625</v>
      </c>
      <c r="AW137" s="580">
        <f t="shared" si="167"/>
        <v>-0.23723168735557668</v>
      </c>
      <c r="AX137" s="580">
        <f t="shared" si="167"/>
        <v>-0.23723168733501812</v>
      </c>
      <c r="AY137" s="580">
        <f t="shared" si="167"/>
        <v>-0.237231687339757</v>
      </c>
      <c r="AZ137" s="580">
        <f t="shared" si="167"/>
        <v>-0.2372316873434506</v>
      </c>
      <c r="BA137" s="580">
        <f t="shared" si="167"/>
        <v>-0.23723168733940858</v>
      </c>
      <c r="BB137" s="580">
        <f t="shared" si="167"/>
        <v>-0.23723168734087205</v>
      </c>
      <c r="BC137" s="580">
        <f t="shared" si="167"/>
        <v>-0.23723168734124375</v>
      </c>
      <c r="BD137" s="581">
        <f t="shared" si="167"/>
        <v>-0.23723168734050815</v>
      </c>
    </row>
    <row r="138" spans="2:56" s="65" customFormat="1" x14ac:dyDescent="0.3">
      <c r="B138" s="577" t="s">
        <v>463</v>
      </c>
      <c r="C138" s="145"/>
      <c r="D138" s="573"/>
      <c r="E138" s="573"/>
      <c r="F138" s="573"/>
      <c r="G138" s="573"/>
      <c r="H138" s="573"/>
      <c r="I138" s="573">
        <f t="shared" ref="I138:N138" si="168">I132/I$28</f>
        <v>-0.62419354838709684</v>
      </c>
      <c r="J138" s="573">
        <f t="shared" si="168"/>
        <v>-0.56905687036382901</v>
      </c>
      <c r="K138" s="573">
        <f t="shared" si="168"/>
        <v>-0.56179351921627729</v>
      </c>
      <c r="L138" s="573">
        <f t="shared" si="168"/>
        <v>-0.56207854026180082</v>
      </c>
      <c r="M138" s="573">
        <f t="shared" si="168"/>
        <v>-0.50395569620253167</v>
      </c>
      <c r="N138" s="573">
        <f t="shared" si="168"/>
        <v>-0.50808936825885964</v>
      </c>
      <c r="O138" s="633">
        <f>AVERAGE(L138:N138,SGPS_SGA_Varej)</f>
        <v>-0.49853090118079801</v>
      </c>
      <c r="P138" s="633">
        <f>AVERAGE(M138:O138,SGPS_SGA_Varej)</f>
        <v>-0.48264399141054737</v>
      </c>
      <c r="Q138" s="633">
        <f>AVERAGE(N138:P138,SGPS_SGA_Varej)</f>
        <v>-0.47731606521255121</v>
      </c>
      <c r="R138" s="633">
        <f t="shared" ref="R138:BD138" si="169">AVERAGE(O138:Q138,SGPS_SGA_Varej)</f>
        <v>-0.4696227394509741</v>
      </c>
      <c r="S138" s="633">
        <f t="shared" si="169"/>
        <v>-0.46239569901851818</v>
      </c>
      <c r="T138" s="633">
        <f t="shared" si="169"/>
        <v>-0.45733362592051086</v>
      </c>
      <c r="U138" s="633">
        <f t="shared" si="169"/>
        <v>-0.45233801609750079</v>
      </c>
      <c r="V138" s="633">
        <f t="shared" si="169"/>
        <v>-0.44801683525913244</v>
      </c>
      <c r="W138" s="633">
        <f t="shared" si="169"/>
        <v>-0.44442211931928599</v>
      </c>
      <c r="X138" s="633">
        <f t="shared" si="169"/>
        <v>-0.44119424266897977</v>
      </c>
      <c r="Y138" s="633">
        <f t="shared" si="169"/>
        <v>-0.43840829931184955</v>
      </c>
      <c r="Z138" s="633">
        <f t="shared" si="169"/>
        <v>-0.43600616532502878</v>
      </c>
      <c r="AA138" s="633">
        <f t="shared" si="169"/>
        <v>-0.43390217682646448</v>
      </c>
      <c r="AB138" s="633">
        <f t="shared" si="169"/>
        <v>-0.43207916036583571</v>
      </c>
      <c r="AC138" s="633">
        <f t="shared" si="169"/>
        <v>-0.43049687562933225</v>
      </c>
      <c r="AD138" s="633">
        <f t="shared" si="169"/>
        <v>-0.42911955320540807</v>
      </c>
      <c r="AE138" s="633">
        <f t="shared" si="169"/>
        <v>-0.42792389730014402</v>
      </c>
      <c r="AF138" s="633">
        <f t="shared" si="169"/>
        <v>-0.42688508153372107</v>
      </c>
      <c r="AG138" s="633">
        <f t="shared" si="169"/>
        <v>-0.42598213300981824</v>
      </c>
      <c r="AH138" s="633">
        <f t="shared" si="169"/>
        <v>-0.42519777796092084</v>
      </c>
      <c r="AI138" s="633">
        <f t="shared" si="169"/>
        <v>-0.42451624812611499</v>
      </c>
      <c r="AJ138" s="633">
        <f t="shared" si="169"/>
        <v>-0.4239240397742135</v>
      </c>
      <c r="AK138" s="633">
        <f t="shared" si="169"/>
        <v>-0.42340951646531233</v>
      </c>
      <c r="AL138" s="633">
        <f t="shared" si="169"/>
        <v>-0.42296245109141017</v>
      </c>
      <c r="AM138" s="633">
        <f t="shared" si="169"/>
        <v>-0.42257400183273397</v>
      </c>
      <c r="AN138" s="633">
        <f t="shared" si="169"/>
        <v>-0.4222364923473641</v>
      </c>
      <c r="AO138" s="633">
        <f t="shared" si="169"/>
        <v>-0.42194323631787706</v>
      </c>
      <c r="AP138" s="633">
        <f t="shared" si="169"/>
        <v>-0.42168843262449374</v>
      </c>
      <c r="AQ138" s="633">
        <f t="shared" si="169"/>
        <v>-0.42146704032243371</v>
      </c>
      <c r="AR138" s="633">
        <f t="shared" si="169"/>
        <v>-0.42127467731620111</v>
      </c>
      <c r="AS138" s="633">
        <f t="shared" si="169"/>
        <v>-0.42110753756578212</v>
      </c>
      <c r="AT138" s="633">
        <f t="shared" si="169"/>
        <v>-0.42096231380110422</v>
      </c>
      <c r="AU138" s="633">
        <f t="shared" si="169"/>
        <v>-0.42083613217077187</v>
      </c>
      <c r="AV138" s="633">
        <f t="shared" si="169"/>
        <v>-0.42072649588441452</v>
      </c>
      <c r="AW138" s="633">
        <f t="shared" si="169"/>
        <v>-0.42063123546407266</v>
      </c>
      <c r="AX138" s="633">
        <f t="shared" si="169"/>
        <v>-0.42054846587981476</v>
      </c>
      <c r="AY138" s="633">
        <f t="shared" si="169"/>
        <v>-0.42047654930707545</v>
      </c>
      <c r="AZ138" s="633">
        <f t="shared" si="169"/>
        <v>-0.42041406266274073</v>
      </c>
      <c r="BA138" s="633">
        <f t="shared" si="169"/>
        <v>-0.42035976946240772</v>
      </c>
      <c r="BB138" s="633">
        <f t="shared" si="169"/>
        <v>-0.42031259535805598</v>
      </c>
      <c r="BC138" s="633">
        <f t="shared" si="169"/>
        <v>-0.42027160687080112</v>
      </c>
      <c r="BD138" s="633">
        <f t="shared" si="169"/>
        <v>-0.42023599292281621</v>
      </c>
    </row>
    <row r="139" spans="2:56" s="65" customFormat="1" x14ac:dyDescent="0.3">
      <c r="B139" s="577" t="s">
        <v>464</v>
      </c>
      <c r="C139" s="145"/>
      <c r="D139" s="573"/>
      <c r="E139" s="573"/>
      <c r="F139" s="573"/>
      <c r="G139" s="573"/>
      <c r="H139" s="573"/>
      <c r="I139" s="573">
        <f t="shared" ref="I139:N139" si="170">I133/I$22</f>
        <v>-0.18449024863665772</v>
      </c>
      <c r="J139" s="573">
        <f t="shared" si="170"/>
        <v>-0.17516949152542372</v>
      </c>
      <c r="K139" s="573">
        <f t="shared" si="170"/>
        <v>-0.18076155781073813</v>
      </c>
      <c r="L139" s="573">
        <f t="shared" si="170"/>
        <v>-0.17383032085099023</v>
      </c>
      <c r="M139" s="573">
        <f t="shared" si="170"/>
        <v>-0.17571833265884257</v>
      </c>
      <c r="N139" s="573">
        <f t="shared" si="170"/>
        <v>-0.18117802998923038</v>
      </c>
      <c r="O139" s="633">
        <f>AVERAGE(L139:N139,SGPS_SGA_Atac)</f>
        <v>-0.17768167087476577</v>
      </c>
      <c r="P139" s="633">
        <f>AVERAGE(M139:O139,SGPS_SGA_Atac)</f>
        <v>-0.17864450838070967</v>
      </c>
      <c r="Q139" s="633">
        <f>AVERAGE(N139:P139,SGPS_SGA_Atac)</f>
        <v>-0.17937605231117643</v>
      </c>
      <c r="R139" s="633">
        <f t="shared" ref="R139:BD139" si="171">AVERAGE(O139:Q139,SGPS_SGA_Atac)</f>
        <v>-0.17892555789166298</v>
      </c>
      <c r="S139" s="633">
        <f t="shared" si="171"/>
        <v>-0.17923652964588727</v>
      </c>
      <c r="T139" s="633">
        <f t="shared" si="171"/>
        <v>-0.17938453496218165</v>
      </c>
      <c r="U139" s="633">
        <f t="shared" si="171"/>
        <v>-0.17938665562493294</v>
      </c>
      <c r="V139" s="633">
        <f t="shared" si="171"/>
        <v>-0.17950193005825044</v>
      </c>
      <c r="W139" s="633">
        <f t="shared" si="171"/>
        <v>-0.17956828016134124</v>
      </c>
      <c r="X139" s="633">
        <f t="shared" si="171"/>
        <v>-0.17961421646113113</v>
      </c>
      <c r="Y139" s="633">
        <f t="shared" si="171"/>
        <v>-0.17967110667018071</v>
      </c>
      <c r="Z139" s="633">
        <f t="shared" si="171"/>
        <v>-0.17971340082316328</v>
      </c>
      <c r="AA139" s="633">
        <f t="shared" si="171"/>
        <v>-0.17974968098861877</v>
      </c>
      <c r="AB139" s="633">
        <f t="shared" si="171"/>
        <v>-0.17978354712049066</v>
      </c>
      <c r="AC139" s="633">
        <f t="shared" si="171"/>
        <v>-0.17981165723306819</v>
      </c>
      <c r="AD139" s="633">
        <f t="shared" si="171"/>
        <v>-0.17983622133554439</v>
      </c>
      <c r="AE139" s="633">
        <f t="shared" si="171"/>
        <v>-0.17985785642227581</v>
      </c>
      <c r="AF139" s="633">
        <f t="shared" si="171"/>
        <v>-0.17987643374772211</v>
      </c>
      <c r="AG139" s="633">
        <f t="shared" si="171"/>
        <v>-0.17989262787638555</v>
      </c>
      <c r="AH139" s="633">
        <f t="shared" si="171"/>
        <v>-0.17990672951159586</v>
      </c>
      <c r="AI139" s="633">
        <f t="shared" si="171"/>
        <v>-0.17991894778392586</v>
      </c>
      <c r="AJ139" s="633">
        <f t="shared" si="171"/>
        <v>-0.17992957629297679</v>
      </c>
      <c r="AK139" s="633">
        <f t="shared" si="171"/>
        <v>-0.17993881339712464</v>
      </c>
      <c r="AL139" s="633">
        <f t="shared" si="171"/>
        <v>-0.17994683436850684</v>
      </c>
      <c r="AM139" s="633">
        <f t="shared" si="171"/>
        <v>-0.17995380601465205</v>
      </c>
      <c r="AN139" s="633">
        <f t="shared" si="171"/>
        <v>-0.17995986344507087</v>
      </c>
      <c r="AO139" s="633">
        <f t="shared" si="171"/>
        <v>-0.17996512595705744</v>
      </c>
      <c r="AP139" s="633">
        <f t="shared" si="171"/>
        <v>-0.17996969885419506</v>
      </c>
      <c r="AQ139" s="633">
        <f t="shared" si="171"/>
        <v>-0.17997367206408083</v>
      </c>
      <c r="AR139" s="633">
        <f t="shared" si="171"/>
        <v>-0.17997712421883333</v>
      </c>
      <c r="AS139" s="633">
        <f t="shared" si="171"/>
        <v>-0.1799801237842773</v>
      </c>
      <c r="AT139" s="633">
        <f t="shared" si="171"/>
        <v>-0.17998273001679788</v>
      </c>
      <c r="AU139" s="633">
        <f t="shared" si="171"/>
        <v>-0.17998499450497712</v>
      </c>
      <c r="AV139" s="633">
        <f t="shared" si="171"/>
        <v>-0.17998696207651305</v>
      </c>
      <c r="AW139" s="633">
        <f t="shared" si="171"/>
        <v>-0.179988671649572</v>
      </c>
      <c r="AX139" s="633">
        <f t="shared" si="171"/>
        <v>-0.17999015705776555</v>
      </c>
      <c r="AY139" s="633">
        <f t="shared" si="171"/>
        <v>-0.17999144769596265</v>
      </c>
      <c r="AZ139" s="633">
        <f t="shared" si="171"/>
        <v>-0.17999256910082506</v>
      </c>
      <c r="BA139" s="633">
        <f t="shared" si="171"/>
        <v>-0.17999354346363833</v>
      </c>
      <c r="BB139" s="633">
        <f t="shared" si="171"/>
        <v>-0.17999439006510648</v>
      </c>
      <c r="BC139" s="633">
        <f t="shared" si="171"/>
        <v>-0.17999512565739245</v>
      </c>
      <c r="BD139" s="633">
        <f t="shared" si="171"/>
        <v>-0.17999576479653429</v>
      </c>
    </row>
    <row r="140" spans="2:56" s="65" customFormat="1" x14ac:dyDescent="0.3">
      <c r="B140" s="582" t="s">
        <v>467</v>
      </c>
      <c r="C140" s="583"/>
      <c r="D140" s="584"/>
      <c r="E140" s="584"/>
      <c r="F140" s="584"/>
      <c r="G140" s="584"/>
      <c r="H140" s="584"/>
      <c r="I140" s="584">
        <f t="shared" ref="I140:N140" si="172">I134/I$17</f>
        <v>-1.6642192853646596E-3</v>
      </c>
      <c r="J140" s="584">
        <f t="shared" si="172"/>
        <v>-1.7208413001912047E-3</v>
      </c>
      <c r="K140" s="584">
        <f t="shared" si="172"/>
        <v>-1.587935221064843E-3</v>
      </c>
      <c r="L140" s="584">
        <f t="shared" si="172"/>
        <v>-1.5575845497996556E-3</v>
      </c>
      <c r="M140" s="584">
        <f t="shared" si="172"/>
        <v>-1.9557055435155853E-3</v>
      </c>
      <c r="N140" s="584">
        <f t="shared" si="172"/>
        <v>2.0263208885307242E-4</v>
      </c>
      <c r="O140" s="585">
        <f>AVERAGE(L140:N140)</f>
        <v>-1.103552668154056E-3</v>
      </c>
      <c r="P140" s="585">
        <f>AVERAGE(M140:O140)</f>
        <v>-9.5220870760552286E-4</v>
      </c>
      <c r="Q140" s="585">
        <f>AVERAGE(N140:P140)</f>
        <v>-6.177097623021689E-4</v>
      </c>
      <c r="R140" s="585">
        <f t="shared" ref="R140:BD140" si="173">AVERAGE(O140:Q140)</f>
        <v>-8.911570460205827E-4</v>
      </c>
      <c r="S140" s="585">
        <f t="shared" si="173"/>
        <v>-8.2035850530942482E-4</v>
      </c>
      <c r="T140" s="585">
        <f t="shared" si="173"/>
        <v>-7.7640843787739214E-4</v>
      </c>
      <c r="U140" s="585">
        <f t="shared" si="173"/>
        <v>-8.2930799640246655E-4</v>
      </c>
      <c r="V140" s="585">
        <f t="shared" si="173"/>
        <v>-8.086916465297611E-4</v>
      </c>
      <c r="W140" s="585">
        <f t="shared" si="173"/>
        <v>-8.0480269360320652E-4</v>
      </c>
      <c r="X140" s="585">
        <f t="shared" si="173"/>
        <v>-8.1426744551181139E-4</v>
      </c>
      <c r="Y140" s="585">
        <f t="shared" si="173"/>
        <v>-8.0925392854825967E-4</v>
      </c>
      <c r="Z140" s="585">
        <f t="shared" si="173"/>
        <v>-8.0944135588775919E-4</v>
      </c>
      <c r="AA140" s="585">
        <f t="shared" si="173"/>
        <v>-8.1098757664927682E-4</v>
      </c>
      <c r="AB140" s="585">
        <f t="shared" si="173"/>
        <v>-8.0989428702843197E-4</v>
      </c>
      <c r="AC140" s="585">
        <f t="shared" si="173"/>
        <v>-8.10107739855156E-4</v>
      </c>
      <c r="AD140" s="585">
        <f t="shared" si="173"/>
        <v>-8.1032986784428834E-4</v>
      </c>
      <c r="AE140" s="585">
        <f t="shared" si="173"/>
        <v>-8.101106315759588E-4</v>
      </c>
      <c r="AF140" s="585">
        <f t="shared" si="173"/>
        <v>-8.1018274642513438E-4</v>
      </c>
      <c r="AG140" s="585">
        <f t="shared" si="173"/>
        <v>-8.1020774861512721E-4</v>
      </c>
      <c r="AH140" s="585">
        <f t="shared" si="173"/>
        <v>-8.101670422054068E-4</v>
      </c>
      <c r="AI140" s="585">
        <f t="shared" si="173"/>
        <v>-8.1018584574855609E-4</v>
      </c>
      <c r="AJ140" s="585">
        <f t="shared" si="173"/>
        <v>-8.1018687885636329E-4</v>
      </c>
      <c r="AK140" s="585">
        <f t="shared" si="173"/>
        <v>-8.1017992227010865E-4</v>
      </c>
      <c r="AL140" s="585">
        <f t="shared" si="173"/>
        <v>-8.1018421562500942E-4</v>
      </c>
      <c r="AM140" s="585">
        <f t="shared" si="173"/>
        <v>-8.1018367225049379E-4</v>
      </c>
      <c r="AN140" s="585">
        <f t="shared" si="173"/>
        <v>-8.1018260338187062E-4</v>
      </c>
      <c r="AO140" s="585">
        <f t="shared" si="173"/>
        <v>-8.1018349708579128E-4</v>
      </c>
      <c r="AP140" s="585">
        <f t="shared" si="173"/>
        <v>-8.101832575727186E-4</v>
      </c>
      <c r="AQ140" s="585">
        <f t="shared" si="173"/>
        <v>-8.1018311934679353E-4</v>
      </c>
      <c r="AR140" s="585">
        <f t="shared" si="173"/>
        <v>-8.1018329133510124E-4</v>
      </c>
      <c r="AS140" s="585">
        <f t="shared" si="173"/>
        <v>-8.1018322275153772E-4</v>
      </c>
      <c r="AT140" s="585">
        <f t="shared" si="173"/>
        <v>-8.1018321114447757E-4</v>
      </c>
      <c r="AU140" s="585">
        <f t="shared" si="173"/>
        <v>-8.1018324174370558E-4</v>
      </c>
      <c r="AV140" s="585">
        <f t="shared" si="173"/>
        <v>-8.1018322521324033E-4</v>
      </c>
      <c r="AW140" s="585">
        <f t="shared" si="173"/>
        <v>-8.101832260338079E-4</v>
      </c>
      <c r="AX140" s="585">
        <f t="shared" si="173"/>
        <v>-8.1018323099691801E-4</v>
      </c>
      <c r="AY140" s="585">
        <f t="shared" si="173"/>
        <v>-8.1018322741465549E-4</v>
      </c>
      <c r="AZ140" s="585">
        <f t="shared" si="173"/>
        <v>-8.1018322814846054E-4</v>
      </c>
      <c r="BA140" s="585">
        <f t="shared" si="173"/>
        <v>-8.1018322885334471E-4</v>
      </c>
      <c r="BB140" s="585">
        <f t="shared" si="173"/>
        <v>-8.1018322813882025E-4</v>
      </c>
      <c r="BC140" s="585">
        <f t="shared" si="173"/>
        <v>-8.1018322838020843E-4</v>
      </c>
      <c r="BD140" s="586">
        <f t="shared" si="173"/>
        <v>-8.1018322845745772E-4</v>
      </c>
    </row>
    <row r="141" spans="2:56" s="65" customFormat="1" x14ac:dyDescent="0.3">
      <c r="B141" s="460"/>
      <c r="C141" s="145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78"/>
      <c r="BA141" s="78"/>
      <c r="BB141" s="78"/>
      <c r="BC141" s="78"/>
      <c r="BD141" s="78"/>
    </row>
    <row r="142" spans="2:56" s="506" customFormat="1" x14ac:dyDescent="0.3">
      <c r="B142" s="567" t="s">
        <v>23</v>
      </c>
      <c r="C142" s="568"/>
      <c r="D142" s="569"/>
      <c r="E142" s="569"/>
      <c r="F142" s="569"/>
      <c r="G142" s="570">
        <f>BD!G22+BD!G22</f>
        <v>-0.4</v>
      </c>
      <c r="H142" s="570">
        <f>BD!H22+BD!H22</f>
        <v>132</v>
      </c>
      <c r="I142" s="570">
        <f>BD!I278</f>
        <v>7.4</v>
      </c>
      <c r="J142" s="570">
        <f>BD!J278</f>
        <v>-8.6</v>
      </c>
      <c r="K142" s="570">
        <f>BD!K278</f>
        <v>-12.1</v>
      </c>
      <c r="L142" s="570">
        <f>BD!L278</f>
        <v>-4.9000000000000004</v>
      </c>
      <c r="M142" s="570">
        <f>BD!M278</f>
        <v>18.600000000000001</v>
      </c>
      <c r="N142" s="570">
        <f>BD!N278</f>
        <v>19.303000000000001</v>
      </c>
      <c r="O142" s="561">
        <f t="shared" ref="O142:BD142" si="174">O143+O144+O147</f>
        <v>27.510877659638485</v>
      </c>
      <c r="P142" s="561">
        <f t="shared" si="174"/>
        <v>29.492236567437317</v>
      </c>
      <c r="Q142" s="561">
        <f t="shared" si="174"/>
        <v>29.531655056839202</v>
      </c>
      <c r="R142" s="561">
        <f t="shared" si="174"/>
        <v>30.191750396114781</v>
      </c>
      <c r="S142" s="561">
        <f t="shared" si="174"/>
        <v>31.226522469435629</v>
      </c>
      <c r="T142" s="561">
        <f t="shared" si="174"/>
        <v>31.836696696834267</v>
      </c>
      <c r="U142" s="561">
        <f t="shared" si="174"/>
        <v>32.631223371535796</v>
      </c>
      <c r="V142" s="561">
        <f t="shared" si="174"/>
        <v>33.493006302895317</v>
      </c>
      <c r="W142" s="561">
        <f t="shared" si="174"/>
        <v>34.285813742628889</v>
      </c>
      <c r="X142" s="561">
        <f t="shared" si="174"/>
        <v>35.140867726844398</v>
      </c>
      <c r="Y142" s="561">
        <f t="shared" si="174"/>
        <v>36.021114848026166</v>
      </c>
      <c r="Z142" s="561">
        <f t="shared" si="174"/>
        <v>36.905465893426673</v>
      </c>
      <c r="AA142" s="561">
        <f t="shared" si="174"/>
        <v>37.513265516579267</v>
      </c>
      <c r="AB142" s="561">
        <f t="shared" si="174"/>
        <v>38.12001096197433</v>
      </c>
      <c r="AC142" s="561">
        <f t="shared" si="174"/>
        <v>38.74270087722109</v>
      </c>
      <c r="AD142" s="561">
        <f t="shared" si="174"/>
        <v>39.387430202882229</v>
      </c>
      <c r="AE142" s="561">
        <f t="shared" si="174"/>
        <v>40.052058475872144</v>
      </c>
      <c r="AF142" s="561">
        <f t="shared" si="174"/>
        <v>40.736803297150907</v>
      </c>
      <c r="AG142" s="561">
        <f t="shared" si="174"/>
        <v>41.443301919340144</v>
      </c>
      <c r="AH142" s="561">
        <f t="shared" si="174"/>
        <v>42.171424368837627</v>
      </c>
      <c r="AI142" s="561">
        <f t="shared" si="174"/>
        <v>42.92171072783691</v>
      </c>
      <c r="AJ142" s="561">
        <f t="shared" si="174"/>
        <v>43.694909569262528</v>
      </c>
      <c r="AK142" s="561">
        <f t="shared" si="174"/>
        <v>44.491401621416067</v>
      </c>
      <c r="AL142" s="561">
        <f t="shared" si="174"/>
        <v>45.311747547883961</v>
      </c>
      <c r="AM142" s="561">
        <f t="shared" si="174"/>
        <v>46.156531335167266</v>
      </c>
      <c r="AN142" s="561">
        <f t="shared" si="174"/>
        <v>47.026263842305248</v>
      </c>
      <c r="AO142" s="561">
        <f t="shared" si="174"/>
        <v>47.921501999042277</v>
      </c>
      <c r="AP142" s="561">
        <f t="shared" si="174"/>
        <v>48.842801926847699</v>
      </c>
      <c r="AQ142" s="561">
        <f t="shared" si="174"/>
        <v>49.790704282195605</v>
      </c>
      <c r="AR142" s="561">
        <f t="shared" si="174"/>
        <v>50.76575825607771</v>
      </c>
      <c r="AS142" s="561">
        <f t="shared" si="174"/>
        <v>51.768507534741083</v>
      </c>
      <c r="AT142" s="561">
        <f t="shared" si="174"/>
        <v>52.774556226120822</v>
      </c>
      <c r="AU142" s="561">
        <f t="shared" si="174"/>
        <v>53.266893190139974</v>
      </c>
      <c r="AV142" s="561">
        <f t="shared" si="174"/>
        <v>53.786785715991023</v>
      </c>
      <c r="AW142" s="561">
        <f t="shared" si="174"/>
        <v>54.335228089958939</v>
      </c>
      <c r="AX142" s="561">
        <f t="shared" si="174"/>
        <v>54.913256533095691</v>
      </c>
      <c r="AY142" s="561">
        <f t="shared" si="174"/>
        <v>55.521950202979596</v>
      </c>
      <c r="AZ142" s="561">
        <f t="shared" si="174"/>
        <v>56.162433164686995</v>
      </c>
      <c r="BA142" s="561">
        <f t="shared" si="174"/>
        <v>56.835876494299313</v>
      </c>
      <c r="BB142" s="561">
        <f t="shared" si="174"/>
        <v>57.543500097328838</v>
      </c>
      <c r="BC142" s="561">
        <f t="shared" si="174"/>
        <v>58.286574845982294</v>
      </c>
      <c r="BD142" s="587">
        <f t="shared" si="174"/>
        <v>59.066424787075704</v>
      </c>
    </row>
    <row r="143" spans="2:56" s="65" customFormat="1" x14ac:dyDescent="0.3">
      <c r="B143" s="572" t="s">
        <v>454</v>
      </c>
      <c r="C143" s="145"/>
      <c r="D143" s="573"/>
      <c r="E143" s="573"/>
      <c r="F143" s="573"/>
      <c r="G143" s="574"/>
      <c r="H143" s="574"/>
      <c r="I143" s="574">
        <f>BD!I279</f>
        <v>7</v>
      </c>
      <c r="J143" s="574">
        <f>BD!J279</f>
        <v>-5.5</v>
      </c>
      <c r="K143" s="574">
        <f>BD!K279</f>
        <v>-13.6</v>
      </c>
      <c r="L143" s="574">
        <f>BD!L279</f>
        <v>3.5</v>
      </c>
      <c r="M143" s="574">
        <f>BD!M279</f>
        <v>11</v>
      </c>
      <c r="N143" s="574">
        <f>BD!N279</f>
        <v>2.9999999999999996</v>
      </c>
      <c r="O143" s="553">
        <f t="shared" ref="O143:BD143" si="175">O149*O$35</f>
        <v>6.237135643201845</v>
      </c>
      <c r="P143" s="553">
        <f t="shared" si="175"/>
        <v>7.4262374049611566</v>
      </c>
      <c r="Q143" s="553">
        <f t="shared" si="175"/>
        <v>5.7984852834080396</v>
      </c>
      <c r="R143" s="553">
        <f t="shared" si="175"/>
        <v>6.8207836633659875</v>
      </c>
      <c r="S143" s="553">
        <f t="shared" si="175"/>
        <v>7.0268607654192348</v>
      </c>
      <c r="T143" s="553">
        <f t="shared" si="175"/>
        <v>6.8709841872603956</v>
      </c>
      <c r="U143" s="553">
        <f t="shared" si="175"/>
        <v>7.2568641219474896</v>
      </c>
      <c r="V143" s="553">
        <f t="shared" si="175"/>
        <v>7.4080913227323064</v>
      </c>
      <c r="W143" s="553">
        <f t="shared" si="175"/>
        <v>7.5389449765685512</v>
      </c>
      <c r="X143" s="553">
        <f t="shared" si="175"/>
        <v>7.7751311622508332</v>
      </c>
      <c r="Y143" s="553">
        <f t="shared" si="175"/>
        <v>7.9559392006362355</v>
      </c>
      <c r="Z143" s="553">
        <f t="shared" si="175"/>
        <v>8.1474013418831444</v>
      </c>
      <c r="AA143" s="553">
        <f t="shared" si="175"/>
        <v>8.360920284957313</v>
      </c>
      <c r="AB143" s="553">
        <f t="shared" si="175"/>
        <v>8.5658277217107912</v>
      </c>
      <c r="AC143" s="553">
        <f t="shared" si="175"/>
        <v>8.7793418041077373</v>
      </c>
      <c r="AD143" s="553">
        <f t="shared" si="175"/>
        <v>9.000698256858561</v>
      </c>
      <c r="AE143" s="553">
        <f t="shared" si="175"/>
        <v>9.2246570883653902</v>
      </c>
      <c r="AF143" s="553">
        <f t="shared" si="175"/>
        <v>9.4553410014002512</v>
      </c>
      <c r="AG143" s="553">
        <f t="shared" si="175"/>
        <v>9.6920491503879873</v>
      </c>
      <c r="AH143" s="553">
        <f t="shared" si="175"/>
        <v>9.9341049186814345</v>
      </c>
      <c r="AI143" s="553">
        <f t="shared" si="175"/>
        <v>10.182511586953629</v>
      </c>
      <c r="AJ143" s="553">
        <f t="shared" si="175"/>
        <v>10.437123407969729</v>
      </c>
      <c r="AK143" s="553">
        <f t="shared" si="175"/>
        <v>10.697999061302184</v>
      </c>
      <c r="AL143" s="553">
        <f t="shared" si="175"/>
        <v>10.965467695092389</v>
      </c>
      <c r="AM143" s="553">
        <f t="shared" si="175"/>
        <v>11.239610000420317</v>
      </c>
      <c r="AN143" s="553">
        <f t="shared" si="175"/>
        <v>11.520589880987462</v>
      </c>
      <c r="AO143" s="553">
        <f t="shared" si="175"/>
        <v>11.808609748096364</v>
      </c>
      <c r="AP143" s="553">
        <f t="shared" si="175"/>
        <v>12.103825124540037</v>
      </c>
      <c r="AQ143" s="553">
        <f t="shared" si="175"/>
        <v>12.406418868850848</v>
      </c>
      <c r="AR143" s="553">
        <f t="shared" si="175"/>
        <v>12.716580581350192</v>
      </c>
      <c r="AS143" s="553">
        <f t="shared" si="175"/>
        <v>13.034494907742328</v>
      </c>
      <c r="AT143" s="553">
        <f t="shared" si="175"/>
        <v>13.360356974468504</v>
      </c>
      <c r="AU143" s="553">
        <f t="shared" si="175"/>
        <v>13.69436617379669</v>
      </c>
      <c r="AV143" s="553">
        <f t="shared" si="175"/>
        <v>14.036725247400176</v>
      </c>
      <c r="AW143" s="553">
        <f t="shared" si="175"/>
        <v>14.387643337462938</v>
      </c>
      <c r="AX143" s="553">
        <f t="shared" si="175"/>
        <v>14.747334477276031</v>
      </c>
      <c r="AY143" s="553">
        <f t="shared" si="175"/>
        <v>15.116017815085325</v>
      </c>
      <c r="AZ143" s="553">
        <f t="shared" si="175"/>
        <v>15.493918257202708</v>
      </c>
      <c r="BA143" s="553">
        <f t="shared" si="175"/>
        <v>15.881266224308206</v>
      </c>
      <c r="BB143" s="553">
        <f t="shared" si="175"/>
        <v>16.278297873762622</v>
      </c>
      <c r="BC143" s="553">
        <f t="shared" si="175"/>
        <v>16.685255321072805</v>
      </c>
      <c r="BD143" s="575">
        <f t="shared" si="175"/>
        <v>17.102386705936041</v>
      </c>
    </row>
    <row r="144" spans="2:56" s="65" customFormat="1" x14ac:dyDescent="0.3">
      <c r="B144" s="572" t="s">
        <v>455</v>
      </c>
      <c r="C144" s="145"/>
      <c r="D144" s="573"/>
      <c r="E144" s="573"/>
      <c r="F144" s="573"/>
      <c r="G144" s="574"/>
      <c r="H144" s="574"/>
      <c r="I144" s="574">
        <f>BD!I280</f>
        <v>0.39999999999999991</v>
      </c>
      <c r="J144" s="574">
        <f>BD!J280</f>
        <v>-3.0999999999999996</v>
      </c>
      <c r="K144" s="574">
        <f>BD!K280</f>
        <v>1.5</v>
      </c>
      <c r="L144" s="574">
        <f>BD!L280</f>
        <v>-8.4</v>
      </c>
      <c r="M144" s="574">
        <f>BD!M280</f>
        <v>7.6</v>
      </c>
      <c r="N144" s="574">
        <f>BD!N280</f>
        <v>17.700000000000003</v>
      </c>
      <c r="O144" s="554">
        <f>O145+O146</f>
        <v>21.770666621808747</v>
      </c>
      <c r="P144" s="554">
        <f t="shared" ref="P144:BD144" si="176">P145+P146</f>
        <v>22.760008713518882</v>
      </c>
      <c r="Q144" s="554">
        <f t="shared" si="176"/>
        <v>24.709649714513802</v>
      </c>
      <c r="R144" s="554">
        <f t="shared" si="176"/>
        <v>24.165706649812975</v>
      </c>
      <c r="S144" s="554">
        <f t="shared" si="176"/>
        <v>25.11429861784779</v>
      </c>
      <c r="T144" s="554">
        <f t="shared" si="176"/>
        <v>25.966814573701082</v>
      </c>
      <c r="U144" s="554">
        <f t="shared" si="176"/>
        <v>26.380142853179088</v>
      </c>
      <c r="V144" s="554">
        <f t="shared" si="176"/>
        <v>27.172762330910338</v>
      </c>
      <c r="W144" s="554">
        <f t="shared" si="176"/>
        <v>27.900580094763718</v>
      </c>
      <c r="X144" s="554">
        <f t="shared" si="176"/>
        <v>28.576309678393272</v>
      </c>
      <c r="Y144" s="554">
        <f t="shared" si="176"/>
        <v>29.35405454271292</v>
      </c>
      <c r="Z144" s="554">
        <f t="shared" si="176"/>
        <v>30.12318201178665</v>
      </c>
      <c r="AA144" s="554">
        <f t="shared" si="176"/>
        <v>30.585678372945594</v>
      </c>
      <c r="AB144" s="554">
        <f t="shared" si="176"/>
        <v>31.062688042369579</v>
      </c>
      <c r="AC144" s="554">
        <f t="shared" si="176"/>
        <v>31.549410727980622</v>
      </c>
      <c r="AD144" s="554">
        <f t="shared" si="176"/>
        <v>32.055066434796061</v>
      </c>
      <c r="AE144" s="554">
        <f t="shared" si="176"/>
        <v>32.583656424631911</v>
      </c>
      <c r="AF144" s="554">
        <f t="shared" si="176"/>
        <v>33.130420950291686</v>
      </c>
      <c r="AG144" s="554">
        <f t="shared" si="176"/>
        <v>33.698658579887784</v>
      </c>
      <c r="AH144" s="554">
        <f t="shared" si="176"/>
        <v>34.289300455635228</v>
      </c>
      <c r="AI144" s="554">
        <f t="shared" si="176"/>
        <v>34.902053593131235</v>
      </c>
      <c r="AJ144" s="554">
        <f t="shared" si="176"/>
        <v>35.53840195105947</v>
      </c>
      <c r="AK144" s="554">
        <f t="shared" si="176"/>
        <v>36.199102136030838</v>
      </c>
      <c r="AL144" s="554">
        <f t="shared" si="176"/>
        <v>36.884838381522272</v>
      </c>
      <c r="AM144" s="554">
        <f t="shared" si="176"/>
        <v>37.596680683403847</v>
      </c>
      <c r="AN144" s="554">
        <f t="shared" si="176"/>
        <v>38.335530191718568</v>
      </c>
      <c r="AO144" s="554">
        <f t="shared" si="176"/>
        <v>39.102341929510878</v>
      </c>
      <c r="AP144" s="554">
        <f t="shared" si="176"/>
        <v>39.898174756302907</v>
      </c>
      <c r="AQ144" s="554">
        <f t="shared" si="176"/>
        <v>40.724078872258865</v>
      </c>
      <c r="AR144" s="554">
        <f t="shared" si="176"/>
        <v>41.581159534296013</v>
      </c>
      <c r="AS144" s="554">
        <f t="shared" si="176"/>
        <v>42.4705773018554</v>
      </c>
      <c r="AT144" s="554">
        <f t="shared" si="176"/>
        <v>43.365880142265034</v>
      </c>
      <c r="AU144" s="554">
        <f t="shared" si="176"/>
        <v>43.690579827186937</v>
      </c>
      <c r="AV144" s="554">
        <f t="shared" si="176"/>
        <v>44.041685787884802</v>
      </c>
      <c r="AW144" s="554">
        <f t="shared" si="176"/>
        <v>44.420299763178676</v>
      </c>
      <c r="AX144" s="554">
        <f t="shared" si="176"/>
        <v>44.82757494511165</v>
      </c>
      <c r="AY144" s="554">
        <f t="shared" si="176"/>
        <v>45.264717041868302</v>
      </c>
      <c r="AZ144" s="554">
        <f t="shared" si="176"/>
        <v>45.732986167695017</v>
      </c>
      <c r="BA144" s="554">
        <f t="shared" si="176"/>
        <v>46.233700067647291</v>
      </c>
      <c r="BB144" s="554">
        <f t="shared" si="176"/>
        <v>46.768236333212101</v>
      </c>
      <c r="BC144" s="554">
        <f t="shared" si="176"/>
        <v>47.338035066888324</v>
      </c>
      <c r="BD144" s="554">
        <f t="shared" si="176"/>
        <v>47.944601843576891</v>
      </c>
    </row>
    <row r="145" spans="2:56" s="65" customFormat="1" x14ac:dyDescent="0.3">
      <c r="B145" s="577" t="s">
        <v>463</v>
      </c>
      <c r="C145" s="145"/>
      <c r="D145" s="573"/>
      <c r="E145" s="573"/>
      <c r="F145" s="573"/>
      <c r="G145" s="574"/>
      <c r="H145" s="574"/>
      <c r="I145" s="574">
        <f>BD!I281</f>
        <v>-3.2</v>
      </c>
      <c r="J145" s="574">
        <f>BD!J281</f>
        <v>-4.0999999999999996</v>
      </c>
      <c r="K145" s="574">
        <f>BD!K281</f>
        <v>-6.2</v>
      </c>
      <c r="L145" s="574">
        <f>BD!L281</f>
        <v>0.1</v>
      </c>
      <c r="M145" s="574">
        <f>BD!M281</f>
        <v>-1.1000000000000001</v>
      </c>
      <c r="N145" s="574">
        <f>BD!N281</f>
        <v>6.6999999999999993</v>
      </c>
      <c r="O145" s="554">
        <f t="shared" ref="O145:BD145" si="177">O151*O$28</f>
        <v>1.9762295968087473</v>
      </c>
      <c r="P145" s="554">
        <f t="shared" si="177"/>
        <v>2.7160628098187591</v>
      </c>
      <c r="Q145" s="554">
        <f t="shared" si="177"/>
        <v>4.2140635997385578</v>
      </c>
      <c r="R145" s="554">
        <f t="shared" si="177"/>
        <v>3.2083037409065573</v>
      </c>
      <c r="S145" s="554">
        <f t="shared" si="177"/>
        <v>3.6846730278964448</v>
      </c>
      <c r="T145" s="554">
        <f t="shared" si="177"/>
        <v>4.0543259451441562</v>
      </c>
      <c r="U145" s="554">
        <f t="shared" si="177"/>
        <v>3.973911074599199</v>
      </c>
      <c r="V145" s="554">
        <f t="shared" si="177"/>
        <v>4.2616621347796038</v>
      </c>
      <c r="W145" s="554">
        <f t="shared" si="177"/>
        <v>4.4732355334636651</v>
      </c>
      <c r="X145" s="554">
        <f t="shared" si="177"/>
        <v>4.6210884757657267</v>
      </c>
      <c r="Y145" s="554">
        <f t="shared" si="177"/>
        <v>4.8590623183371706</v>
      </c>
      <c r="Z145" s="554">
        <f t="shared" si="177"/>
        <v>5.0762563751151495</v>
      </c>
      <c r="AA145" s="554">
        <f t="shared" si="177"/>
        <v>5.2947783564497364</v>
      </c>
      <c r="AB145" s="554">
        <f t="shared" si="177"/>
        <v>5.5404798558251453</v>
      </c>
      <c r="AC145" s="554">
        <f t="shared" si="177"/>
        <v>5.7882278670453324</v>
      </c>
      <c r="AD145" s="554">
        <f t="shared" si="177"/>
        <v>6.0470874451278114</v>
      </c>
      <c r="AE145" s="554">
        <f t="shared" si="177"/>
        <v>6.3209012814604266</v>
      </c>
      <c r="AF145" s="554">
        <f t="shared" si="177"/>
        <v>6.6047473573483257</v>
      </c>
      <c r="AG145" s="554">
        <f t="shared" si="177"/>
        <v>6.9017581858694914</v>
      </c>
      <c r="AH145" s="554">
        <f t="shared" si="177"/>
        <v>7.2126949863378833</v>
      </c>
      <c r="AI145" s="554">
        <f t="shared" si="177"/>
        <v>7.5370908973454664</v>
      </c>
      <c r="AJ145" s="554">
        <f t="shared" si="177"/>
        <v>7.8762519582791191</v>
      </c>
      <c r="AK145" s="554">
        <f t="shared" si="177"/>
        <v>8.2307527239804976</v>
      </c>
      <c r="AL145" s="554">
        <f t="shared" si="177"/>
        <v>8.6010911514652868</v>
      </c>
      <c r="AM145" s="554">
        <f t="shared" si="177"/>
        <v>8.988146641146356</v>
      </c>
      <c r="AN145" s="554">
        <f t="shared" si="177"/>
        <v>9.3926253321782802</v>
      </c>
      <c r="AO145" s="554">
        <f t="shared" si="177"/>
        <v>9.8152827226711938</v>
      </c>
      <c r="AP145" s="554">
        <f t="shared" si="177"/>
        <v>10.256973532324043</v>
      </c>
      <c r="AQ145" s="554">
        <f t="shared" si="177"/>
        <v>10.718539103467451</v>
      </c>
      <c r="AR145" s="554">
        <f t="shared" si="177"/>
        <v>11.20087101172326</v>
      </c>
      <c r="AS145" s="554">
        <f t="shared" si="177"/>
        <v>11.704911203941545</v>
      </c>
      <c r="AT145" s="554">
        <f t="shared" si="177"/>
        <v>12.231632369686976</v>
      </c>
      <c r="AU145" s="554">
        <f t="shared" si="177"/>
        <v>12.782055350960071</v>
      </c>
      <c r="AV145" s="554">
        <f t="shared" si="177"/>
        <v>13.357248114110583</v>
      </c>
      <c r="AW145" s="554">
        <f t="shared" si="177"/>
        <v>13.958324262539325</v>
      </c>
      <c r="AX145" s="554">
        <f t="shared" si="177"/>
        <v>14.586448766851937</v>
      </c>
      <c r="AY145" s="554">
        <f t="shared" si="177"/>
        <v>15.242839028400967</v>
      </c>
      <c r="AZ145" s="554">
        <f t="shared" si="177"/>
        <v>15.928766769825323</v>
      </c>
      <c r="BA145" s="554">
        <f t="shared" si="177"/>
        <v>16.645561260412158</v>
      </c>
      <c r="BB145" s="554">
        <f t="shared" si="177"/>
        <v>17.394611532329431</v>
      </c>
      <c r="BC145" s="554">
        <f t="shared" si="177"/>
        <v>18.177369045812053</v>
      </c>
      <c r="BD145" s="576">
        <f t="shared" si="177"/>
        <v>18.99535065115343</v>
      </c>
    </row>
    <row r="146" spans="2:56" s="65" customFormat="1" x14ac:dyDescent="0.3">
      <c r="B146" s="577" t="s">
        <v>464</v>
      </c>
      <c r="C146" s="145"/>
      <c r="D146" s="573"/>
      <c r="E146" s="573"/>
      <c r="F146" s="573"/>
      <c r="G146" s="574"/>
      <c r="H146" s="574"/>
      <c r="I146" s="574">
        <f>BD!I282</f>
        <v>3.6</v>
      </c>
      <c r="J146" s="574">
        <f>BD!J282</f>
        <v>1</v>
      </c>
      <c r="K146" s="574">
        <f>BD!K282</f>
        <v>7.7</v>
      </c>
      <c r="L146" s="574">
        <f>BD!L282</f>
        <v>-8.5</v>
      </c>
      <c r="M146" s="574">
        <f>BD!M282</f>
        <v>8.6999999999999993</v>
      </c>
      <c r="N146" s="574">
        <f>BD!N282</f>
        <v>11</v>
      </c>
      <c r="O146" s="554">
        <f t="shared" ref="O146:BD146" si="178">O152*O$22</f>
        <v>19.794437025000001</v>
      </c>
      <c r="P146" s="554">
        <f t="shared" si="178"/>
        <v>20.043945903700124</v>
      </c>
      <c r="Q146" s="554">
        <f t="shared" si="178"/>
        <v>20.495586114775243</v>
      </c>
      <c r="R146" s="554">
        <f t="shared" si="178"/>
        <v>20.957402908906417</v>
      </c>
      <c r="S146" s="554">
        <f t="shared" si="178"/>
        <v>21.429625589951346</v>
      </c>
      <c r="T146" s="554">
        <f t="shared" si="178"/>
        <v>21.912488628556925</v>
      </c>
      <c r="U146" s="554">
        <f t="shared" si="178"/>
        <v>22.406231778579887</v>
      </c>
      <c r="V146" s="554">
        <f t="shared" si="178"/>
        <v>22.911100196130736</v>
      </c>
      <c r="W146" s="554">
        <f t="shared" si="178"/>
        <v>23.427344561300053</v>
      </c>
      <c r="X146" s="554">
        <f t="shared" si="178"/>
        <v>23.955221202627545</v>
      </c>
      <c r="Y146" s="554">
        <f t="shared" si="178"/>
        <v>24.49499222437575</v>
      </c>
      <c r="Z146" s="554">
        <f t="shared" si="178"/>
        <v>25.046925636671499</v>
      </c>
      <c r="AA146" s="554">
        <f t="shared" si="178"/>
        <v>25.290900016495858</v>
      </c>
      <c r="AB146" s="554">
        <f t="shared" si="178"/>
        <v>25.522208186544432</v>
      </c>
      <c r="AC146" s="554">
        <f t="shared" si="178"/>
        <v>25.761182860935289</v>
      </c>
      <c r="AD146" s="554">
        <f t="shared" si="178"/>
        <v>26.007978989668253</v>
      </c>
      <c r="AE146" s="554">
        <f t="shared" si="178"/>
        <v>26.262755143171486</v>
      </c>
      <c r="AF146" s="554">
        <f t="shared" si="178"/>
        <v>26.525673592943363</v>
      </c>
      <c r="AG146" s="554">
        <f t="shared" si="178"/>
        <v>26.796900394018294</v>
      </c>
      <c r="AH146" s="554">
        <f t="shared" si="178"/>
        <v>27.076605469297345</v>
      </c>
      <c r="AI146" s="554">
        <f t="shared" si="178"/>
        <v>27.364962695785767</v>
      </c>
      <c r="AJ146" s="554">
        <f t="shared" si="178"/>
        <v>27.662149992780353</v>
      </c>
      <c r="AK146" s="554">
        <f t="shared" si="178"/>
        <v>27.96834941205034</v>
      </c>
      <c r="AL146" s="554">
        <f t="shared" si="178"/>
        <v>28.283747230056989</v>
      </c>
      <c r="AM146" s="554">
        <f t="shared" si="178"/>
        <v>28.608534042257489</v>
      </c>
      <c r="AN146" s="554">
        <f t="shared" si="178"/>
        <v>28.942904859540288</v>
      </c>
      <c r="AO146" s="554">
        <f t="shared" si="178"/>
        <v>29.287059206839686</v>
      </c>
      <c r="AP146" s="554">
        <f t="shared" si="178"/>
        <v>29.641201223978864</v>
      </c>
      <c r="AQ146" s="554">
        <f t="shared" si="178"/>
        <v>30.005539768791415</v>
      </c>
      <c r="AR146" s="554">
        <f t="shared" si="178"/>
        <v>30.380288522572755</v>
      </c>
      <c r="AS146" s="554">
        <f t="shared" si="178"/>
        <v>30.765666097913858</v>
      </c>
      <c r="AT146" s="554">
        <f t="shared" si="178"/>
        <v>31.134247772578057</v>
      </c>
      <c r="AU146" s="554">
        <f t="shared" si="178"/>
        <v>30.908524476226866</v>
      </c>
      <c r="AV146" s="554">
        <f t="shared" si="178"/>
        <v>30.684437673774216</v>
      </c>
      <c r="AW146" s="554">
        <f t="shared" si="178"/>
        <v>30.461975500639351</v>
      </c>
      <c r="AX146" s="554">
        <f t="shared" si="178"/>
        <v>30.241126178259716</v>
      </c>
      <c r="AY146" s="554">
        <f t="shared" si="178"/>
        <v>30.021878013467337</v>
      </c>
      <c r="AZ146" s="554">
        <f t="shared" si="178"/>
        <v>29.804219397869691</v>
      </c>
      <c r="BA146" s="554">
        <f t="shared" si="178"/>
        <v>29.588138807235133</v>
      </c>
      <c r="BB146" s="554">
        <f t="shared" si="178"/>
        <v>29.37362480088267</v>
      </c>
      <c r="BC146" s="554">
        <f t="shared" si="178"/>
        <v>29.160666021076267</v>
      </c>
      <c r="BD146" s="576">
        <f t="shared" si="178"/>
        <v>28.949251192423464</v>
      </c>
    </row>
    <row r="147" spans="2:56" s="65" customFormat="1" x14ac:dyDescent="0.3">
      <c r="B147" s="578" t="s">
        <v>467</v>
      </c>
      <c r="C147" s="145"/>
      <c r="D147" s="573"/>
      <c r="E147" s="573"/>
      <c r="F147" s="573"/>
      <c r="G147" s="574"/>
      <c r="H147" s="574"/>
      <c r="I147" s="574">
        <f>BD!I283</f>
        <v>0</v>
      </c>
      <c r="J147" s="574">
        <f>BD!J283</f>
        <v>0</v>
      </c>
      <c r="K147" s="574">
        <f>BD!K283</f>
        <v>0</v>
      </c>
      <c r="L147" s="574">
        <f>BD!L283</f>
        <v>0</v>
      </c>
      <c r="M147" s="574">
        <f>BD!M283</f>
        <v>0</v>
      </c>
      <c r="N147" s="574">
        <f>BD!N283</f>
        <v>-1.4</v>
      </c>
      <c r="O147" s="554">
        <f t="shared" ref="O147:BD147" si="179">O153*O$17</f>
        <v>-0.49692460537210653</v>
      </c>
      <c r="P147" s="554">
        <f t="shared" si="179"/>
        <v>-0.69400955104272055</v>
      </c>
      <c r="Q147" s="554">
        <f t="shared" si="179"/>
        <v>-0.97647994108264025</v>
      </c>
      <c r="R147" s="554">
        <f t="shared" si="179"/>
        <v>-0.79473991706418234</v>
      </c>
      <c r="S147" s="554">
        <f t="shared" si="179"/>
        <v>-0.91463691383139467</v>
      </c>
      <c r="T147" s="554">
        <f t="shared" si="179"/>
        <v>-1.0011020641272081</v>
      </c>
      <c r="U147" s="554">
        <f t="shared" si="179"/>
        <v>-1.0057836035907755</v>
      </c>
      <c r="V147" s="554">
        <f t="shared" si="179"/>
        <v>-1.0878473507473212</v>
      </c>
      <c r="W147" s="554">
        <f t="shared" si="179"/>
        <v>-1.1537113287033804</v>
      </c>
      <c r="X147" s="554">
        <f t="shared" si="179"/>
        <v>-1.2105731137997011</v>
      </c>
      <c r="Y147" s="554">
        <f t="shared" si="179"/>
        <v>-1.2888788953229908</v>
      </c>
      <c r="Z147" s="554">
        <f t="shared" si="179"/>
        <v>-1.3651174602431191</v>
      </c>
      <c r="AA147" s="554">
        <f t="shared" si="179"/>
        <v>-1.4333331413236459</v>
      </c>
      <c r="AB147" s="554">
        <f t="shared" si="179"/>
        <v>-1.5085048021060403</v>
      </c>
      <c r="AC147" s="554">
        <f t="shared" si="179"/>
        <v>-1.5860516548672698</v>
      </c>
      <c r="AD147" s="554">
        <f t="shared" si="179"/>
        <v>-1.6683344887723957</v>
      </c>
      <c r="AE147" s="554">
        <f t="shared" si="179"/>
        <v>-1.7562550371251586</v>
      </c>
      <c r="AF147" s="554">
        <f t="shared" si="179"/>
        <v>-1.8489586545410259</v>
      </c>
      <c r="AG147" s="554">
        <f t="shared" si="179"/>
        <v>-1.9474058109356247</v>
      </c>
      <c r="AH147" s="554">
        <f t="shared" si="179"/>
        <v>-2.0519810054790368</v>
      </c>
      <c r="AI147" s="554">
        <f t="shared" si="179"/>
        <v>-2.1628544522479527</v>
      </c>
      <c r="AJ147" s="554">
        <f t="shared" si="179"/>
        <v>-2.280615789766673</v>
      </c>
      <c r="AK147" s="554">
        <f t="shared" si="179"/>
        <v>-2.4056995759169539</v>
      </c>
      <c r="AL147" s="554">
        <f t="shared" si="179"/>
        <v>-2.5385585287306935</v>
      </c>
      <c r="AM147" s="554">
        <f t="shared" si="179"/>
        <v>-2.6797593486568974</v>
      </c>
      <c r="AN147" s="554">
        <f t="shared" si="179"/>
        <v>-2.8298562304007846</v>
      </c>
      <c r="AO147" s="554">
        <f t="shared" si="179"/>
        <v>-2.9894496785649678</v>
      </c>
      <c r="AP147" s="554">
        <f t="shared" si="179"/>
        <v>-3.1591979539952497</v>
      </c>
      <c r="AQ147" s="554">
        <f t="shared" si="179"/>
        <v>-3.3397934589141101</v>
      </c>
      <c r="AR147" s="554">
        <f t="shared" si="179"/>
        <v>-3.5319818595684955</v>
      </c>
      <c r="AS147" s="554">
        <f t="shared" si="179"/>
        <v>-3.7365646748566426</v>
      </c>
      <c r="AT147" s="554">
        <f t="shared" si="179"/>
        <v>-3.9516808906127143</v>
      </c>
      <c r="AU147" s="554">
        <f t="shared" si="179"/>
        <v>-4.1180528108436487</v>
      </c>
      <c r="AV147" s="554">
        <f t="shared" si="179"/>
        <v>-4.2916253192939546</v>
      </c>
      <c r="AW147" s="554">
        <f t="shared" si="179"/>
        <v>-4.4727150106826778</v>
      </c>
      <c r="AX147" s="554">
        <f t="shared" si="179"/>
        <v>-4.6616528892919868</v>
      </c>
      <c r="AY147" s="554">
        <f t="shared" si="179"/>
        <v>-4.8587846539740296</v>
      </c>
      <c r="AZ147" s="554">
        <f t="shared" si="179"/>
        <v>-5.0644712602107314</v>
      </c>
      <c r="BA147" s="554">
        <f t="shared" si="179"/>
        <v>-5.2790897976561801</v>
      </c>
      <c r="BB147" s="554">
        <f t="shared" si="179"/>
        <v>-5.5030341096458875</v>
      </c>
      <c r="BC147" s="554">
        <f t="shared" si="179"/>
        <v>-5.7367155419788327</v>
      </c>
      <c r="BD147" s="576">
        <f t="shared" si="179"/>
        <v>-5.9805637624372263</v>
      </c>
    </row>
    <row r="148" spans="2:56" s="65" customFormat="1" x14ac:dyDescent="0.3">
      <c r="B148" s="578"/>
      <c r="C148" s="145"/>
      <c r="D148" s="573"/>
      <c r="E148" s="573"/>
      <c r="F148" s="573"/>
      <c r="G148" s="573"/>
      <c r="H148" s="573"/>
      <c r="I148" s="573"/>
      <c r="J148" s="573"/>
      <c r="K148" s="573"/>
      <c r="L148" s="573"/>
      <c r="M148" s="573"/>
      <c r="N148" s="573"/>
      <c r="O148" s="573"/>
      <c r="P148" s="573"/>
      <c r="Q148" s="573"/>
      <c r="R148" s="573"/>
      <c r="S148" s="573"/>
      <c r="T148" s="573"/>
      <c r="U148" s="573"/>
      <c r="V148" s="573"/>
      <c r="W148" s="573"/>
      <c r="X148" s="573"/>
      <c r="Y148" s="573"/>
      <c r="Z148" s="573"/>
      <c r="AA148" s="573"/>
      <c r="AB148" s="573"/>
      <c r="AC148" s="573"/>
      <c r="AD148" s="573"/>
      <c r="AE148" s="573"/>
      <c r="AF148" s="573"/>
      <c r="AG148" s="573"/>
      <c r="AH148" s="573"/>
      <c r="AI148" s="573"/>
      <c r="AJ148" s="573"/>
      <c r="AK148" s="573"/>
      <c r="AL148" s="573"/>
      <c r="AM148" s="573"/>
      <c r="AN148" s="573"/>
      <c r="AO148" s="573"/>
      <c r="AP148" s="573"/>
      <c r="AQ148" s="573"/>
      <c r="AR148" s="573"/>
      <c r="AS148" s="573"/>
      <c r="AT148" s="573"/>
      <c r="AU148" s="573"/>
      <c r="AV148" s="573"/>
      <c r="AW148" s="573"/>
      <c r="AX148" s="573"/>
      <c r="AY148" s="573"/>
      <c r="AZ148" s="573"/>
      <c r="BA148" s="573"/>
      <c r="BB148" s="573"/>
      <c r="BC148" s="573"/>
      <c r="BD148" s="579"/>
    </row>
    <row r="149" spans="2:56" s="65" customFormat="1" x14ac:dyDescent="0.3">
      <c r="B149" s="572" t="s">
        <v>454</v>
      </c>
      <c r="C149" s="145"/>
      <c r="D149" s="573"/>
      <c r="E149" s="573"/>
      <c r="F149" s="573"/>
      <c r="G149" s="573"/>
      <c r="H149" s="573"/>
      <c r="I149" s="573">
        <f t="shared" ref="I149:N149" si="180">I143/I$35</f>
        <v>9.816295049782639E-3</v>
      </c>
      <c r="J149" s="573">
        <f t="shared" si="180"/>
        <v>-7.877399026067029E-3</v>
      </c>
      <c r="K149" s="573">
        <f t="shared" si="180"/>
        <v>-1.4721801255683049E-2</v>
      </c>
      <c r="L149" s="573">
        <f t="shared" si="180"/>
        <v>3.6261914629092413E-3</v>
      </c>
      <c r="M149" s="573">
        <f t="shared" si="180"/>
        <v>1.4019882742798879E-2</v>
      </c>
      <c r="N149" s="573">
        <f t="shared" si="180"/>
        <v>3.4702139965297855E-3</v>
      </c>
      <c r="O149" s="580">
        <f t="shared" ref="O149:Q153" si="181">AVERAGE(L149:N149)</f>
        <v>7.0387627340793022E-3</v>
      </c>
      <c r="P149" s="580">
        <f t="shared" si="181"/>
        <v>8.1762864911359891E-3</v>
      </c>
      <c r="Q149" s="580">
        <f t="shared" si="181"/>
        <v>6.2284210739150248E-3</v>
      </c>
      <c r="R149" s="580">
        <f t="shared" ref="R149:W153" si="182">AVERAGE(O149:Q149)</f>
        <v>7.147823433043439E-3</v>
      </c>
      <c r="S149" s="580">
        <f t="shared" si="182"/>
        <v>7.1841769993648179E-3</v>
      </c>
      <c r="T149" s="580">
        <f t="shared" si="182"/>
        <v>6.8534738354410936E-3</v>
      </c>
      <c r="U149" s="580">
        <f t="shared" si="182"/>
        <v>7.0618247559497832E-3</v>
      </c>
      <c r="V149" s="580">
        <f t="shared" si="182"/>
        <v>7.0331585302518982E-3</v>
      </c>
      <c r="W149" s="580">
        <f t="shared" si="182"/>
        <v>6.9828190405475917E-3</v>
      </c>
      <c r="X149" s="580">
        <f t="shared" ref="X149:AG153" si="183">AVERAGE(U149:W149)</f>
        <v>7.0259341089164247E-3</v>
      </c>
      <c r="Y149" s="580">
        <f t="shared" si="183"/>
        <v>7.0139705599053049E-3</v>
      </c>
      <c r="Z149" s="580">
        <f t="shared" si="183"/>
        <v>7.0075745697897734E-3</v>
      </c>
      <c r="AA149" s="580">
        <f t="shared" si="183"/>
        <v>7.015826412870501E-3</v>
      </c>
      <c r="AB149" s="580">
        <f t="shared" si="183"/>
        <v>7.0124571808551925E-3</v>
      </c>
      <c r="AC149" s="580">
        <f t="shared" si="183"/>
        <v>7.011952721171822E-3</v>
      </c>
      <c r="AD149" s="580">
        <f t="shared" si="183"/>
        <v>7.0134121049658382E-3</v>
      </c>
      <c r="AE149" s="580">
        <f t="shared" si="183"/>
        <v>7.0126073356642843E-3</v>
      </c>
      <c r="AF149" s="580">
        <f t="shared" si="183"/>
        <v>7.0126573872673148E-3</v>
      </c>
      <c r="AG149" s="580">
        <f t="shared" si="183"/>
        <v>7.0128922759658124E-3</v>
      </c>
      <c r="AH149" s="580">
        <f t="shared" ref="AH149:AQ153" si="184">AVERAGE(AE149:AG149)</f>
        <v>7.0127189996324708E-3</v>
      </c>
      <c r="AI149" s="580">
        <f t="shared" si="184"/>
        <v>7.0127562209551996E-3</v>
      </c>
      <c r="AJ149" s="580">
        <f t="shared" si="184"/>
        <v>7.0127891655178279E-3</v>
      </c>
      <c r="AK149" s="580">
        <f t="shared" si="184"/>
        <v>7.0127547953684997E-3</v>
      </c>
      <c r="AL149" s="580">
        <f t="shared" si="184"/>
        <v>7.0127667272805094E-3</v>
      </c>
      <c r="AM149" s="580">
        <f t="shared" si="184"/>
        <v>7.012770229388946E-3</v>
      </c>
      <c r="AN149" s="580">
        <f t="shared" si="184"/>
        <v>7.0127639173459856E-3</v>
      </c>
      <c r="AO149" s="580">
        <f t="shared" si="184"/>
        <v>7.0127669580051467E-3</v>
      </c>
      <c r="AP149" s="580">
        <f t="shared" si="184"/>
        <v>7.01276703491336E-3</v>
      </c>
      <c r="AQ149" s="580">
        <f t="shared" si="184"/>
        <v>7.0127659700881641E-3</v>
      </c>
      <c r="AR149" s="580">
        <f t="shared" ref="AR149:BA153" si="185">AVERAGE(AO149:AQ149)</f>
        <v>7.0127666543355572E-3</v>
      </c>
      <c r="AS149" s="580">
        <f t="shared" si="185"/>
        <v>7.0127665531123607E-3</v>
      </c>
      <c r="AT149" s="580">
        <f t="shared" si="185"/>
        <v>7.0127663925120274E-3</v>
      </c>
      <c r="AU149" s="580">
        <f t="shared" si="185"/>
        <v>7.0127665333199821E-3</v>
      </c>
      <c r="AV149" s="580">
        <f t="shared" si="185"/>
        <v>7.012766492981457E-3</v>
      </c>
      <c r="AW149" s="580">
        <f t="shared" si="185"/>
        <v>7.0127664729378219E-3</v>
      </c>
      <c r="AX149" s="580">
        <f t="shared" si="185"/>
        <v>7.0127664997464206E-3</v>
      </c>
      <c r="AY149" s="580">
        <f t="shared" si="185"/>
        <v>7.0127664885552337E-3</v>
      </c>
      <c r="AZ149" s="580">
        <f t="shared" si="185"/>
        <v>7.0127664870798254E-3</v>
      </c>
      <c r="BA149" s="580">
        <f t="shared" si="185"/>
        <v>7.0127664917938272E-3</v>
      </c>
      <c r="BB149" s="580">
        <f t="shared" ref="BB149:BD153" si="186">AVERAGE(AY149:BA149)</f>
        <v>7.0127664891429624E-3</v>
      </c>
      <c r="BC149" s="580">
        <f t="shared" si="186"/>
        <v>7.0127664893388716E-3</v>
      </c>
      <c r="BD149" s="581">
        <f t="shared" si="186"/>
        <v>7.0127664900918874E-3</v>
      </c>
    </row>
    <row r="150" spans="2:56" s="65" customFormat="1" x14ac:dyDescent="0.3">
      <c r="B150" s="572" t="s">
        <v>455</v>
      </c>
      <c r="C150" s="145"/>
      <c r="D150" s="573"/>
      <c r="E150" s="573"/>
      <c r="F150" s="573"/>
      <c r="G150" s="573"/>
      <c r="H150" s="573"/>
      <c r="I150" s="573">
        <f t="shared" ref="I150:BD150" si="187">I144/I$20</f>
        <v>3.0077449432288131E-4</v>
      </c>
      <c r="J150" s="573">
        <f t="shared" si="187"/>
        <v>-2.1187888729410154E-3</v>
      </c>
      <c r="K150" s="573">
        <f t="shared" si="187"/>
        <v>1.0576041740111399E-3</v>
      </c>
      <c r="L150" s="573">
        <f t="shared" si="187"/>
        <v>-5.964214711729623E-3</v>
      </c>
      <c r="M150" s="573">
        <f t="shared" si="187"/>
        <v>5.1064973459651955E-3</v>
      </c>
      <c r="N150" s="573">
        <f t="shared" si="187"/>
        <v>1.2067907547555741E-2</v>
      </c>
      <c r="O150" s="573">
        <f t="shared" si="187"/>
        <v>1.3684401436921706E-2</v>
      </c>
      <c r="P150" s="573">
        <f t="shared" si="187"/>
        <v>1.3466804290470145E-2</v>
      </c>
      <c r="Q150" s="573">
        <f t="shared" si="187"/>
        <v>1.3649984730604239E-2</v>
      </c>
      <c r="R150" s="573">
        <f t="shared" si="187"/>
        <v>1.2461966852186118E-2</v>
      </c>
      <c r="S150" s="573">
        <f t="shared" si="187"/>
        <v>1.208867646352086E-2</v>
      </c>
      <c r="T150" s="573">
        <f t="shared" si="187"/>
        <v>1.1665331838906633E-2</v>
      </c>
      <c r="U150" s="573">
        <f t="shared" si="187"/>
        <v>1.1059294082960551E-2</v>
      </c>
      <c r="V150" s="573">
        <f t="shared" si="187"/>
        <v>1.0629382134916036E-2</v>
      </c>
      <c r="W150" s="573">
        <f t="shared" si="187"/>
        <v>1.0182737409953834E-2</v>
      </c>
      <c r="X150" s="573">
        <f t="shared" si="187"/>
        <v>9.7294576214442124E-3</v>
      </c>
      <c r="Y150" s="573">
        <f t="shared" si="187"/>
        <v>9.3225951252770018E-3</v>
      </c>
      <c r="Z150" s="573">
        <f t="shared" si="187"/>
        <v>8.9230193278763397E-3</v>
      </c>
      <c r="AA150" s="573">
        <f t="shared" si="187"/>
        <v>8.5427344692782653E-3</v>
      </c>
      <c r="AB150" s="573">
        <f t="shared" si="187"/>
        <v>8.1845557393213485E-3</v>
      </c>
      <c r="AC150" s="573">
        <f t="shared" si="187"/>
        <v>7.840248276850632E-3</v>
      </c>
      <c r="AD150" s="573">
        <f t="shared" si="187"/>
        <v>7.5114345005092573E-3</v>
      </c>
      <c r="AE150" s="573">
        <f t="shared" si="187"/>
        <v>7.198115353981481E-3</v>
      </c>
      <c r="AF150" s="573">
        <f t="shared" si="187"/>
        <v>6.8983288362534671E-3</v>
      </c>
      <c r="AG150" s="573">
        <f t="shared" si="187"/>
        <v>6.6119986014255847E-3</v>
      </c>
      <c r="AH150" s="573">
        <f t="shared" si="187"/>
        <v>6.3385121262301289E-3</v>
      </c>
      <c r="AI150" s="573">
        <f t="shared" si="187"/>
        <v>6.0770632722032952E-3</v>
      </c>
      <c r="AJ150" s="573">
        <f t="shared" si="187"/>
        <v>5.8272071945126491E-3</v>
      </c>
      <c r="AK150" s="573">
        <f t="shared" si="187"/>
        <v>5.5883821938801544E-3</v>
      </c>
      <c r="AL150" s="573">
        <f t="shared" si="187"/>
        <v>5.3600414390751394E-3</v>
      </c>
      <c r="AM150" s="573">
        <f t="shared" si="187"/>
        <v>5.1417181647803248E-3</v>
      </c>
      <c r="AN150" s="573">
        <f t="shared" si="187"/>
        <v>4.9329377515639865E-3</v>
      </c>
      <c r="AO150" s="573">
        <f t="shared" si="187"/>
        <v>4.733251884445973E-3</v>
      </c>
      <c r="AP150" s="573">
        <f t="shared" si="187"/>
        <v>4.5422421417217898E-3</v>
      </c>
      <c r="AQ150" s="573">
        <f t="shared" si="187"/>
        <v>4.3595043871024822E-3</v>
      </c>
      <c r="AR150" s="573">
        <f t="shared" si="187"/>
        <v>4.1846557167926216E-3</v>
      </c>
      <c r="AS150" s="573">
        <f t="shared" si="187"/>
        <v>4.0173329107278978E-3</v>
      </c>
      <c r="AT150" s="573">
        <f t="shared" si="187"/>
        <v>3.8578314811324021E-3</v>
      </c>
      <c r="AU150" s="573">
        <f t="shared" si="187"/>
        <v>3.7193462066465858E-3</v>
      </c>
      <c r="AV150" s="573">
        <f t="shared" si="187"/>
        <v>3.5877852565161265E-3</v>
      </c>
      <c r="AW150" s="573">
        <f t="shared" si="187"/>
        <v>3.4628023315120557E-3</v>
      </c>
      <c r="AX150" s="573">
        <f t="shared" si="187"/>
        <v>3.3440685474679225E-3</v>
      </c>
      <c r="AY150" s="573">
        <f t="shared" si="187"/>
        <v>3.231271463612885E-3</v>
      </c>
      <c r="AZ150" s="573">
        <f t="shared" si="187"/>
        <v>3.1241142283894292E-3</v>
      </c>
      <c r="BA150" s="573">
        <f t="shared" si="187"/>
        <v>3.022314854972296E-3</v>
      </c>
      <c r="BB150" s="573">
        <f t="shared" si="187"/>
        <v>2.9256054520496433E-3</v>
      </c>
      <c r="BC150" s="573">
        <f t="shared" si="187"/>
        <v>2.8337315180423234E-3</v>
      </c>
      <c r="BD150" s="573">
        <f t="shared" si="187"/>
        <v>2.7464512809480283E-3</v>
      </c>
    </row>
    <row r="151" spans="2:56" s="65" customFormat="1" x14ac:dyDescent="0.3">
      <c r="B151" s="577" t="s">
        <v>463</v>
      </c>
      <c r="C151" s="145"/>
      <c r="D151" s="573"/>
      <c r="E151" s="573"/>
      <c r="F151" s="573"/>
      <c r="G151" s="573"/>
      <c r="H151" s="573"/>
      <c r="I151" s="573">
        <f t="shared" ref="I151:N151" si="188">I145/I$28</f>
        <v>-1.2903225806451613E-2</v>
      </c>
      <c r="J151" s="573">
        <f t="shared" si="188"/>
        <v>-1.4482515012363121E-2</v>
      </c>
      <c r="K151" s="573">
        <f t="shared" si="188"/>
        <v>-2.3360964581763378E-2</v>
      </c>
      <c r="L151" s="573">
        <f t="shared" si="188"/>
        <v>3.9666798889329637E-4</v>
      </c>
      <c r="M151" s="573">
        <f t="shared" si="188"/>
        <v>-4.3512658227848099E-3</v>
      </c>
      <c r="N151" s="573">
        <f t="shared" si="188"/>
        <v>2.5808936825885972E-2</v>
      </c>
      <c r="O151" s="580">
        <f t="shared" si="181"/>
        <v>7.2847796639981532E-3</v>
      </c>
      <c r="P151" s="580">
        <f t="shared" si="181"/>
        <v>9.5808168890331048E-3</v>
      </c>
      <c r="Q151" s="580">
        <f t="shared" si="181"/>
        <v>1.4224844459639077E-2</v>
      </c>
      <c r="R151" s="580">
        <f t="shared" si="182"/>
        <v>1.0363480337556777E-2</v>
      </c>
      <c r="S151" s="580">
        <f t="shared" si="182"/>
        <v>1.1389713895409652E-2</v>
      </c>
      <c r="T151" s="580">
        <f t="shared" si="182"/>
        <v>1.1992679564201835E-2</v>
      </c>
      <c r="U151" s="580">
        <f t="shared" si="182"/>
        <v>1.1248624599056088E-2</v>
      </c>
      <c r="V151" s="580">
        <f t="shared" si="182"/>
        <v>1.1543672686222526E-2</v>
      </c>
      <c r="W151" s="580">
        <f t="shared" si="182"/>
        <v>1.1594992283160152E-2</v>
      </c>
      <c r="X151" s="580">
        <f t="shared" si="183"/>
        <v>1.1462429856146256E-2</v>
      </c>
      <c r="Y151" s="580">
        <f t="shared" si="183"/>
        <v>1.1533698275176313E-2</v>
      </c>
      <c r="Z151" s="580">
        <f t="shared" si="183"/>
        <v>1.1530373471494241E-2</v>
      </c>
      <c r="AA151" s="580">
        <f t="shared" si="183"/>
        <v>1.1508833867605603E-2</v>
      </c>
      <c r="AB151" s="580">
        <f t="shared" si="183"/>
        <v>1.1524301871425386E-2</v>
      </c>
      <c r="AC151" s="580">
        <f t="shared" si="183"/>
        <v>1.1521169736841743E-2</v>
      </c>
      <c r="AD151" s="580">
        <f t="shared" si="183"/>
        <v>1.151810182529091E-2</v>
      </c>
      <c r="AE151" s="580">
        <f t="shared" si="183"/>
        <v>1.1521191144519346E-2</v>
      </c>
      <c r="AF151" s="580">
        <f t="shared" si="183"/>
        <v>1.1520154235550667E-2</v>
      </c>
      <c r="AG151" s="580">
        <f t="shared" si="183"/>
        <v>1.1519815735120308E-2</v>
      </c>
      <c r="AH151" s="580">
        <f t="shared" si="184"/>
        <v>1.1520387038396774E-2</v>
      </c>
      <c r="AI151" s="580">
        <f t="shared" si="184"/>
        <v>1.1520119003022583E-2</v>
      </c>
      <c r="AJ151" s="580">
        <f t="shared" si="184"/>
        <v>1.1520107258846555E-2</v>
      </c>
      <c r="AK151" s="580">
        <f t="shared" si="184"/>
        <v>1.1520204433421971E-2</v>
      </c>
      <c r="AL151" s="580">
        <f t="shared" si="184"/>
        <v>1.1520143565097035E-2</v>
      </c>
      <c r="AM151" s="580">
        <f t="shared" si="184"/>
        <v>1.1520151752455188E-2</v>
      </c>
      <c r="AN151" s="580">
        <f t="shared" si="184"/>
        <v>1.1520166583658065E-2</v>
      </c>
      <c r="AO151" s="580">
        <f t="shared" si="184"/>
        <v>1.1520153967070096E-2</v>
      </c>
      <c r="AP151" s="580">
        <f t="shared" si="184"/>
        <v>1.1520157434394449E-2</v>
      </c>
      <c r="AQ151" s="580">
        <f t="shared" si="184"/>
        <v>1.1520159328374203E-2</v>
      </c>
      <c r="AR151" s="580">
        <f t="shared" si="185"/>
        <v>1.1520156909946249E-2</v>
      </c>
      <c r="AS151" s="580">
        <f t="shared" si="185"/>
        <v>1.1520157890904966E-2</v>
      </c>
      <c r="AT151" s="580">
        <f t="shared" si="185"/>
        <v>1.1520158043075138E-2</v>
      </c>
      <c r="AU151" s="580">
        <f t="shared" si="185"/>
        <v>1.1520157614642118E-2</v>
      </c>
      <c r="AV151" s="580">
        <f t="shared" si="185"/>
        <v>1.1520157849540741E-2</v>
      </c>
      <c r="AW151" s="580">
        <f t="shared" si="185"/>
        <v>1.1520157835752665E-2</v>
      </c>
      <c r="AX151" s="580">
        <f t="shared" si="185"/>
        <v>1.1520157766645174E-2</v>
      </c>
      <c r="AY151" s="580">
        <f t="shared" si="185"/>
        <v>1.1520157817312859E-2</v>
      </c>
      <c r="AZ151" s="580">
        <f t="shared" si="185"/>
        <v>1.1520157806570232E-2</v>
      </c>
      <c r="BA151" s="580">
        <f t="shared" si="185"/>
        <v>1.1520157796842755E-2</v>
      </c>
      <c r="BB151" s="580">
        <f t="shared" si="186"/>
        <v>1.1520157806908614E-2</v>
      </c>
      <c r="BC151" s="580">
        <f t="shared" si="186"/>
        <v>1.1520157803440532E-2</v>
      </c>
      <c r="BD151" s="581">
        <f t="shared" si="186"/>
        <v>1.1520157802397299E-2</v>
      </c>
    </row>
    <row r="152" spans="2:56" s="65" customFormat="1" x14ac:dyDescent="0.3">
      <c r="B152" s="577" t="s">
        <v>464</v>
      </c>
      <c r="C152" s="145"/>
      <c r="D152" s="573"/>
      <c r="E152" s="573"/>
      <c r="F152" s="573"/>
      <c r="G152" s="573"/>
      <c r="H152" s="573"/>
      <c r="I152" s="573">
        <f t="shared" ref="I152:N152" si="189">I146/I$22</f>
        <v>3.3274794343284959E-3</v>
      </c>
      <c r="J152" s="573">
        <f t="shared" si="189"/>
        <v>8.4745762711864404E-4</v>
      </c>
      <c r="K152" s="573">
        <f t="shared" si="189"/>
        <v>6.6788099574984815E-3</v>
      </c>
      <c r="L152" s="573">
        <f t="shared" si="189"/>
        <v>-7.3510334688229699E-3</v>
      </c>
      <c r="M152" s="573">
        <f t="shared" si="189"/>
        <v>7.0416835289356531E-3</v>
      </c>
      <c r="N152" s="573">
        <f t="shared" si="189"/>
        <v>9.1127495650733161E-3</v>
      </c>
      <c r="O152" s="580">
        <v>1.4999999999999999E-2</v>
      </c>
      <c r="P152" s="580">
        <f>O152*0.95</f>
        <v>1.4249999999999999E-2</v>
      </c>
      <c r="Q152" s="580">
        <f>P152*0.95</f>
        <v>1.3537499999999997E-2</v>
      </c>
      <c r="R152" s="580">
        <f>Q152*0.95</f>
        <v>1.2860624999999997E-2</v>
      </c>
      <c r="S152" s="580">
        <f t="shared" ref="S152:BD152" si="190">R152*0.95</f>
        <v>1.2217593749999997E-2</v>
      </c>
      <c r="T152" s="580">
        <f t="shared" si="190"/>
        <v>1.1606714062499997E-2</v>
      </c>
      <c r="U152" s="580">
        <f t="shared" si="190"/>
        <v>1.1026378359374997E-2</v>
      </c>
      <c r="V152" s="580">
        <f t="shared" si="190"/>
        <v>1.0475059441406247E-2</v>
      </c>
      <c r="W152" s="580">
        <f t="shared" si="190"/>
        <v>9.9513064693359347E-3</v>
      </c>
      <c r="X152" s="580">
        <f t="shared" si="190"/>
        <v>9.4537411458691378E-3</v>
      </c>
      <c r="Y152" s="580">
        <f t="shared" si="190"/>
        <v>8.9810540885756802E-3</v>
      </c>
      <c r="Z152" s="580">
        <f t="shared" si="190"/>
        <v>8.5320013841468957E-3</v>
      </c>
      <c r="AA152" s="580">
        <f t="shared" si="190"/>
        <v>8.1054013149395501E-3</v>
      </c>
      <c r="AB152" s="580">
        <f t="shared" si="190"/>
        <v>7.7001312491925718E-3</v>
      </c>
      <c r="AC152" s="580">
        <f t="shared" si="190"/>
        <v>7.3151246867329432E-3</v>
      </c>
      <c r="AD152" s="580">
        <f t="shared" si="190"/>
        <v>6.9493684523962958E-3</v>
      </c>
      <c r="AE152" s="580">
        <f t="shared" si="190"/>
        <v>6.6019000297764807E-3</v>
      </c>
      <c r="AF152" s="580">
        <f t="shared" si="190"/>
        <v>6.2718050282876562E-3</v>
      </c>
      <c r="AG152" s="580">
        <f t="shared" si="190"/>
        <v>5.958214776873273E-3</v>
      </c>
      <c r="AH152" s="580">
        <f t="shared" si="190"/>
        <v>5.6603040380296095E-3</v>
      </c>
      <c r="AI152" s="580">
        <f t="shared" si="190"/>
        <v>5.3772888361281286E-3</v>
      </c>
      <c r="AJ152" s="580">
        <f t="shared" si="190"/>
        <v>5.1084243943217223E-3</v>
      </c>
      <c r="AK152" s="580">
        <f t="shared" si="190"/>
        <v>4.8530031746056362E-3</v>
      </c>
      <c r="AL152" s="580">
        <f t="shared" si="190"/>
        <v>4.6103530158753542E-3</v>
      </c>
      <c r="AM152" s="580">
        <f t="shared" si="190"/>
        <v>4.3798353650815859E-3</v>
      </c>
      <c r="AN152" s="580">
        <f t="shared" si="190"/>
        <v>4.1608435968275067E-3</v>
      </c>
      <c r="AO152" s="580">
        <f t="shared" si="190"/>
        <v>3.9528014169861311E-3</v>
      </c>
      <c r="AP152" s="580">
        <f t="shared" si="190"/>
        <v>3.7551613461368244E-3</v>
      </c>
      <c r="AQ152" s="580">
        <f t="shared" si="190"/>
        <v>3.5674032788299832E-3</v>
      </c>
      <c r="AR152" s="580">
        <f t="shared" si="190"/>
        <v>3.3890331148884838E-3</v>
      </c>
      <c r="AS152" s="580">
        <f t="shared" si="190"/>
        <v>3.2195814591440596E-3</v>
      </c>
      <c r="AT152" s="580">
        <f t="shared" si="190"/>
        <v>3.0586023861868565E-3</v>
      </c>
      <c r="AU152" s="580">
        <f t="shared" si="190"/>
        <v>2.9056722668775133E-3</v>
      </c>
      <c r="AV152" s="580">
        <f t="shared" si="190"/>
        <v>2.7603886535336377E-3</v>
      </c>
      <c r="AW152" s="580">
        <f t="shared" si="190"/>
        <v>2.6223692208569558E-3</v>
      </c>
      <c r="AX152" s="580">
        <f t="shared" si="190"/>
        <v>2.4912507598141079E-3</v>
      </c>
      <c r="AY152" s="580">
        <f t="shared" si="190"/>
        <v>2.3666882218234026E-3</v>
      </c>
      <c r="AZ152" s="580">
        <f t="shared" si="190"/>
        <v>2.2483538107322325E-3</v>
      </c>
      <c r="BA152" s="580">
        <f t="shared" si="190"/>
        <v>2.1359361201956206E-3</v>
      </c>
      <c r="BB152" s="580">
        <f t="shared" si="190"/>
        <v>2.0291393141858394E-3</v>
      </c>
      <c r="BC152" s="580">
        <f t="shared" si="190"/>
        <v>1.9276823484765473E-3</v>
      </c>
      <c r="BD152" s="580">
        <f t="shared" si="190"/>
        <v>1.8312982310527198E-3</v>
      </c>
    </row>
    <row r="153" spans="2:56" s="65" customFormat="1" x14ac:dyDescent="0.3">
      <c r="B153" s="582" t="s">
        <v>467</v>
      </c>
      <c r="C153" s="583"/>
      <c r="D153" s="584"/>
      <c r="E153" s="584"/>
      <c r="F153" s="584"/>
      <c r="G153" s="584"/>
      <c r="H153" s="584"/>
      <c r="I153" s="584">
        <f t="shared" ref="I153:N153" si="191">I147/I$17</f>
        <v>0</v>
      </c>
      <c r="J153" s="584">
        <f t="shared" si="191"/>
        <v>0</v>
      </c>
      <c r="K153" s="584">
        <f t="shared" si="191"/>
        <v>0</v>
      </c>
      <c r="L153" s="584">
        <f t="shared" si="191"/>
        <v>0</v>
      </c>
      <c r="M153" s="584">
        <f t="shared" si="191"/>
        <v>0</v>
      </c>
      <c r="N153" s="584">
        <f t="shared" si="191"/>
        <v>-6.2075475797437061E-4</v>
      </c>
      <c r="O153" s="585">
        <f t="shared" si="181"/>
        <v>-2.0691825265812354E-4</v>
      </c>
      <c r="P153" s="585">
        <f t="shared" si="181"/>
        <v>-2.758910035441647E-4</v>
      </c>
      <c r="Q153" s="585">
        <f t="shared" si="181"/>
        <v>-3.6785467139221958E-4</v>
      </c>
      <c r="R153" s="585">
        <f t="shared" si="182"/>
        <v>-2.835546425315026E-4</v>
      </c>
      <c r="S153" s="585">
        <f t="shared" si="182"/>
        <v>-3.0910010582262896E-4</v>
      </c>
      <c r="T153" s="585">
        <f t="shared" si="182"/>
        <v>-3.2016980658211705E-4</v>
      </c>
      <c r="U153" s="585">
        <f t="shared" si="182"/>
        <v>-3.0427485164541624E-4</v>
      </c>
      <c r="V153" s="585">
        <f t="shared" si="182"/>
        <v>-3.1118158801672077E-4</v>
      </c>
      <c r="W153" s="585">
        <f t="shared" si="182"/>
        <v>-3.1187541541475135E-4</v>
      </c>
      <c r="X153" s="585">
        <f t="shared" si="183"/>
        <v>-3.091106183589628E-4</v>
      </c>
      <c r="Y153" s="585">
        <f t="shared" si="183"/>
        <v>-3.1072254059681166E-4</v>
      </c>
      <c r="Z153" s="585">
        <f t="shared" si="183"/>
        <v>-3.1056952479017525E-4</v>
      </c>
      <c r="AA153" s="585">
        <f t="shared" si="183"/>
        <v>-3.1013422791531655E-4</v>
      </c>
      <c r="AB153" s="585">
        <f t="shared" si="183"/>
        <v>-3.1047543110076782E-4</v>
      </c>
      <c r="AC153" s="585">
        <f t="shared" si="183"/>
        <v>-3.1039306126875321E-4</v>
      </c>
      <c r="AD153" s="585">
        <f t="shared" si="183"/>
        <v>-3.1033424009494588E-4</v>
      </c>
      <c r="AE153" s="585">
        <f t="shared" si="183"/>
        <v>-3.1040091082148899E-4</v>
      </c>
      <c r="AF153" s="585">
        <f t="shared" si="183"/>
        <v>-3.1037607072839602E-4</v>
      </c>
      <c r="AG153" s="585">
        <f t="shared" si="183"/>
        <v>-3.1037040721494359E-4</v>
      </c>
      <c r="AH153" s="585">
        <f t="shared" si="184"/>
        <v>-3.1038246292160952E-4</v>
      </c>
      <c r="AI153" s="585">
        <f t="shared" si="184"/>
        <v>-3.1037631362164971E-4</v>
      </c>
      <c r="AJ153" s="585">
        <f t="shared" si="184"/>
        <v>-3.1037639458606761E-4</v>
      </c>
      <c r="AK153" s="585">
        <f t="shared" si="184"/>
        <v>-3.1037839037644231E-4</v>
      </c>
      <c r="AL153" s="585">
        <f t="shared" si="184"/>
        <v>-3.1037703286138654E-4</v>
      </c>
      <c r="AM153" s="585">
        <f t="shared" si="184"/>
        <v>-3.1037727260796547E-4</v>
      </c>
      <c r="AN153" s="585">
        <f t="shared" si="184"/>
        <v>-3.1037756528193143E-4</v>
      </c>
      <c r="AO153" s="585">
        <f t="shared" si="184"/>
        <v>-3.1037729025042783E-4</v>
      </c>
      <c r="AP153" s="585">
        <f t="shared" si="184"/>
        <v>-3.1037737604677486E-4</v>
      </c>
      <c r="AQ153" s="585">
        <f t="shared" si="184"/>
        <v>-3.10377410526378E-4</v>
      </c>
      <c r="AR153" s="585">
        <f t="shared" si="185"/>
        <v>-3.1037735894119358E-4</v>
      </c>
      <c r="AS153" s="585">
        <f t="shared" si="185"/>
        <v>-3.1037738183811546E-4</v>
      </c>
      <c r="AT153" s="585">
        <f t="shared" si="185"/>
        <v>-3.1037738376856237E-4</v>
      </c>
      <c r="AU153" s="585">
        <f t="shared" si="185"/>
        <v>-3.1037737484929047E-4</v>
      </c>
      <c r="AV153" s="585">
        <f t="shared" si="185"/>
        <v>-3.1037738015198945E-4</v>
      </c>
      <c r="AW153" s="585">
        <f t="shared" si="185"/>
        <v>-3.1037737958994745E-4</v>
      </c>
      <c r="AX153" s="585">
        <f t="shared" si="185"/>
        <v>-3.1037737819707579E-4</v>
      </c>
      <c r="AY153" s="585">
        <f t="shared" si="185"/>
        <v>-3.1037737931300426E-4</v>
      </c>
      <c r="AZ153" s="585">
        <f t="shared" si="185"/>
        <v>-3.1037737903334255E-4</v>
      </c>
      <c r="BA153" s="585">
        <f t="shared" si="185"/>
        <v>-3.1037737884780759E-4</v>
      </c>
      <c r="BB153" s="585">
        <f t="shared" si="186"/>
        <v>-3.1037737906471812E-4</v>
      </c>
      <c r="BC153" s="585">
        <f t="shared" si="186"/>
        <v>-3.1037737898195609E-4</v>
      </c>
      <c r="BD153" s="586">
        <f t="shared" si="186"/>
        <v>-3.1037737896482727E-4</v>
      </c>
    </row>
    <row r="154" spans="2:56" s="65" customFormat="1" x14ac:dyDescent="0.3">
      <c r="B154" s="460"/>
      <c r="C154" s="145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78"/>
      <c r="BA154" s="78"/>
      <c r="BB154" s="78"/>
      <c r="BC154" s="78"/>
      <c r="BD154" s="78"/>
    </row>
    <row r="155" spans="2:56" s="31" customFormat="1" x14ac:dyDescent="0.3">
      <c r="B155" s="149" t="s">
        <v>162</v>
      </c>
      <c r="C155" s="150" t="s">
        <v>32</v>
      </c>
      <c r="D155" s="151">
        <f t="shared" ref="D155:AI155" si="192">D112+D127</f>
        <v>0</v>
      </c>
      <c r="E155" s="151">
        <f t="shared" si="192"/>
        <v>0</v>
      </c>
      <c r="F155" s="151">
        <f t="shared" si="192"/>
        <v>0</v>
      </c>
      <c r="G155" s="151">
        <f t="shared" si="192"/>
        <v>344.90000000000009</v>
      </c>
      <c r="H155" s="151">
        <f t="shared" si="192"/>
        <v>402</v>
      </c>
      <c r="I155" s="151">
        <f t="shared" si="192"/>
        <v>63.500000000000284</v>
      </c>
      <c r="J155" s="151">
        <f t="shared" si="192"/>
        <v>103.70000000000005</v>
      </c>
      <c r="K155" s="151">
        <f t="shared" si="192"/>
        <v>154.39499999999987</v>
      </c>
      <c r="L155" s="151">
        <f t="shared" si="192"/>
        <v>187.97100000000023</v>
      </c>
      <c r="M155" s="151">
        <f t="shared" si="192"/>
        <v>180.89500000000027</v>
      </c>
      <c r="N155" s="151">
        <f t="shared" ref="N155" si="193">N112+N127</f>
        <v>169.52400000000063</v>
      </c>
      <c r="O155" s="151">
        <f t="shared" si="192"/>
        <v>266.67788263281233</v>
      </c>
      <c r="P155" s="151">
        <f t="shared" si="192"/>
        <v>274.57133033707396</v>
      </c>
      <c r="Q155" s="151">
        <f t="shared" si="192"/>
        <v>295.41567061250242</v>
      </c>
      <c r="R155" s="151">
        <f t="shared" si="192"/>
        <v>320.60174188239375</v>
      </c>
      <c r="S155" s="151">
        <f t="shared" si="192"/>
        <v>340.52742721303707</v>
      </c>
      <c r="T155" s="151">
        <f t="shared" si="192"/>
        <v>364.77844901110268</v>
      </c>
      <c r="U155" s="151">
        <f t="shared" si="192"/>
        <v>390.00114291678199</v>
      </c>
      <c r="V155" s="151">
        <f t="shared" si="192"/>
        <v>415.50942759175484</v>
      </c>
      <c r="W155" s="151">
        <f t="shared" si="192"/>
        <v>443.31164758153125</v>
      </c>
      <c r="X155" s="151">
        <f t="shared" si="192"/>
        <v>472.46694288861488</v>
      </c>
      <c r="Y155" s="151">
        <f t="shared" si="192"/>
        <v>503.25738030999878</v>
      </c>
      <c r="Z155" s="151">
        <f t="shared" si="192"/>
        <v>536.14843112431424</v>
      </c>
      <c r="AA155" s="151">
        <f t="shared" si="192"/>
        <v>564.80791949876698</v>
      </c>
      <c r="AB155" s="151">
        <f t="shared" si="192"/>
        <v>594.72640177097037</v>
      </c>
      <c r="AC155" s="151">
        <f t="shared" si="192"/>
        <v>626.44045157963797</v>
      </c>
      <c r="AD155" s="151">
        <f t="shared" si="192"/>
        <v>660.02112948076194</v>
      </c>
      <c r="AE155" s="151">
        <f t="shared" si="192"/>
        <v>695.63625195994473</v>
      </c>
      <c r="AF155" s="151">
        <f t="shared" si="192"/>
        <v>733.43059335434145</v>
      </c>
      <c r="AG155" s="151">
        <f t="shared" si="192"/>
        <v>773.54895950941341</v>
      </c>
      <c r="AH155" s="151">
        <f t="shared" si="192"/>
        <v>816.16513796853451</v>
      </c>
      <c r="AI155" s="151">
        <f t="shared" si="192"/>
        <v>861.45374083142633</v>
      </c>
      <c r="AJ155" s="151">
        <f t="shared" ref="AJ155:BD155" si="194">AJ112+AJ127</f>
        <v>909.60189679575274</v>
      </c>
      <c r="AK155" s="151">
        <f t="shared" si="194"/>
        <v>960.81305533247428</v>
      </c>
      <c r="AL155" s="151">
        <f t="shared" si="194"/>
        <v>1015.3018475670506</v>
      </c>
      <c r="AM155" s="151">
        <f t="shared" si="194"/>
        <v>1073.2985937798126</v>
      </c>
      <c r="AN155" s="151">
        <f t="shared" si="194"/>
        <v>1135.0502339704917</v>
      </c>
      <c r="AO155" s="151">
        <f t="shared" si="194"/>
        <v>1200.8204245047671</v>
      </c>
      <c r="AP155" s="151">
        <f t="shared" si="194"/>
        <v>1270.8917646341206</v>
      </c>
      <c r="AQ155" s="151">
        <f t="shared" si="194"/>
        <v>1345.5669664774098</v>
      </c>
      <c r="AR155" s="151">
        <f t="shared" si="194"/>
        <v>1425.1702001642079</v>
      </c>
      <c r="AS155" s="151">
        <f t="shared" si="194"/>
        <v>1510.0489299998953</v>
      </c>
      <c r="AT155" s="151">
        <f t="shared" si="194"/>
        <v>1599.1988840428958</v>
      </c>
      <c r="AU155" s="151">
        <f t="shared" si="194"/>
        <v>1662.5850617638735</v>
      </c>
      <c r="AV155" s="151">
        <f t="shared" si="194"/>
        <v>1729.1829024750773</v>
      </c>
      <c r="AW155" s="151">
        <f t="shared" si="194"/>
        <v>1799.0920338147998</v>
      </c>
      <c r="AX155" s="151">
        <f t="shared" si="194"/>
        <v>1872.4213511952439</v>
      </c>
      <c r="AY155" s="151">
        <f t="shared" si="194"/>
        <v>1949.2889105305767</v>
      </c>
      <c r="AZ155" s="151">
        <f t="shared" si="194"/>
        <v>2029.8218599120187</v>
      </c>
      <c r="BA155" s="151">
        <f t="shared" si="194"/>
        <v>2114.1564293051747</v>
      </c>
      <c r="BB155" s="151">
        <f t="shared" si="194"/>
        <v>2202.4379652324201</v>
      </c>
      <c r="BC155" s="151">
        <f t="shared" si="194"/>
        <v>2294.8210056635317</v>
      </c>
      <c r="BD155" s="151">
        <f t="shared" si="194"/>
        <v>2391.4693971803727</v>
      </c>
    </row>
    <row r="156" spans="2:56" s="65" customFormat="1" x14ac:dyDescent="0.3">
      <c r="B156" s="66" t="s">
        <v>26</v>
      </c>
      <c r="C156" s="66" t="s">
        <v>27</v>
      </c>
      <c r="D156" s="78" t="e">
        <f t="shared" ref="D156:AI156" si="195">D155/ReceitaLíquida</f>
        <v>#DIV/0!</v>
      </c>
      <c r="E156" s="78" t="e">
        <f t="shared" si="195"/>
        <v>#DIV/0!</v>
      </c>
      <c r="F156" s="78" t="e">
        <f t="shared" si="195"/>
        <v>#DIV/0!</v>
      </c>
      <c r="G156" s="78">
        <f t="shared" si="195"/>
        <v>0.2449921863901123</v>
      </c>
      <c r="H156" s="78">
        <f t="shared" si="195"/>
        <v>0.23887337334363301</v>
      </c>
      <c r="I156" s="78">
        <f t="shared" si="195"/>
        <v>3.1081742535487164E-2</v>
      </c>
      <c r="J156" s="78">
        <f t="shared" si="195"/>
        <v>4.9569789674952222E-2</v>
      </c>
      <c r="K156" s="78">
        <f t="shared" si="195"/>
        <v>6.8102571793418401E-2</v>
      </c>
      <c r="L156" s="78">
        <f t="shared" si="195"/>
        <v>8.1327979280664278E-2</v>
      </c>
      <c r="M156" s="78">
        <f t="shared" si="195"/>
        <v>8.2273803324244721E-2</v>
      </c>
      <c r="N156" s="78">
        <f t="shared" ref="N156" si="196">N155/ReceitaLíquida</f>
        <v>7.5166306850605435E-2</v>
      </c>
      <c r="O156" s="78">
        <f t="shared" si="195"/>
        <v>0.11104405155311127</v>
      </c>
      <c r="P156" s="78">
        <f t="shared" si="195"/>
        <v>0.10915088957686217</v>
      </c>
      <c r="Q156" s="78">
        <f t="shared" si="195"/>
        <v>0.11128752354788764</v>
      </c>
      <c r="R156" s="78">
        <f t="shared" si="195"/>
        <v>0.11438724840984373</v>
      </c>
      <c r="S156" s="78">
        <f t="shared" si="195"/>
        <v>0.11508070819724268</v>
      </c>
      <c r="T156" s="78">
        <f t="shared" si="195"/>
        <v>0.1166624759354896</v>
      </c>
      <c r="U156" s="78">
        <f t="shared" si="195"/>
        <v>0.11798516050459402</v>
      </c>
      <c r="V156" s="78">
        <f t="shared" si="195"/>
        <v>0.11885756161018009</v>
      </c>
      <c r="W156" s="78">
        <f t="shared" si="195"/>
        <v>0.11983760652075046</v>
      </c>
      <c r="X156" s="78">
        <f t="shared" si="195"/>
        <v>0.1206408330117868</v>
      </c>
      <c r="Y156" s="78">
        <f t="shared" si="195"/>
        <v>0.12132513950803095</v>
      </c>
      <c r="Z156" s="78">
        <f t="shared" si="195"/>
        <v>0.1219758506653498</v>
      </c>
      <c r="AA156" s="78">
        <f t="shared" si="195"/>
        <v>0.12220904058106469</v>
      </c>
      <c r="AB156" s="78">
        <f t="shared" si="195"/>
        <v>0.12240460601720421</v>
      </c>
      <c r="AC156" s="78">
        <f t="shared" si="195"/>
        <v>0.12259548348988426</v>
      </c>
      <c r="AD156" s="78">
        <f t="shared" si="195"/>
        <v>0.1227734348492294</v>
      </c>
      <c r="AE156" s="78">
        <f t="shared" si="195"/>
        <v>0.12294690784902546</v>
      </c>
      <c r="AF156" s="78">
        <f t="shared" si="195"/>
        <v>0.1231175749431911</v>
      </c>
      <c r="AG156" s="78">
        <f t="shared" si="195"/>
        <v>0.12328540061626071</v>
      </c>
      <c r="AH156" s="78">
        <f t="shared" si="195"/>
        <v>0.12345306559711085</v>
      </c>
      <c r="AI156" s="78">
        <f t="shared" si="195"/>
        <v>0.12362128027475142</v>
      </c>
      <c r="AJ156" s="78">
        <f t="shared" ref="AJ156:BD156" si="197">AJ155/ReceitaLíquida</f>
        <v>0.12379067026673431</v>
      </c>
      <c r="AK156" s="78">
        <f t="shared" si="197"/>
        <v>0.12396211586523535</v>
      </c>
      <c r="AL156" s="78">
        <f t="shared" si="197"/>
        <v>0.12413595012288785</v>
      </c>
      <c r="AM156" s="78">
        <f t="shared" si="197"/>
        <v>0.12431246499739138</v>
      </c>
      <c r="AN156" s="78">
        <f t="shared" si="197"/>
        <v>0.1244918820637589</v>
      </c>
      <c r="AO156" s="78">
        <f t="shared" si="197"/>
        <v>0.12467424760736216</v>
      </c>
      <c r="AP156" s="78">
        <f t="shared" si="197"/>
        <v>0.12485955514365556</v>
      </c>
      <c r="AQ156" s="78">
        <f t="shared" si="197"/>
        <v>0.12504773001168767</v>
      </c>
      <c r="AR156" s="78">
        <f t="shared" si="197"/>
        <v>0.12523862815725223</v>
      </c>
      <c r="AS156" s="78">
        <f t="shared" si="197"/>
        <v>0.12543206772108043</v>
      </c>
      <c r="AT156" s="78">
        <f t="shared" si="197"/>
        <v>0.12560608497865774</v>
      </c>
      <c r="AU156" s="78">
        <f t="shared" si="197"/>
        <v>0.12530892891298298</v>
      </c>
      <c r="AV156" s="78">
        <f t="shared" si="197"/>
        <v>0.12505734288148987</v>
      </c>
      <c r="AW156" s="78">
        <f t="shared" si="197"/>
        <v>0.12484530531520666</v>
      </c>
      <c r="AX156" s="78">
        <f t="shared" si="197"/>
        <v>0.12466763263286902</v>
      </c>
      <c r="AY156" s="78">
        <f t="shared" si="197"/>
        <v>0.12451985973067073</v>
      </c>
      <c r="AZ156" s="78">
        <f t="shared" si="197"/>
        <v>0.12439813682699473</v>
      </c>
      <c r="BA156" s="78">
        <f t="shared" si="197"/>
        <v>0.12429914173714475</v>
      </c>
      <c r="BB156" s="78">
        <f t="shared" si="197"/>
        <v>0.12422000474306658</v>
      </c>
      <c r="BC156" s="78">
        <f t="shared" si="197"/>
        <v>0.1241582441657714</v>
      </c>
      <c r="BD156" s="78">
        <f t="shared" si="197"/>
        <v>0.12411171134624793</v>
      </c>
    </row>
    <row r="157" spans="2:56" s="65" customFormat="1" x14ac:dyDescent="0.3">
      <c r="B157" s="66"/>
      <c r="C157" s="66"/>
      <c r="D157" s="78"/>
      <c r="E157" s="78"/>
      <c r="F157" s="78"/>
      <c r="G157" s="152">
        <f>BD!G24-G155</f>
        <v>-282.59999999999997</v>
      </c>
      <c r="H157" s="152">
        <f>BD!H24-H155</f>
        <v>-288.3</v>
      </c>
      <c r="I157" s="152">
        <f>BD!I24-I155</f>
        <v>9.999999999973852E-2</v>
      </c>
      <c r="J157" s="152">
        <f>BD!J24-J155</f>
        <v>0</v>
      </c>
      <c r="K157" s="152">
        <f>BD!K24-K155</f>
        <v>-5.8000000000106411E-2</v>
      </c>
      <c r="L157" s="152">
        <f>BD!L24-L155</f>
        <v>-19.031999999999925</v>
      </c>
      <c r="M157" s="152">
        <f>BD!M24-M155</f>
        <v>0</v>
      </c>
      <c r="N157" s="152">
        <f>BD!N24-N155</f>
        <v>4.8999999999551846E-2</v>
      </c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  <c r="AU157" s="78"/>
      <c r="AV157" s="78"/>
      <c r="AW157" s="78"/>
      <c r="AX157" s="78"/>
      <c r="AY157" s="78"/>
      <c r="AZ157" s="78"/>
      <c r="BA157" s="78"/>
      <c r="BB157" s="78"/>
      <c r="BC157" s="78"/>
      <c r="BD157" s="78"/>
    </row>
    <row r="158" spans="2:56" s="65" customFormat="1" x14ac:dyDescent="0.3">
      <c r="B158" t="s">
        <v>78</v>
      </c>
      <c r="C158" s="66"/>
      <c r="D158" s="78"/>
      <c r="E158" s="78"/>
      <c r="F158" s="78"/>
      <c r="G158" s="565"/>
      <c r="H158" s="565"/>
      <c r="I158" s="565">
        <f t="shared" ref="I158:BD158" si="198">I115+I130+I143</f>
        <v>15.09999999999998</v>
      </c>
      <c r="J158" s="565">
        <f t="shared" si="198"/>
        <v>4.6000000000000227</v>
      </c>
      <c r="K158" s="565">
        <f t="shared" si="198"/>
        <v>43.499999999999993</v>
      </c>
      <c r="L158" s="565">
        <f t="shared" si="198"/>
        <v>86.000000000000071</v>
      </c>
      <c r="M158" s="565">
        <f t="shared" si="198"/>
        <v>70.899999999999977</v>
      </c>
      <c r="N158" s="565">
        <f t="shared" ref="N158" si="199">N115+N130+N143</f>
        <v>44.799999999999898</v>
      </c>
      <c r="O158" s="565">
        <f t="shared" si="198"/>
        <v>68.284354842260612</v>
      </c>
      <c r="P158" s="565">
        <f t="shared" si="198"/>
        <v>66.691563769865013</v>
      </c>
      <c r="Q158" s="565">
        <f t="shared" si="198"/>
        <v>62.977396797771178</v>
      </c>
      <c r="R158" s="565">
        <f t="shared" si="198"/>
        <v>69.489159416056637</v>
      </c>
      <c r="S158" s="565">
        <f t="shared" si="198"/>
        <v>69.806977477162349</v>
      </c>
      <c r="T158" s="565">
        <f t="shared" si="198"/>
        <v>70.832056877861817</v>
      </c>
      <c r="U158" s="565">
        <f t="shared" si="198"/>
        <v>73.600879820936086</v>
      </c>
      <c r="V158" s="565">
        <f t="shared" si="198"/>
        <v>74.991342286228999</v>
      </c>
      <c r="W158" s="565">
        <f t="shared" si="198"/>
        <v>76.77649075815188</v>
      </c>
      <c r="X158" s="565">
        <f t="shared" si="198"/>
        <v>78.840614899531928</v>
      </c>
      <c r="Y158" s="565">
        <f t="shared" si="198"/>
        <v>80.644029359655605</v>
      </c>
      <c r="Z158" s="565">
        <f t="shared" si="198"/>
        <v>82.598019071805993</v>
      </c>
      <c r="AA158" s="565">
        <f t="shared" si="198"/>
        <v>84.612460851517369</v>
      </c>
      <c r="AB158" s="565">
        <f t="shared" si="198"/>
        <v>86.611983799546024</v>
      </c>
      <c r="AC158" s="565">
        <f t="shared" si="198"/>
        <v>88.685297264426652</v>
      </c>
      <c r="AD158" s="565">
        <f t="shared" si="198"/>
        <v>90.801862238320936</v>
      </c>
      <c r="AE158" s="565">
        <f t="shared" si="198"/>
        <v>92.953061736527104</v>
      </c>
      <c r="AF158" s="565">
        <f t="shared" si="198"/>
        <v>95.156895129404049</v>
      </c>
      <c r="AG158" s="565">
        <f t="shared" si="198"/>
        <v>97.40544684781517</v>
      </c>
      <c r="AH158" s="565">
        <f t="shared" si="198"/>
        <v>99.699122746836451</v>
      </c>
      <c r="AI158" s="565">
        <f t="shared" si="198"/>
        <v>102.04165820194396</v>
      </c>
      <c r="AJ158" s="565">
        <f t="shared" si="198"/>
        <v>104.43152944061504</v>
      </c>
      <c r="AK158" s="565">
        <f t="shared" si="198"/>
        <v>106.86956211349739</v>
      </c>
      <c r="AL158" s="565">
        <f t="shared" si="198"/>
        <v>109.35673486889335</v>
      </c>
      <c r="AM158" s="565">
        <f t="shared" si="198"/>
        <v>111.89300583727099</v>
      </c>
      <c r="AN158" s="565">
        <f t="shared" si="198"/>
        <v>114.47887416919703</v>
      </c>
      <c r="AO158" s="565">
        <f t="shared" si="198"/>
        <v>117.11471411717054</v>
      </c>
      <c r="AP158" s="565">
        <f t="shared" si="198"/>
        <v>119.80067144613355</v>
      </c>
      <c r="AQ158" s="565">
        <f t="shared" si="198"/>
        <v>122.53695498896438</v>
      </c>
      <c r="AR158" s="565">
        <f t="shared" si="198"/>
        <v>125.32366018031497</v>
      </c>
      <c r="AS158" s="565">
        <f t="shared" si="198"/>
        <v>128.16077260428497</v>
      </c>
      <c r="AT158" s="565">
        <f t="shared" si="198"/>
        <v>131.04821125265269</v>
      </c>
      <c r="AU158" s="565">
        <f t="shared" si="198"/>
        <v>133.98702245260239</v>
      </c>
      <c r="AV158" s="565">
        <f t="shared" si="198"/>
        <v>137.00552005476499</v>
      </c>
      <c r="AW158" s="565">
        <f t="shared" si="198"/>
        <v>140.10362436867646</v>
      </c>
      <c r="AX158" s="565">
        <f t="shared" si="198"/>
        <v>143.28141634671269</v>
      </c>
      <c r="AY158" s="565">
        <f t="shared" si="198"/>
        <v>146.53912362603577</v>
      </c>
      <c r="AZ158" s="565">
        <f t="shared" si="198"/>
        <v>149.8771062444236</v>
      </c>
      <c r="BA158" s="565">
        <f t="shared" si="198"/>
        <v>153.29584136382303</v>
      </c>
      <c r="BB158" s="565">
        <f t="shared" si="198"/>
        <v>156.79591185054093</v>
      </c>
      <c r="BC158" s="565">
        <f t="shared" si="198"/>
        <v>160.37799527863672</v>
      </c>
      <c r="BD158" s="565">
        <f t="shared" si="198"/>
        <v>164.04285368562751</v>
      </c>
    </row>
    <row r="159" spans="2:56" s="65" customFormat="1" x14ac:dyDescent="0.3">
      <c r="B159" t="s">
        <v>486</v>
      </c>
      <c r="C159" s="66"/>
      <c r="D159" s="78"/>
      <c r="E159" s="78"/>
      <c r="F159" s="78"/>
      <c r="G159" s="565"/>
      <c r="H159" s="565"/>
      <c r="I159" s="565">
        <f t="shared" ref="I159:BD159" si="200">I116+I131+I144</f>
        <v>51.800000000000203</v>
      </c>
      <c r="J159" s="565">
        <f t="shared" si="200"/>
        <v>102.69999999999996</v>
      </c>
      <c r="K159" s="565">
        <f t="shared" si="200"/>
        <v>114.50000000000011</v>
      </c>
      <c r="L159" s="565">
        <f t="shared" si="200"/>
        <v>105.59999999999982</v>
      </c>
      <c r="M159" s="565">
        <f t="shared" si="200"/>
        <v>114.30000000000004</v>
      </c>
      <c r="N159" s="565">
        <f t="shared" ref="N159" si="201">N116+N131+N144</f>
        <v>131.19999999999999</v>
      </c>
      <c r="O159" s="565">
        <f t="shared" si="200"/>
        <v>201.54068970986378</v>
      </c>
      <c r="P159" s="565">
        <f t="shared" si="200"/>
        <v>207.97669754975684</v>
      </c>
      <c r="Q159" s="565">
        <f t="shared" si="200"/>
        <v>231.94688426857189</v>
      </c>
      <c r="R159" s="565">
        <f t="shared" si="200"/>
        <v>251.27583734701426</v>
      </c>
      <c r="S159" s="565">
        <f t="shared" si="200"/>
        <v>270.90074827297502</v>
      </c>
      <c r="T159" s="565">
        <f t="shared" si="200"/>
        <v>294.12255538787269</v>
      </c>
      <c r="U159" s="565">
        <f t="shared" si="200"/>
        <v>316.81433603392964</v>
      </c>
      <c r="V159" s="565">
        <f t="shared" si="200"/>
        <v>341.00040973503599</v>
      </c>
      <c r="W159" s="565">
        <f t="shared" si="200"/>
        <v>367.11111993551486</v>
      </c>
      <c r="X159" s="565">
        <f t="shared" si="200"/>
        <v>394.33869760728203</v>
      </c>
      <c r="Y159" s="565">
        <f t="shared" si="200"/>
        <v>423.42200273140998</v>
      </c>
      <c r="Z159" s="565">
        <f t="shared" si="200"/>
        <v>454.46915964599714</v>
      </c>
      <c r="AA159" s="565">
        <f t="shared" si="200"/>
        <v>481.18981623340107</v>
      </c>
      <c r="AB159" s="565">
        <f t="shared" si="200"/>
        <v>509.17562421994057</v>
      </c>
      <c r="AC159" s="565">
        <f t="shared" si="200"/>
        <v>538.8908709340725</v>
      </c>
      <c r="AD159" s="565">
        <f t="shared" si="200"/>
        <v>570.43397141636706</v>
      </c>
      <c r="AE159" s="565">
        <f t="shared" si="200"/>
        <v>603.97940734970803</v>
      </c>
      <c r="AF159" s="565">
        <f t="shared" si="200"/>
        <v>639.65731294775492</v>
      </c>
      <c r="AG159" s="565">
        <f t="shared" si="200"/>
        <v>677.61962482902766</v>
      </c>
      <c r="AH159" s="565">
        <f t="shared" si="200"/>
        <v>718.03992731466462</v>
      </c>
      <c r="AI159" s="565">
        <f t="shared" si="200"/>
        <v>761.0901832559606</v>
      </c>
      <c r="AJ159" s="565">
        <f t="shared" si="200"/>
        <v>806.9591973653761</v>
      </c>
      <c r="AK159" s="565">
        <f t="shared" si="200"/>
        <v>855.850131859567</v>
      </c>
      <c r="AL159" s="565">
        <f t="shared" si="200"/>
        <v>907.97731511040479</v>
      </c>
      <c r="AM159" s="565">
        <f t="shared" si="200"/>
        <v>963.57161474543852</v>
      </c>
      <c r="AN159" s="565">
        <f t="shared" si="200"/>
        <v>1022.8801217412502</v>
      </c>
      <c r="AO159" s="565">
        <f t="shared" si="200"/>
        <v>1086.1668125141628</v>
      </c>
      <c r="AP159" s="565">
        <f t="shared" si="200"/>
        <v>1153.7148399978073</v>
      </c>
      <c r="AQ159" s="565">
        <f t="shared" si="200"/>
        <v>1225.8274845150595</v>
      </c>
      <c r="AR159" s="565">
        <f t="shared" si="200"/>
        <v>1302.8296470429816</v>
      </c>
      <c r="AS159" s="565">
        <f t="shared" si="200"/>
        <v>1385.0696835022914</v>
      </c>
      <c r="AT159" s="565">
        <f t="shared" si="200"/>
        <v>1471.5345395423917</v>
      </c>
      <c r="AU159" s="565">
        <f t="shared" si="200"/>
        <v>1531.9730931165664</v>
      </c>
      <c r="AV159" s="565">
        <f t="shared" si="200"/>
        <v>1595.5605996842103</v>
      </c>
      <c r="AW159" s="565">
        <f t="shared" si="200"/>
        <v>1662.3956113911076</v>
      </c>
      <c r="AX159" s="565">
        <f t="shared" si="200"/>
        <v>1732.5859457865347</v>
      </c>
      <c r="AY159" s="565">
        <f t="shared" si="200"/>
        <v>1806.2485770449414</v>
      </c>
      <c r="AZ159" s="565">
        <f t="shared" si="200"/>
        <v>1883.5095680744105</v>
      </c>
      <c r="BA159" s="565">
        <f t="shared" si="200"/>
        <v>1964.5040624181936</v>
      </c>
      <c r="BB159" s="565">
        <f t="shared" si="200"/>
        <v>2049.3763194113922</v>
      </c>
      <c r="BC159" s="565">
        <f t="shared" si="200"/>
        <v>2138.279790264145</v>
      </c>
      <c r="BD159" s="565">
        <f t="shared" si="200"/>
        <v>2231.3772366912303</v>
      </c>
    </row>
    <row r="160" spans="2:56" s="65" customFormat="1" x14ac:dyDescent="0.3">
      <c r="B160" s="509" t="s">
        <v>448</v>
      </c>
      <c r="C160" s="66"/>
      <c r="D160" s="78"/>
      <c r="E160" s="78"/>
      <c r="F160" s="78"/>
      <c r="G160" s="565"/>
      <c r="H160" s="565"/>
      <c r="I160" s="565">
        <f t="shared" ref="I160:BD160" si="202">I117+I132+I145</f>
        <v>-38.300000000000026</v>
      </c>
      <c r="J160" s="565">
        <f t="shared" si="202"/>
        <v>-31.399999999999984</v>
      </c>
      <c r="K160" s="565">
        <f t="shared" si="202"/>
        <v>-34.000000000000014</v>
      </c>
      <c r="L160" s="565">
        <f t="shared" si="202"/>
        <v>-10.999999999999995</v>
      </c>
      <c r="M160" s="565">
        <f t="shared" si="202"/>
        <v>1.100000000000017</v>
      </c>
      <c r="N160" s="565">
        <f t="shared" ref="N160" si="203">N117+N132+N145</f>
        <v>8.300000000000022</v>
      </c>
      <c r="O160" s="565">
        <f t="shared" si="202"/>
        <v>9.29759314170796</v>
      </c>
      <c r="P160" s="565">
        <f t="shared" si="202"/>
        <v>12.993479060294923</v>
      </c>
      <c r="Q160" s="565">
        <f t="shared" si="202"/>
        <v>17.061789407053602</v>
      </c>
      <c r="R160" s="565">
        <f t="shared" si="202"/>
        <v>19.57372268055542</v>
      </c>
      <c r="S160" s="565">
        <f t="shared" si="202"/>
        <v>22.757150490778336</v>
      </c>
      <c r="T160" s="565">
        <f t="shared" si="202"/>
        <v>25.927122860067882</v>
      </c>
      <c r="U160" s="565">
        <f t="shared" si="202"/>
        <v>28.718106282600601</v>
      </c>
      <c r="V160" s="565">
        <f t="shared" si="202"/>
        <v>31.667695402436941</v>
      </c>
      <c r="W160" s="565">
        <f t="shared" si="202"/>
        <v>34.583819511452091</v>
      </c>
      <c r="X160" s="565">
        <f t="shared" si="202"/>
        <v>37.418688956390518</v>
      </c>
      <c r="Y160" s="565">
        <f t="shared" si="202"/>
        <v>40.303939186866863</v>
      </c>
      <c r="Z160" s="565">
        <f t="shared" si="202"/>
        <v>43.192316896991002</v>
      </c>
      <c r="AA160" s="565">
        <f t="shared" si="202"/>
        <v>46.089298530621136</v>
      </c>
      <c r="AB160" s="565">
        <f t="shared" si="202"/>
        <v>49.036652598916142</v>
      </c>
      <c r="AC160" s="565">
        <f t="shared" si="202"/>
        <v>52.028801516993283</v>
      </c>
      <c r="AD160" s="565">
        <f t="shared" si="202"/>
        <v>55.076375463987134</v>
      </c>
      <c r="AE160" s="565">
        <f t="shared" si="202"/>
        <v>58.193698221517415</v>
      </c>
      <c r="AF160" s="565">
        <f t="shared" si="202"/>
        <v>61.385732089896386</v>
      </c>
      <c r="AG160" s="565">
        <f t="shared" si="202"/>
        <v>64.662073864400028</v>
      </c>
      <c r="AH160" s="565">
        <f t="shared" si="202"/>
        <v>68.032243102994613</v>
      </c>
      <c r="AI160" s="565">
        <f t="shared" si="202"/>
        <v>71.503797033829514</v>
      </c>
      <c r="AJ160" s="565">
        <f t="shared" si="202"/>
        <v>75.085480660454607</v>
      </c>
      <c r="AK160" s="565">
        <f t="shared" si="202"/>
        <v>78.785815748463037</v>
      </c>
      <c r="AL160" s="565">
        <f t="shared" si="202"/>
        <v>82.612978008703664</v>
      </c>
      <c r="AM160" s="565">
        <f t="shared" si="202"/>
        <v>86.575472022085449</v>
      </c>
      <c r="AN160" s="565">
        <f t="shared" si="202"/>
        <v>90.681768087629791</v>
      </c>
      <c r="AO160" s="565">
        <f t="shared" si="202"/>
        <v>94.940361703940809</v>
      </c>
      <c r="AP160" s="565">
        <f t="shared" si="202"/>
        <v>99.359920344052014</v>
      </c>
      <c r="AQ160" s="565">
        <f t="shared" si="202"/>
        <v>103.94920994771185</v>
      </c>
      <c r="AR160" s="565">
        <f t="shared" si="202"/>
        <v>108.71713980016953</v>
      </c>
      <c r="AS160" s="565">
        <f t="shared" si="202"/>
        <v>113.6728038832087</v>
      </c>
      <c r="AT160" s="565">
        <f t="shared" si="202"/>
        <v>118.82547874943312</v>
      </c>
      <c r="AU160" s="565">
        <f t="shared" si="202"/>
        <v>124.18596506340671</v>
      </c>
      <c r="AV160" s="565">
        <f t="shared" si="202"/>
        <v>129.79426230649818</v>
      </c>
      <c r="AW160" s="565">
        <f t="shared" si="202"/>
        <v>135.66070354990697</v>
      </c>
      <c r="AX160" s="565">
        <f t="shared" si="202"/>
        <v>141.79620199622101</v>
      </c>
      <c r="AY160" s="565">
        <f t="shared" si="202"/>
        <v>148.21226266455795</v>
      </c>
      <c r="AZ160" s="565">
        <f t="shared" si="202"/>
        <v>154.92099534138836</v>
      </c>
      <c r="BA160" s="565">
        <f t="shared" si="202"/>
        <v>161.93513128427074</v>
      </c>
      <c r="BB160" s="565">
        <f t="shared" si="202"/>
        <v>169.26804131727405</v>
      </c>
      <c r="BC160" s="565">
        <f t="shared" si="202"/>
        <v>176.93375587927801</v>
      </c>
      <c r="BD160" s="565">
        <f t="shared" si="202"/>
        <v>184.94698736350074</v>
      </c>
    </row>
    <row r="161" spans="2:56" s="65" customFormat="1" x14ac:dyDescent="0.3">
      <c r="B161" s="509" t="s">
        <v>487</v>
      </c>
      <c r="C161" s="66"/>
      <c r="D161" s="78"/>
      <c r="E161" s="78"/>
      <c r="F161" s="78"/>
      <c r="G161" s="565"/>
      <c r="H161" s="565"/>
      <c r="I161" s="565">
        <f t="shared" ref="I161:BD161" si="204">I118+I133+I146</f>
        <v>90.100000000000136</v>
      </c>
      <c r="J161" s="565">
        <f t="shared" si="204"/>
        <v>134.09999999999997</v>
      </c>
      <c r="K161" s="565">
        <f t="shared" si="204"/>
        <v>148.50000000000003</v>
      </c>
      <c r="L161" s="565">
        <f t="shared" si="204"/>
        <v>116.59999999999991</v>
      </c>
      <c r="M161" s="565">
        <f t="shared" si="204"/>
        <v>113.20000000000003</v>
      </c>
      <c r="N161" s="565">
        <f t="shared" ref="N161" si="205">N118+N133+N146</f>
        <v>122.90000000000003</v>
      </c>
      <c r="O161" s="565">
        <f t="shared" si="204"/>
        <v>192.24309656815566</v>
      </c>
      <c r="P161" s="565">
        <f t="shared" si="204"/>
        <v>194.98321848946199</v>
      </c>
      <c r="Q161" s="565">
        <f t="shared" si="204"/>
        <v>214.88509486151818</v>
      </c>
      <c r="R161" s="565">
        <f t="shared" si="204"/>
        <v>231.70211466645878</v>
      </c>
      <c r="S161" s="565">
        <f t="shared" si="204"/>
        <v>248.14359778219665</v>
      </c>
      <c r="T161" s="565">
        <f t="shared" si="204"/>
        <v>268.19543252780488</v>
      </c>
      <c r="U161" s="565">
        <f t="shared" si="204"/>
        <v>288.0962297513293</v>
      </c>
      <c r="V161" s="565">
        <f t="shared" si="204"/>
        <v>309.33271433259921</v>
      </c>
      <c r="W161" s="565">
        <f t="shared" si="204"/>
        <v>332.52730042406296</v>
      </c>
      <c r="X161" s="565">
        <f t="shared" si="204"/>
        <v>356.92000865089182</v>
      </c>
      <c r="Y161" s="565">
        <f t="shared" si="204"/>
        <v>383.11806354454347</v>
      </c>
      <c r="Z161" s="565">
        <f t="shared" si="204"/>
        <v>411.27684274900651</v>
      </c>
      <c r="AA161" s="565">
        <f t="shared" si="204"/>
        <v>435.10051770277977</v>
      </c>
      <c r="AB161" s="565">
        <f t="shared" si="204"/>
        <v>460.13897162102438</v>
      </c>
      <c r="AC161" s="565">
        <f t="shared" si="204"/>
        <v>486.86206941707883</v>
      </c>
      <c r="AD161" s="565">
        <f t="shared" si="204"/>
        <v>515.35759595237971</v>
      </c>
      <c r="AE161" s="565">
        <f t="shared" si="204"/>
        <v>545.78570912819066</v>
      </c>
      <c r="AF161" s="565">
        <f t="shared" si="204"/>
        <v>578.27158085785834</v>
      </c>
      <c r="AG161" s="565">
        <f t="shared" si="204"/>
        <v>612.95755096462756</v>
      </c>
      <c r="AH161" s="565">
        <f t="shared" si="204"/>
        <v>650.00768421167015</v>
      </c>
      <c r="AI161" s="565">
        <f t="shared" si="204"/>
        <v>689.58638622213164</v>
      </c>
      <c r="AJ161" s="565">
        <f t="shared" si="204"/>
        <v>731.87371670492143</v>
      </c>
      <c r="AK161" s="565">
        <f t="shared" si="204"/>
        <v>777.0643161111044</v>
      </c>
      <c r="AL161" s="565">
        <f t="shared" si="204"/>
        <v>825.36433710170093</v>
      </c>
      <c r="AM161" s="565">
        <f t="shared" si="204"/>
        <v>876.99614272335282</v>
      </c>
      <c r="AN161" s="565">
        <f t="shared" si="204"/>
        <v>932.19835365361973</v>
      </c>
      <c r="AO161" s="565">
        <f t="shared" si="204"/>
        <v>991.22645081022245</v>
      </c>
      <c r="AP161" s="565">
        <f t="shared" si="204"/>
        <v>1054.3549196537554</v>
      </c>
      <c r="AQ161" s="565">
        <f t="shared" si="204"/>
        <v>1121.8782745673477</v>
      </c>
      <c r="AR161" s="565">
        <f t="shared" si="204"/>
        <v>1194.1125072428122</v>
      </c>
      <c r="AS161" s="565">
        <f t="shared" si="204"/>
        <v>1271.3968796190825</v>
      </c>
      <c r="AT161" s="565">
        <f t="shared" si="204"/>
        <v>1352.709060792959</v>
      </c>
      <c r="AU161" s="565">
        <f t="shared" si="204"/>
        <v>1407.7871280531601</v>
      </c>
      <c r="AV161" s="565">
        <f t="shared" si="204"/>
        <v>1465.7663373777109</v>
      </c>
      <c r="AW161" s="565">
        <f t="shared" si="204"/>
        <v>1526.7349078412021</v>
      </c>
      <c r="AX161" s="565">
        <f t="shared" si="204"/>
        <v>1590.7897437903137</v>
      </c>
      <c r="AY161" s="565">
        <f t="shared" si="204"/>
        <v>1658.0363143803834</v>
      </c>
      <c r="AZ161" s="565">
        <f t="shared" si="204"/>
        <v>1728.5885727330235</v>
      </c>
      <c r="BA161" s="565">
        <f t="shared" si="204"/>
        <v>1802.5689311339227</v>
      </c>
      <c r="BB161" s="565">
        <f t="shared" si="204"/>
        <v>1880.1082780941197</v>
      </c>
      <c r="BC161" s="565">
        <f t="shared" si="204"/>
        <v>1961.3460343848649</v>
      </c>
      <c r="BD161" s="565">
        <f t="shared" si="204"/>
        <v>2046.4302493277289</v>
      </c>
    </row>
    <row r="162" spans="2:56" s="65" customFormat="1" x14ac:dyDescent="0.3">
      <c r="B162" s="66"/>
      <c r="C162" s="66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78"/>
      <c r="BA162" s="78"/>
      <c r="BB162" s="78"/>
      <c r="BC162" s="78"/>
      <c r="BD162" s="78"/>
    </row>
    <row r="163" spans="2:56" s="65" customFormat="1" x14ac:dyDescent="0.3">
      <c r="B163" t="s">
        <v>78</v>
      </c>
      <c r="C163" s="66"/>
      <c r="D163" s="78"/>
      <c r="E163" s="78"/>
      <c r="F163" s="78"/>
      <c r="G163" s="573"/>
      <c r="H163" s="573"/>
      <c r="I163" s="573">
        <f t="shared" ref="I163:N163" si="206">I158/I$35</f>
        <v>2.117515075024538E-2</v>
      </c>
      <c r="J163" s="573">
        <f t="shared" si="206"/>
        <v>6.5883700945288202E-3</v>
      </c>
      <c r="K163" s="573">
        <f t="shared" si="206"/>
        <v>4.7088114310456806E-2</v>
      </c>
      <c r="L163" s="573">
        <f t="shared" si="206"/>
        <v>8.9100704517198578E-2</v>
      </c>
      <c r="M163" s="573">
        <f t="shared" si="206"/>
        <v>9.0364516951312743E-2</v>
      </c>
      <c r="N163" s="573">
        <f t="shared" si="206"/>
        <v>5.1821862348178017E-2</v>
      </c>
      <c r="O163" s="573">
        <f t="shared" ref="O163:BD163" si="207">O158/O$35</f>
        <v>7.7060593143941217E-2</v>
      </c>
      <c r="P163" s="573">
        <f t="shared" si="207"/>
        <v>7.3427403702445174E-2</v>
      </c>
      <c r="Q163" s="573">
        <f t="shared" si="207"/>
        <v>6.7646932987472069E-2</v>
      </c>
      <c r="R163" s="573">
        <f t="shared" si="207"/>
        <v>7.2820993382960664E-2</v>
      </c>
      <c r="S163" s="573">
        <f t="shared" si="207"/>
        <v>7.1369804914113308E-2</v>
      </c>
      <c r="T163" s="573">
        <f t="shared" si="207"/>
        <v>7.0651545003257918E-2</v>
      </c>
      <c r="U163" s="573">
        <f t="shared" si="207"/>
        <v>7.1622743163570049E-2</v>
      </c>
      <c r="V163" s="573">
        <f t="shared" si="207"/>
        <v>7.1195936404966215E-2</v>
      </c>
      <c r="W163" s="573">
        <f t="shared" si="207"/>
        <v>7.1112913437984718E-2</v>
      </c>
      <c r="X163" s="573">
        <f t="shared" si="207"/>
        <v>7.1243681145850696E-2</v>
      </c>
      <c r="Y163" s="573">
        <f t="shared" si="207"/>
        <v>7.1095923874773925E-2</v>
      </c>
      <c r="Z163" s="573">
        <f t="shared" si="207"/>
        <v>7.1042502225478324E-2</v>
      </c>
      <c r="AA163" s="573">
        <f t="shared" si="207"/>
        <v>7.1000119301230444E-2</v>
      </c>
      <c r="AB163" s="573">
        <f t="shared" si="207"/>
        <v>7.0905328413718785E-2</v>
      </c>
      <c r="AC163" s="573">
        <f t="shared" si="207"/>
        <v>7.0831860218754636E-2</v>
      </c>
      <c r="AD163" s="573">
        <f t="shared" si="207"/>
        <v>7.075349729565851E-2</v>
      </c>
      <c r="AE163" s="573">
        <f t="shared" si="207"/>
        <v>7.0663149465811939E-2</v>
      </c>
      <c r="AF163" s="573">
        <f t="shared" si="207"/>
        <v>7.0574155229284161E-2</v>
      </c>
      <c r="AG163" s="573">
        <f t="shared" si="207"/>
        <v>7.0479822712072829E-2</v>
      </c>
      <c r="AH163" s="573">
        <f t="shared" si="207"/>
        <v>7.0379962569011245E-2</v>
      </c>
      <c r="AI163" s="573">
        <f t="shared" si="207"/>
        <v>7.0276696200289382E-2</v>
      </c>
      <c r="AJ163" s="573">
        <f t="shared" si="207"/>
        <v>7.01684046046996E-2</v>
      </c>
      <c r="AK163" s="573">
        <f t="shared" si="207"/>
        <v>7.0055159838379705E-2</v>
      </c>
      <c r="AL163" s="573">
        <f t="shared" si="207"/>
        <v>6.9937123797814471E-2</v>
      </c>
      <c r="AM163" s="573">
        <f t="shared" si="207"/>
        <v>6.9813804943686983E-2</v>
      </c>
      <c r="AN163" s="573">
        <f t="shared" si="207"/>
        <v>6.9685087861432057E-2</v>
      </c>
      <c r="AO163" s="573">
        <f t="shared" si="207"/>
        <v>6.9550795138226318E-2</v>
      </c>
      <c r="AP163" s="573">
        <f t="shared" si="207"/>
        <v>6.9410635962890113E-2</v>
      </c>
      <c r="AQ163" s="573">
        <f t="shared" si="207"/>
        <v>6.9264386210783319E-2</v>
      </c>
      <c r="AR163" s="573">
        <f t="shared" si="207"/>
        <v>6.9111785160290276E-2</v>
      </c>
      <c r="AS163" s="573">
        <f t="shared" si="207"/>
        <v>6.8952543685180723E-2</v>
      </c>
      <c r="AT163" s="573">
        <f t="shared" si="207"/>
        <v>6.8786372506935131E-2</v>
      </c>
      <c r="AU163" s="573">
        <f t="shared" si="207"/>
        <v>6.8613595914552544E-2</v>
      </c>
      <c r="AV163" s="573">
        <f t="shared" si="207"/>
        <v>6.8448138968275951E-2</v>
      </c>
      <c r="AW163" s="573">
        <f t="shared" si="207"/>
        <v>6.8288737541292249E-2</v>
      </c>
      <c r="AX163" s="573">
        <f t="shared" si="207"/>
        <v>6.8134286785230744E-2</v>
      </c>
      <c r="AY163" s="573">
        <f t="shared" si="207"/>
        <v>6.798382140045893E-2</v>
      </c>
      <c r="AZ163" s="573">
        <f t="shared" si="207"/>
        <v>6.7836497547209523E-2</v>
      </c>
      <c r="BA163" s="573">
        <f t="shared" si="207"/>
        <v>6.769157600305821E-2</v>
      </c>
      <c r="BB163" s="573">
        <f t="shared" si="207"/>
        <v>6.7548408610483807E-2</v>
      </c>
      <c r="BC163" s="573">
        <f t="shared" si="207"/>
        <v>6.7406426169393338E-2</v>
      </c>
      <c r="BD163" s="573">
        <f t="shared" si="207"/>
        <v>6.7265127788645226E-2</v>
      </c>
    </row>
    <row r="164" spans="2:56" s="65" customFormat="1" x14ac:dyDescent="0.3">
      <c r="B164" t="s">
        <v>486</v>
      </c>
      <c r="C164" s="66"/>
      <c r="D164" s="78"/>
      <c r="E164" s="78"/>
      <c r="F164" s="78"/>
      <c r="G164" s="573"/>
      <c r="H164" s="573"/>
      <c r="I164" s="573">
        <f t="shared" ref="I164:N164" si="208">I159/I$20</f>
        <v>3.8950297014813291E-2</v>
      </c>
      <c r="J164" s="573">
        <f t="shared" si="208"/>
        <v>7.019342491969105E-2</v>
      </c>
      <c r="K164" s="573">
        <f t="shared" si="208"/>
        <v>8.0730451949517099E-2</v>
      </c>
      <c r="L164" s="573">
        <f t="shared" si="208"/>
        <v>7.4978699233172283E-2</v>
      </c>
      <c r="M164" s="573">
        <f t="shared" si="208"/>
        <v>7.6799032453134478E-2</v>
      </c>
      <c r="N164" s="573">
        <f t="shared" si="208"/>
        <v>8.9452512442899035E-2</v>
      </c>
      <c r="O164" s="573">
        <f t="shared" ref="O164:BD164" si="209">O159/O$20</f>
        <v>0.12668255647721249</v>
      </c>
      <c r="P164" s="573">
        <f t="shared" si="209"/>
        <v>0.12305713579174872</v>
      </c>
      <c r="Q164" s="573">
        <f t="shared" si="209"/>
        <v>0.12813097171173443</v>
      </c>
      <c r="R164" s="573">
        <f t="shared" si="209"/>
        <v>0.12957995398814615</v>
      </c>
      <c r="S164" s="573">
        <f t="shared" si="209"/>
        <v>0.13039709168984726</v>
      </c>
      <c r="T164" s="573">
        <f t="shared" si="209"/>
        <v>0.13213161745998869</v>
      </c>
      <c r="U164" s="573">
        <f t="shared" si="209"/>
        <v>0.13281743512146582</v>
      </c>
      <c r="V164" s="573">
        <f t="shared" si="209"/>
        <v>0.1333917994459273</v>
      </c>
      <c r="W164" s="573">
        <f t="shared" si="209"/>
        <v>0.133982738777499</v>
      </c>
      <c r="X164" s="573">
        <f t="shared" si="209"/>
        <v>0.13426162055370325</v>
      </c>
      <c r="Y164" s="573">
        <f t="shared" si="209"/>
        <v>0.13447518443678844</v>
      </c>
      <c r="Z164" s="573">
        <f t="shared" si="209"/>
        <v>0.13462180369451709</v>
      </c>
      <c r="AA164" s="573">
        <f t="shared" si="209"/>
        <v>0.13439874634393681</v>
      </c>
      <c r="AB164" s="573">
        <f t="shared" si="209"/>
        <v>0.13416019475994909</v>
      </c>
      <c r="AC164" s="573">
        <f t="shared" si="209"/>
        <v>0.13391813427768035</v>
      </c>
      <c r="AD164" s="573">
        <f t="shared" si="209"/>
        <v>0.13366927258987824</v>
      </c>
      <c r="AE164" s="573">
        <f t="shared" si="209"/>
        <v>0.13342619959146226</v>
      </c>
      <c r="AF164" s="573">
        <f t="shared" si="209"/>
        <v>0.13318775797773427</v>
      </c>
      <c r="AG164" s="573">
        <f t="shared" si="209"/>
        <v>0.13295544097242165</v>
      </c>
      <c r="AH164" s="573">
        <f t="shared" si="209"/>
        <v>0.13273250623150068</v>
      </c>
      <c r="AI164" s="573">
        <f t="shared" si="209"/>
        <v>0.13251922804936375</v>
      </c>
      <c r="AJ164" s="573">
        <f t="shared" si="209"/>
        <v>0.13231654161155906</v>
      </c>
      <c r="AK164" s="573">
        <f t="shared" si="209"/>
        <v>0.13212531127266278</v>
      </c>
      <c r="AL164" s="573">
        <f t="shared" si="209"/>
        <v>0.13194570583153245</v>
      </c>
      <c r="AM164" s="573">
        <f t="shared" si="209"/>
        <v>0.1317779544509188</v>
      </c>
      <c r="AN164" s="573">
        <f t="shared" si="209"/>
        <v>0.13162212554847613</v>
      </c>
      <c r="AO164" s="573">
        <f t="shared" si="209"/>
        <v>0.13147808694996099</v>
      </c>
      <c r="AP164" s="573">
        <f t="shared" si="209"/>
        <v>0.13134566174458878</v>
      </c>
      <c r="AQ164" s="573">
        <f t="shared" si="209"/>
        <v>0.13122458369990342</v>
      </c>
      <c r="AR164" s="573">
        <f t="shared" si="209"/>
        <v>0.13111451415895753</v>
      </c>
      <c r="AS164" s="573">
        <f t="shared" si="209"/>
        <v>0.13101507859517941</v>
      </c>
      <c r="AT164" s="573">
        <f t="shared" si="209"/>
        <v>0.13090780709619426</v>
      </c>
      <c r="AU164" s="573">
        <f t="shared" si="209"/>
        <v>0.13041571741792574</v>
      </c>
      <c r="AV164" s="573">
        <f t="shared" si="209"/>
        <v>0.12997978376658256</v>
      </c>
      <c r="AW164" s="573">
        <f t="shared" si="209"/>
        <v>0.12959271841277201</v>
      </c>
      <c r="AX164" s="573">
        <f t="shared" si="209"/>
        <v>0.12924826235155343</v>
      </c>
      <c r="AY164" s="573">
        <f t="shared" si="209"/>
        <v>0.12894103541613122</v>
      </c>
      <c r="AZ164" s="573">
        <f t="shared" si="209"/>
        <v>0.12866640764178788</v>
      </c>
      <c r="BA164" s="573">
        <f t="shared" si="209"/>
        <v>0.12842039036055167</v>
      </c>
      <c r="BB164" s="573">
        <f t="shared" si="209"/>
        <v>0.12819954318255153</v>
      </c>
      <c r="BC164" s="573">
        <f t="shared" si="209"/>
        <v>0.12800089457669023</v>
      </c>
      <c r="BD164" s="573">
        <f t="shared" si="209"/>
        <v>0.12782187429532099</v>
      </c>
    </row>
    <row r="165" spans="2:56" s="65" customFormat="1" x14ac:dyDescent="0.3">
      <c r="B165" s="509" t="s">
        <v>448</v>
      </c>
      <c r="C165" s="66"/>
      <c r="D165" s="78"/>
      <c r="E165" s="78"/>
      <c r="F165" s="78"/>
      <c r="G165" s="573"/>
      <c r="H165" s="573"/>
      <c r="I165" s="573">
        <f t="shared" ref="I165:N165" si="210">I160/I$28</f>
        <v>-0.15443548387096784</v>
      </c>
      <c r="J165" s="573">
        <f t="shared" si="210"/>
        <v>-0.11091487107029312</v>
      </c>
      <c r="K165" s="573">
        <f t="shared" si="210"/>
        <v>-0.12810851544837987</v>
      </c>
      <c r="L165" s="573">
        <f t="shared" si="210"/>
        <v>-4.3633478778262576E-2</v>
      </c>
      <c r="M165" s="573">
        <f t="shared" si="210"/>
        <v>4.3512658227848767E-3</v>
      </c>
      <c r="N165" s="573">
        <f t="shared" si="210"/>
        <v>3.197226502311256E-2</v>
      </c>
      <c r="O165" s="573">
        <f t="shared" ref="O165:BD165" si="211">O160/O$28</f>
        <v>3.4272797832911726E-2</v>
      </c>
      <c r="P165" s="573">
        <f t="shared" si="211"/>
        <v>4.5834044477225694E-2</v>
      </c>
      <c r="Q165" s="573">
        <f t="shared" si="211"/>
        <v>5.7593174562793122E-2</v>
      </c>
      <c r="R165" s="573">
        <f t="shared" si="211"/>
        <v>6.3227146341015145E-2</v>
      </c>
      <c r="S165" s="573">
        <f t="shared" si="211"/>
        <v>7.0344758192213516E-2</v>
      </c>
      <c r="T165" s="573">
        <f t="shared" si="211"/>
        <v>7.6692323382359595E-2</v>
      </c>
      <c r="U165" s="573">
        <f t="shared" si="211"/>
        <v>8.1289991322050253E-2</v>
      </c>
      <c r="V165" s="573">
        <f t="shared" si="211"/>
        <v>8.5779092497587542E-2</v>
      </c>
      <c r="W165" s="573">
        <f t="shared" si="211"/>
        <v>8.9644088123165155E-2</v>
      </c>
      <c r="X165" s="573">
        <f t="shared" si="211"/>
        <v>9.2815599554282396E-2</v>
      </c>
      <c r="Y165" s="573">
        <f t="shared" si="211"/>
        <v>9.5667320859028571E-2</v>
      </c>
      <c r="Z165" s="573">
        <f t="shared" si="211"/>
        <v>9.810843033122818E-2</v>
      </c>
      <c r="AA165" s="573">
        <f t="shared" si="211"/>
        <v>0.10018060136875404</v>
      </c>
      <c r="AB165" s="573">
        <f t="shared" si="211"/>
        <v>0.10199715584562184</v>
      </c>
      <c r="AC165" s="573">
        <f t="shared" si="211"/>
        <v>0.10356065228436076</v>
      </c>
      <c r="AD165" s="573">
        <f t="shared" si="211"/>
        <v>0.10490592479744593</v>
      </c>
      <c r="AE165" s="573">
        <f t="shared" si="211"/>
        <v>0.10607043058607453</v>
      </c>
      <c r="AF165" s="573">
        <f t="shared" si="211"/>
        <v>0.10707042423825795</v>
      </c>
      <c r="AG165" s="573">
        <f t="shared" si="211"/>
        <v>0.1079283214375301</v>
      </c>
      <c r="AH165" s="573">
        <f t="shared" si="211"/>
        <v>0.10866365112088795</v>
      </c>
      <c r="AI165" s="573">
        <f t="shared" si="211"/>
        <v>0.10929047589008173</v>
      </c>
      <c r="AJ165" s="573">
        <f t="shared" si="211"/>
        <v>0.1098228948708591</v>
      </c>
      <c r="AK165" s="573">
        <f t="shared" si="211"/>
        <v>0.11027286741731558</v>
      </c>
      <c r="AL165" s="573">
        <f t="shared" si="211"/>
        <v>0.11065030590198266</v>
      </c>
      <c r="AM165" s="573">
        <f t="shared" si="211"/>
        <v>0.11096420825724961</v>
      </c>
      <c r="AN165" s="573">
        <f t="shared" si="211"/>
        <v>0.11122226614226821</v>
      </c>
      <c r="AO165" s="573">
        <f t="shared" si="211"/>
        <v>0.11143108307949683</v>
      </c>
      <c r="AP165" s="573">
        <f t="shared" si="211"/>
        <v>0.11159645887991446</v>
      </c>
      <c r="AQ165" s="573">
        <f t="shared" si="211"/>
        <v>0.11172338404483366</v>
      </c>
      <c r="AR165" s="573">
        <f t="shared" si="211"/>
        <v>0.11181617108059412</v>
      </c>
      <c r="AS165" s="573">
        <f t="shared" si="211"/>
        <v>0.11187856326457776</v>
      </c>
      <c r="AT165" s="573">
        <f t="shared" si="211"/>
        <v>0.11191378659564534</v>
      </c>
      <c r="AU165" s="573">
        <f t="shared" si="211"/>
        <v>0.11192580940822074</v>
      </c>
      <c r="AV165" s="573">
        <f t="shared" si="211"/>
        <v>0.11194299731214651</v>
      </c>
      <c r="AW165" s="573">
        <f t="shared" si="211"/>
        <v>0.1119642077092617</v>
      </c>
      <c r="AX165" s="573">
        <f t="shared" si="211"/>
        <v>0.11198850685437263</v>
      </c>
      <c r="AY165" s="573">
        <f t="shared" si="211"/>
        <v>0.11201513400327827</v>
      </c>
      <c r="AZ165" s="573">
        <f t="shared" si="211"/>
        <v>0.11204347076413983</v>
      </c>
      <c r="BA165" s="573">
        <f t="shared" si="211"/>
        <v>0.11207301670770185</v>
      </c>
      <c r="BB165" s="573">
        <f t="shared" si="211"/>
        <v>0.11210336856428708</v>
      </c>
      <c r="BC165" s="573">
        <f t="shared" si="211"/>
        <v>0.11213420288423526</v>
      </c>
      <c r="BD165" s="573">
        <f t="shared" si="211"/>
        <v>0.11216526183875068</v>
      </c>
    </row>
    <row r="166" spans="2:56" s="65" customFormat="1" x14ac:dyDescent="0.3">
      <c r="B166" s="509" t="s">
        <v>487</v>
      </c>
      <c r="C166" s="66"/>
      <c r="D166" s="78"/>
      <c r="E166" s="78"/>
      <c r="F166" s="78"/>
      <c r="G166" s="573"/>
      <c r="H166" s="573"/>
      <c r="I166" s="573">
        <f t="shared" ref="I166:N166" si="212">I161/I$22</f>
        <v>8.3279415842499427E-2</v>
      </c>
      <c r="J166" s="573">
        <f t="shared" si="212"/>
        <v>0.11364406779661014</v>
      </c>
      <c r="K166" s="573">
        <f t="shared" si="212"/>
        <v>0.1288056206088993</v>
      </c>
      <c r="L166" s="573">
        <f t="shared" si="212"/>
        <v>0.10083888264291266</v>
      </c>
      <c r="M166" s="573">
        <f t="shared" si="212"/>
        <v>9.1622824767300715E-2</v>
      </c>
      <c r="N166" s="573">
        <f t="shared" si="212"/>
        <v>0.10181426559522827</v>
      </c>
      <c r="O166" s="573">
        <f t="shared" ref="O166:BD166" si="213">O161/O$22</f>
        <v>0.1456796394300249</v>
      </c>
      <c r="P166" s="573">
        <f t="shared" si="213"/>
        <v>0.13862095202331984</v>
      </c>
      <c r="Q166" s="573">
        <f t="shared" si="213"/>
        <v>0.14193333898320198</v>
      </c>
      <c r="R166" s="573">
        <f t="shared" si="213"/>
        <v>0.14218527082694796</v>
      </c>
      <c r="S166" s="573">
        <f t="shared" si="213"/>
        <v>0.14147319824327187</v>
      </c>
      <c r="T166" s="573">
        <f t="shared" si="213"/>
        <v>0.14205906736498983</v>
      </c>
      <c r="U166" s="573">
        <f t="shared" si="213"/>
        <v>0.1417756481562614</v>
      </c>
      <c r="V166" s="573">
        <f t="shared" si="213"/>
        <v>0.14142832697107835</v>
      </c>
      <c r="W166" s="573">
        <f t="shared" si="213"/>
        <v>0.14124866210433032</v>
      </c>
      <c r="X166" s="573">
        <f t="shared" si="213"/>
        <v>0.14085569667779982</v>
      </c>
      <c r="Y166" s="573">
        <f t="shared" si="213"/>
        <v>0.14046969353923147</v>
      </c>
      <c r="Z166" s="573">
        <f t="shared" si="213"/>
        <v>0.14009761686937336</v>
      </c>
      <c r="AA166" s="573">
        <f t="shared" si="213"/>
        <v>0.13944400183539304</v>
      </c>
      <c r="AB166" s="573">
        <f t="shared" si="213"/>
        <v>0.13882538879290068</v>
      </c>
      <c r="AC166" s="573">
        <f t="shared" si="213"/>
        <v>0.13824896016042093</v>
      </c>
      <c r="AD166" s="573">
        <f t="shared" si="213"/>
        <v>0.13770427223264792</v>
      </c>
      <c r="AE166" s="573">
        <f t="shared" si="213"/>
        <v>0.13719895988452091</v>
      </c>
      <c r="AF166" s="573">
        <f t="shared" si="213"/>
        <v>0.13672816246615538</v>
      </c>
      <c r="AG166" s="573">
        <f t="shared" si="213"/>
        <v>0.13628937242938513</v>
      </c>
      <c r="AH166" s="573">
        <f t="shared" si="213"/>
        <v>0.13588265795967483</v>
      </c>
      <c r="AI166" s="573">
        <f t="shared" si="213"/>
        <v>0.13550558125735215</v>
      </c>
      <c r="AJ166" s="573">
        <f t="shared" si="213"/>
        <v>0.13515657853616256</v>
      </c>
      <c r="AK166" s="573">
        <f t="shared" si="213"/>
        <v>0.13483439932051003</v>
      </c>
      <c r="AL166" s="573">
        <f t="shared" si="213"/>
        <v>0.13453736981176953</v>
      </c>
      <c r="AM166" s="573">
        <f t="shared" si="213"/>
        <v>0.134264087606384</v>
      </c>
      <c r="AN166" s="573">
        <f t="shared" si="213"/>
        <v>0.13401320874999464</v>
      </c>
      <c r="AO166" s="573">
        <f t="shared" si="213"/>
        <v>0.13378336457904741</v>
      </c>
      <c r="AP166" s="573">
        <f t="shared" si="213"/>
        <v>0.13357329244099742</v>
      </c>
      <c r="AQ166" s="573">
        <f t="shared" si="213"/>
        <v>0.13338177769767492</v>
      </c>
      <c r="AR166" s="573">
        <f t="shared" si="213"/>
        <v>0.13320764965551729</v>
      </c>
      <c r="AS166" s="573">
        <f t="shared" si="213"/>
        <v>0.13304980323870741</v>
      </c>
      <c r="AT166" s="573">
        <f t="shared" si="213"/>
        <v>0.13288900349800647</v>
      </c>
      <c r="AU166" s="573">
        <f t="shared" si="213"/>
        <v>0.13234433170038415</v>
      </c>
      <c r="AV166" s="573">
        <f t="shared" si="213"/>
        <v>0.13186113460658763</v>
      </c>
      <c r="AW166" s="573">
        <f t="shared" si="213"/>
        <v>0.1314314835111931</v>
      </c>
      <c r="AX166" s="573">
        <f t="shared" si="213"/>
        <v>0.13104856395100598</v>
      </c>
      <c r="AY166" s="573">
        <f t="shared" si="213"/>
        <v>0.13070651392425447</v>
      </c>
      <c r="AZ166" s="573">
        <f t="shared" si="213"/>
        <v>0.13040028503381226</v>
      </c>
      <c r="BA166" s="573">
        <f t="shared" si="213"/>
        <v>0.1301255247663595</v>
      </c>
      <c r="BB166" s="573">
        <f t="shared" si="213"/>
        <v>0.12987847594119134</v>
      </c>
      <c r="BC166" s="573">
        <f t="shared" si="213"/>
        <v>0.1296558908155773</v>
      </c>
      <c r="BD166" s="573">
        <f t="shared" si="213"/>
        <v>0.12945495794196799</v>
      </c>
    </row>
    <row r="167" spans="2:56" s="65" customFormat="1" x14ac:dyDescent="0.3">
      <c r="B167" s="66"/>
      <c r="C167" s="66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78"/>
      <c r="BA167" s="78"/>
      <c r="BB167" s="78"/>
      <c r="BC167" s="78"/>
      <c r="BD167" s="78"/>
    </row>
    <row r="168" spans="2:56" s="65" customFormat="1" x14ac:dyDescent="0.3">
      <c r="B168" s="66"/>
      <c r="C168" s="66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78"/>
      <c r="AV168" s="78"/>
      <c r="AW168" s="78"/>
      <c r="AX168" s="78"/>
      <c r="AY168" s="78"/>
      <c r="AZ168" s="78"/>
      <c r="BA168" s="78"/>
      <c r="BB168" s="78"/>
      <c r="BC168" s="78"/>
      <c r="BD168" s="78"/>
    </row>
    <row r="169" spans="2:56" s="65" customFormat="1" x14ac:dyDescent="0.3">
      <c r="B169" s="66"/>
      <c r="C169" s="66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78"/>
      <c r="BA169" s="78"/>
      <c r="BB169" s="78"/>
      <c r="BC169" s="78"/>
      <c r="BD169" s="78"/>
    </row>
    <row r="170" spans="2:56" s="31" customFormat="1" x14ac:dyDescent="0.3">
      <c r="B170" s="83" t="s">
        <v>493</v>
      </c>
      <c r="C170" s="83"/>
      <c r="D170" s="630">
        <f>BD!D287</f>
        <v>0</v>
      </c>
      <c r="E170" s="630">
        <f>BD!E287</f>
        <v>0</v>
      </c>
      <c r="F170" s="630">
        <f>BD!F287</f>
        <v>0</v>
      </c>
      <c r="G170" s="630">
        <f>BD!G287</f>
        <v>0</v>
      </c>
      <c r="H170" s="630">
        <f>BD!H287</f>
        <v>0</v>
      </c>
      <c r="I170" s="630">
        <f>BD!I287</f>
        <v>91.5</v>
      </c>
      <c r="J170" s="630">
        <f>BD!J287</f>
        <v>86</v>
      </c>
      <c r="K170" s="630">
        <f>BD!K287</f>
        <v>78.7</v>
      </c>
      <c r="L170" s="630">
        <f>BD!L287</f>
        <v>77.699999999999989</v>
      </c>
      <c r="M170" s="630">
        <f>BD!M287</f>
        <v>73.7</v>
      </c>
      <c r="N170" s="630">
        <f>BD!N287</f>
        <v>75.000000000000014</v>
      </c>
      <c r="O170" s="631">
        <f t="shared" ref="O170:AI170" si="214">Depreciação</f>
        <v>71.153500000000008</v>
      </c>
      <c r="P170" s="631">
        <f t="shared" si="214"/>
        <v>71.251731207304161</v>
      </c>
      <c r="Q170" s="631">
        <f t="shared" si="214"/>
        <v>71.715259331902317</v>
      </c>
      <c r="R170" s="631">
        <f t="shared" si="214"/>
        <v>72.586517965840045</v>
      </c>
      <c r="S170" s="631">
        <f t="shared" si="214"/>
        <v>73.851159116220202</v>
      </c>
      <c r="T170" s="631">
        <f t="shared" si="214"/>
        <v>75.49233517961656</v>
      </c>
      <c r="U170" s="631">
        <f t="shared" si="214"/>
        <v>77.506567938433747</v>
      </c>
      <c r="V170" s="631">
        <f t="shared" si="214"/>
        <v>79.889028885232563</v>
      </c>
      <c r="W170" s="631">
        <f t="shared" si="214"/>
        <v>82.637574603567174</v>
      </c>
      <c r="X170" s="631">
        <f t="shared" si="214"/>
        <v>85.755031981569019</v>
      </c>
      <c r="Y170" s="631">
        <f t="shared" si="214"/>
        <v>89.245802616734508</v>
      </c>
      <c r="Z170" s="631">
        <f t="shared" si="214"/>
        <v>93.117183412995118</v>
      </c>
      <c r="AA170" s="631">
        <f t="shared" si="214"/>
        <v>97.379540079946125</v>
      </c>
      <c r="AB170" s="631">
        <f t="shared" si="214"/>
        <v>101.91924936425566</v>
      </c>
      <c r="AC170" s="631">
        <f t="shared" si="214"/>
        <v>106.7418188165942</v>
      </c>
      <c r="AD170" s="631">
        <f t="shared" si="214"/>
        <v>111.86261392940524</v>
      </c>
      <c r="AE170" s="631">
        <f t="shared" si="214"/>
        <v>117.29828835148327</v>
      </c>
      <c r="AF170" s="631">
        <f t="shared" si="214"/>
        <v>123.06694768995914</v>
      </c>
      <c r="AG170" s="631">
        <f t="shared" si="214"/>
        <v>129.18819805847681</v>
      </c>
      <c r="AH170" s="631">
        <f t="shared" si="214"/>
        <v>135.68320476324405</v>
      </c>
      <c r="AI170" s="631">
        <f t="shared" si="214"/>
        <v>142.57480455944341</v>
      </c>
      <c r="AJ170" s="631">
        <f t="shared" ref="AJ170:BD170" si="215">Depreciação</f>
        <v>149.88759533893389</v>
      </c>
      <c r="AK170" s="631">
        <f t="shared" si="215"/>
        <v>157.64804133435248</v>
      </c>
      <c r="AL170" s="631">
        <f t="shared" si="215"/>
        <v>165.88459611748766</v>
      </c>
      <c r="AM170" s="631">
        <f t="shared" si="215"/>
        <v>174.62782868967395</v>
      </c>
      <c r="AN170" s="631">
        <f t="shared" si="215"/>
        <v>183.91056326441259</v>
      </c>
      <c r="AO170" s="631">
        <f t="shared" si="215"/>
        <v>193.76803200067062</v>
      </c>
      <c r="AP170" s="631">
        <f t="shared" si="215"/>
        <v>204.23803867736567</v>
      </c>
      <c r="AQ170" s="631">
        <f t="shared" si="215"/>
        <v>215.36113654441439</v>
      </c>
      <c r="AR170" s="631">
        <f t="shared" si="215"/>
        <v>227.18082052348009</v>
      </c>
      <c r="AS170" s="631">
        <f t="shared" si="215"/>
        <v>239.74373429882408</v>
      </c>
      <c r="AT170" s="631">
        <f t="shared" si="215"/>
        <v>253.09989388900735</v>
      </c>
      <c r="AU170" s="631">
        <f t="shared" si="215"/>
        <v>267.27403817392599</v>
      </c>
      <c r="AV170" s="631">
        <f t="shared" si="215"/>
        <v>281.65793036721067</v>
      </c>
      <c r="AW170" s="631">
        <f t="shared" si="215"/>
        <v>296.30505443771847</v>
      </c>
      <c r="AX170" s="631">
        <f t="shared" si="215"/>
        <v>311.26638004162629</v>
      </c>
      <c r="AY170" s="631">
        <f t="shared" si="215"/>
        <v>326.59078878845156</v>
      </c>
      <c r="AZ170" s="631">
        <f t="shared" si="215"/>
        <v>342.32546031771068</v>
      </c>
      <c r="BA170" s="631">
        <f t="shared" si="215"/>
        <v>358.51622289154597</v>
      </c>
      <c r="BB170" s="631">
        <f t="shared" si="215"/>
        <v>375.20787272309298</v>
      </c>
      <c r="BC170" s="631">
        <f t="shared" si="215"/>
        <v>392.44446581027574</v>
      </c>
      <c r="BD170" s="631">
        <f t="shared" si="215"/>
        <v>410.26958563801099</v>
      </c>
    </row>
    <row r="171" spans="2:56" x14ac:dyDescent="0.3">
      <c r="B171" t="s">
        <v>78</v>
      </c>
      <c r="D171" s="505">
        <f>BD!D288</f>
        <v>0</v>
      </c>
      <c r="E171" s="505">
        <f>BD!E288</f>
        <v>0</v>
      </c>
      <c r="F171" s="505">
        <f>BD!F288</f>
        <v>0</v>
      </c>
      <c r="G171" s="505">
        <f>BD!G288</f>
        <v>0</v>
      </c>
      <c r="H171" s="505">
        <f>BD!H288</f>
        <v>0</v>
      </c>
      <c r="I171" s="505">
        <f>BD!I288</f>
        <v>7.2</v>
      </c>
      <c r="J171" s="505">
        <f>BD!J288</f>
        <v>5.8</v>
      </c>
      <c r="K171" s="505">
        <f>BD!K288</f>
        <v>4.2</v>
      </c>
      <c r="L171" s="505">
        <f>BD!L288</f>
        <v>3</v>
      </c>
      <c r="M171" s="505">
        <f>BD!M288</f>
        <v>2.8</v>
      </c>
      <c r="N171" s="505">
        <f>BD!N288</f>
        <v>3.3</v>
      </c>
      <c r="O171" s="77">
        <f t="shared" ref="O171:O174" si="216">O$170*(N171/N$170)</f>
        <v>3.1307539999999996</v>
      </c>
      <c r="P171" s="77">
        <f t="shared" ref="P171:BD171" si="217">P$170*(O171/O$170)</f>
        <v>3.1350761731213823</v>
      </c>
      <c r="Q171" s="77">
        <f t="shared" si="217"/>
        <v>3.1554714106037012</v>
      </c>
      <c r="R171" s="77">
        <f t="shared" si="217"/>
        <v>3.1938067904969611</v>
      </c>
      <c r="S171" s="77">
        <f t="shared" si="217"/>
        <v>3.2494510011136883</v>
      </c>
      <c r="T171" s="77">
        <f t="shared" si="217"/>
        <v>3.3216627479031278</v>
      </c>
      <c r="U171" s="77">
        <f t="shared" si="217"/>
        <v>3.4102889892910841</v>
      </c>
      <c r="V171" s="77">
        <f t="shared" si="217"/>
        <v>3.5151172709502321</v>
      </c>
      <c r="W171" s="77">
        <f t="shared" si="217"/>
        <v>3.6360532825569547</v>
      </c>
      <c r="X171" s="77">
        <f t="shared" si="217"/>
        <v>3.7732214071890362</v>
      </c>
      <c r="Y171" s="77">
        <f t="shared" si="217"/>
        <v>3.9268153151363174</v>
      </c>
      <c r="Z171" s="77">
        <f t="shared" si="217"/>
        <v>4.097156070171784</v>
      </c>
      <c r="AA171" s="77">
        <f t="shared" si="217"/>
        <v>4.2846997635176276</v>
      </c>
      <c r="AB171" s="77">
        <f t="shared" si="217"/>
        <v>4.4844469720272473</v>
      </c>
      <c r="AC171" s="77">
        <f t="shared" si="217"/>
        <v>4.696640027930143</v>
      </c>
      <c r="AD171" s="77">
        <f t="shared" si="217"/>
        <v>4.9219550128938288</v>
      </c>
      <c r="AE171" s="77">
        <f t="shared" si="217"/>
        <v>5.1611246874652617</v>
      </c>
      <c r="AF171" s="77">
        <f t="shared" si="217"/>
        <v>5.4149456983582001</v>
      </c>
      <c r="AG171" s="77">
        <f t="shared" si="217"/>
        <v>5.6842807145729779</v>
      </c>
      <c r="AH171" s="77">
        <f t="shared" si="217"/>
        <v>5.9700610095827358</v>
      </c>
      <c r="AI171" s="77">
        <f t="shared" si="217"/>
        <v>6.2732914006155074</v>
      </c>
      <c r="AJ171" s="77">
        <f t="shared" si="217"/>
        <v>6.5950541949130885</v>
      </c>
      <c r="AK171" s="77">
        <f t="shared" si="217"/>
        <v>6.9365138187115063</v>
      </c>
      <c r="AL171" s="77">
        <f t="shared" si="217"/>
        <v>7.2989222291694542</v>
      </c>
      <c r="AM171" s="77">
        <f t="shared" si="217"/>
        <v>7.6836244623456507</v>
      </c>
      <c r="AN171" s="77">
        <f t="shared" si="217"/>
        <v>8.0920647836341502</v>
      </c>
      <c r="AO171" s="77">
        <f t="shared" si="217"/>
        <v>8.5257934080295019</v>
      </c>
      <c r="AP171" s="77">
        <f t="shared" si="217"/>
        <v>8.9864737018040852</v>
      </c>
      <c r="AQ171" s="77">
        <f t="shared" si="217"/>
        <v>9.475890007954229</v>
      </c>
      <c r="AR171" s="77">
        <f t="shared" si="217"/>
        <v>9.9959561030331194</v>
      </c>
      <c r="AS171" s="77">
        <f t="shared" si="217"/>
        <v>10.548724309148254</v>
      </c>
      <c r="AT171" s="77">
        <f t="shared" si="217"/>
        <v>11.136395331116317</v>
      </c>
      <c r="AU171" s="77">
        <f t="shared" si="217"/>
        <v>11.760057679652737</v>
      </c>
      <c r="AV171" s="77">
        <f t="shared" si="217"/>
        <v>12.392948936157262</v>
      </c>
      <c r="AW171" s="77">
        <f t="shared" si="217"/>
        <v>13.037422395259606</v>
      </c>
      <c r="AX171" s="77">
        <f t="shared" si="217"/>
        <v>13.695720721831549</v>
      </c>
      <c r="AY171" s="77">
        <f t="shared" si="217"/>
        <v>14.369994706691861</v>
      </c>
      <c r="AZ171" s="77">
        <f t="shared" si="217"/>
        <v>15.062320253979262</v>
      </c>
      <c r="BA171" s="77">
        <f t="shared" si="217"/>
        <v>15.774713807228014</v>
      </c>
      <c r="BB171" s="77">
        <f t="shared" si="217"/>
        <v>16.509146399816082</v>
      </c>
      <c r="BC171" s="77">
        <f t="shared" si="217"/>
        <v>17.267556495652123</v>
      </c>
      <c r="BD171" s="77">
        <f t="shared" si="217"/>
        <v>18.051861768072474</v>
      </c>
    </row>
    <row r="172" spans="2:56" x14ac:dyDescent="0.3">
      <c r="B172" t="s">
        <v>486</v>
      </c>
      <c r="D172" s="505">
        <f>BD!D289</f>
        <v>0</v>
      </c>
      <c r="E172" s="505">
        <f>BD!E289</f>
        <v>0</v>
      </c>
      <c r="F172" s="505">
        <f>BD!F289</f>
        <v>0</v>
      </c>
      <c r="G172" s="505">
        <f>BD!G289</f>
        <v>0</v>
      </c>
      <c r="H172" s="505">
        <f>BD!H289</f>
        <v>0</v>
      </c>
      <c r="I172" s="505">
        <f>BD!I289</f>
        <v>84.3</v>
      </c>
      <c r="J172" s="505">
        <f>BD!J289</f>
        <v>80.2</v>
      </c>
      <c r="K172" s="505">
        <f>BD!K289</f>
        <v>74.5</v>
      </c>
      <c r="L172" s="505">
        <f>BD!L289</f>
        <v>74.699999999999989</v>
      </c>
      <c r="M172" s="505">
        <f>BD!M289</f>
        <v>70.900000000000006</v>
      </c>
      <c r="N172" s="505">
        <f>BD!N289</f>
        <v>71.700000000000017</v>
      </c>
      <c r="O172" s="77">
        <f t="shared" si="216"/>
        <v>68.022746000000012</v>
      </c>
      <c r="P172" s="77">
        <f t="shared" ref="P172:BD172" si="218">P$170*(O172/O$170)</f>
        <v>68.116655034182784</v>
      </c>
      <c r="Q172" s="77">
        <f t="shared" si="218"/>
        <v>68.559787921298621</v>
      </c>
      <c r="R172" s="77">
        <f t="shared" si="218"/>
        <v>69.392711175343095</v>
      </c>
      <c r="S172" s="77">
        <f t="shared" si="218"/>
        <v>70.601708115106533</v>
      </c>
      <c r="T172" s="77">
        <f t="shared" si="218"/>
        <v>72.170672431713456</v>
      </c>
      <c r="U172" s="77">
        <f t="shared" si="218"/>
        <v>74.096278949142686</v>
      </c>
      <c r="V172" s="77">
        <f t="shared" si="218"/>
        <v>76.373911614282349</v>
      </c>
      <c r="W172" s="77">
        <f t="shared" si="218"/>
        <v>79.001521321010244</v>
      </c>
      <c r="X172" s="77">
        <f t="shared" si="218"/>
        <v>81.981810574380006</v>
      </c>
      <c r="Y172" s="77">
        <f t="shared" si="218"/>
        <v>85.318987301598213</v>
      </c>
      <c r="Z172" s="77">
        <f t="shared" si="218"/>
        <v>89.020027342823354</v>
      </c>
      <c r="AA172" s="77">
        <f t="shared" si="218"/>
        <v>93.094840316428517</v>
      </c>
      <c r="AB172" s="77">
        <f t="shared" si="218"/>
        <v>97.434802392228434</v>
      </c>
      <c r="AC172" s="77">
        <f t="shared" si="218"/>
        <v>102.04517878866407</v>
      </c>
      <c r="AD172" s="77">
        <f t="shared" si="218"/>
        <v>106.94065891651144</v>
      </c>
      <c r="AE172" s="77">
        <f t="shared" si="218"/>
        <v>112.13716366401803</v>
      </c>
      <c r="AF172" s="77">
        <f t="shared" si="218"/>
        <v>117.65200199160097</v>
      </c>
      <c r="AG172" s="77">
        <f t="shared" si="218"/>
        <v>123.50391734390388</v>
      </c>
      <c r="AH172" s="77">
        <f t="shared" si="218"/>
        <v>129.71314375366134</v>
      </c>
      <c r="AI172" s="77">
        <f t="shared" si="218"/>
        <v>136.30151315882793</v>
      </c>
      <c r="AJ172" s="77">
        <f t="shared" si="218"/>
        <v>143.29254114402082</v>
      </c>
      <c r="AK172" s="77">
        <f t="shared" si="218"/>
        <v>150.711527515641</v>
      </c>
      <c r="AL172" s="77">
        <f t="shared" si="218"/>
        <v>158.58567388831821</v>
      </c>
      <c r="AM172" s="77">
        <f t="shared" si="218"/>
        <v>166.9442042273283</v>
      </c>
      <c r="AN172" s="77">
        <f t="shared" si="218"/>
        <v>175.81849848077846</v>
      </c>
      <c r="AO172" s="77">
        <f t="shared" si="218"/>
        <v>185.24223859264114</v>
      </c>
      <c r="AP172" s="77">
        <f t="shared" si="218"/>
        <v>195.25156497556162</v>
      </c>
      <c r="AQ172" s="77">
        <f t="shared" si="218"/>
        <v>205.88524653646019</v>
      </c>
      <c r="AR172" s="77">
        <f t="shared" si="218"/>
        <v>217.18486442044698</v>
      </c>
      <c r="AS172" s="77">
        <f t="shared" si="218"/>
        <v>229.19500998967584</v>
      </c>
      <c r="AT172" s="77">
        <f t="shared" si="218"/>
        <v>241.96349855789103</v>
      </c>
      <c r="AU172" s="77">
        <f t="shared" si="218"/>
        <v>255.51398049427326</v>
      </c>
      <c r="AV172" s="77">
        <f t="shared" si="218"/>
        <v>269.2649814310534</v>
      </c>
      <c r="AW172" s="77">
        <f t="shared" si="218"/>
        <v>283.26763204245884</v>
      </c>
      <c r="AX172" s="77">
        <f t="shared" si="218"/>
        <v>297.57065931979474</v>
      </c>
      <c r="AY172" s="77">
        <f t="shared" si="218"/>
        <v>312.22079408175972</v>
      </c>
      <c r="AZ172" s="77">
        <f t="shared" si="218"/>
        <v>327.26314006373144</v>
      </c>
      <c r="BA172" s="77">
        <f t="shared" si="218"/>
        <v>342.74150908431795</v>
      </c>
      <c r="BB172" s="77">
        <f t="shared" si="218"/>
        <v>358.6987263232769</v>
      </c>
      <c r="BC172" s="77">
        <f t="shared" si="218"/>
        <v>375.17690931462363</v>
      </c>
      <c r="BD172" s="77">
        <f t="shared" si="218"/>
        <v>392.21772386993854</v>
      </c>
    </row>
    <row r="173" spans="2:56" x14ac:dyDescent="0.3">
      <c r="B173" s="509" t="s">
        <v>448</v>
      </c>
      <c r="D173" s="505">
        <f>BD!D290</f>
        <v>0</v>
      </c>
      <c r="E173" s="505">
        <f>BD!E290</f>
        <v>0</v>
      </c>
      <c r="F173" s="505">
        <f>BD!F290</f>
        <v>0</v>
      </c>
      <c r="G173" s="505">
        <f>BD!G290</f>
        <v>0</v>
      </c>
      <c r="H173" s="505">
        <f>BD!H290</f>
        <v>0</v>
      </c>
      <c r="I173" s="505">
        <f>BD!I290</f>
        <v>12.2</v>
      </c>
      <c r="J173" s="505">
        <f>BD!J290</f>
        <v>12.9</v>
      </c>
      <c r="K173" s="505">
        <f>BD!K290</f>
        <v>11.2</v>
      </c>
      <c r="L173" s="505">
        <f>BD!L290</f>
        <v>9.6</v>
      </c>
      <c r="M173" s="505">
        <f>BD!M290</f>
        <v>3.9</v>
      </c>
      <c r="N173" s="505">
        <f>BD!N290</f>
        <v>3.3</v>
      </c>
      <c r="O173" s="77">
        <f t="shared" si="216"/>
        <v>3.1307539999999996</v>
      </c>
      <c r="P173" s="77">
        <f t="shared" ref="P173:BD173" si="219">P$170*(O173/O$170)</f>
        <v>3.1350761731213823</v>
      </c>
      <c r="Q173" s="77">
        <f t="shared" si="219"/>
        <v>3.1554714106037012</v>
      </c>
      <c r="R173" s="77">
        <f t="shared" si="219"/>
        <v>3.1938067904969611</v>
      </c>
      <c r="S173" s="77">
        <f t="shared" si="219"/>
        <v>3.2494510011136883</v>
      </c>
      <c r="T173" s="77">
        <f t="shared" si="219"/>
        <v>3.3216627479031278</v>
      </c>
      <c r="U173" s="77">
        <f t="shared" si="219"/>
        <v>3.4102889892910841</v>
      </c>
      <c r="V173" s="77">
        <f t="shared" si="219"/>
        <v>3.5151172709502321</v>
      </c>
      <c r="W173" s="77">
        <f t="shared" si="219"/>
        <v>3.6360532825569547</v>
      </c>
      <c r="X173" s="77">
        <f t="shared" si="219"/>
        <v>3.7732214071890362</v>
      </c>
      <c r="Y173" s="77">
        <f t="shared" si="219"/>
        <v>3.9268153151363174</v>
      </c>
      <c r="Z173" s="77">
        <f t="shared" si="219"/>
        <v>4.097156070171784</v>
      </c>
      <c r="AA173" s="77">
        <f t="shared" si="219"/>
        <v>4.2846997635176276</v>
      </c>
      <c r="AB173" s="77">
        <f t="shared" si="219"/>
        <v>4.4844469720272473</v>
      </c>
      <c r="AC173" s="77">
        <f t="shared" si="219"/>
        <v>4.696640027930143</v>
      </c>
      <c r="AD173" s="77">
        <f t="shared" si="219"/>
        <v>4.9219550128938288</v>
      </c>
      <c r="AE173" s="77">
        <f t="shared" si="219"/>
        <v>5.1611246874652617</v>
      </c>
      <c r="AF173" s="77">
        <f t="shared" si="219"/>
        <v>5.4149456983582001</v>
      </c>
      <c r="AG173" s="77">
        <f t="shared" si="219"/>
        <v>5.6842807145729779</v>
      </c>
      <c r="AH173" s="77">
        <f t="shared" si="219"/>
        <v>5.9700610095827358</v>
      </c>
      <c r="AI173" s="77">
        <f t="shared" si="219"/>
        <v>6.2732914006155074</v>
      </c>
      <c r="AJ173" s="77">
        <f t="shared" si="219"/>
        <v>6.5950541949130885</v>
      </c>
      <c r="AK173" s="77">
        <f t="shared" si="219"/>
        <v>6.9365138187115063</v>
      </c>
      <c r="AL173" s="77">
        <f t="shared" si="219"/>
        <v>7.2989222291694542</v>
      </c>
      <c r="AM173" s="77">
        <f t="shared" si="219"/>
        <v>7.6836244623456507</v>
      </c>
      <c r="AN173" s="77">
        <f t="shared" si="219"/>
        <v>8.0920647836341502</v>
      </c>
      <c r="AO173" s="77">
        <f t="shared" si="219"/>
        <v>8.5257934080295019</v>
      </c>
      <c r="AP173" s="77">
        <f t="shared" si="219"/>
        <v>8.9864737018040852</v>
      </c>
      <c r="AQ173" s="77">
        <f t="shared" si="219"/>
        <v>9.475890007954229</v>
      </c>
      <c r="AR173" s="77">
        <f t="shared" si="219"/>
        <v>9.9959561030331194</v>
      </c>
      <c r="AS173" s="77">
        <f t="shared" si="219"/>
        <v>10.548724309148254</v>
      </c>
      <c r="AT173" s="77">
        <f t="shared" si="219"/>
        <v>11.136395331116317</v>
      </c>
      <c r="AU173" s="77">
        <f t="shared" si="219"/>
        <v>11.760057679652737</v>
      </c>
      <c r="AV173" s="77">
        <f t="shared" si="219"/>
        <v>12.392948936157262</v>
      </c>
      <c r="AW173" s="77">
        <f t="shared" si="219"/>
        <v>13.037422395259606</v>
      </c>
      <c r="AX173" s="77">
        <f t="shared" si="219"/>
        <v>13.695720721831549</v>
      </c>
      <c r="AY173" s="77">
        <f t="shared" si="219"/>
        <v>14.369994706691861</v>
      </c>
      <c r="AZ173" s="77">
        <f t="shared" si="219"/>
        <v>15.062320253979262</v>
      </c>
      <c r="BA173" s="77">
        <f t="shared" si="219"/>
        <v>15.774713807228014</v>
      </c>
      <c r="BB173" s="77">
        <f t="shared" si="219"/>
        <v>16.509146399816082</v>
      </c>
      <c r="BC173" s="77">
        <f t="shared" si="219"/>
        <v>17.267556495652123</v>
      </c>
      <c r="BD173" s="77">
        <f t="shared" si="219"/>
        <v>18.051861768072474</v>
      </c>
    </row>
    <row r="174" spans="2:56" x14ac:dyDescent="0.3">
      <c r="B174" s="509" t="s">
        <v>487</v>
      </c>
      <c r="D174" s="505">
        <f>BD!D291</f>
        <v>0</v>
      </c>
      <c r="E174" s="505">
        <f>BD!E291</f>
        <v>0</v>
      </c>
      <c r="F174" s="505">
        <f>BD!F291</f>
        <v>0</v>
      </c>
      <c r="G174" s="505">
        <f>BD!G291</f>
        <v>0</v>
      </c>
      <c r="H174" s="505">
        <f>BD!H291</f>
        <v>0</v>
      </c>
      <c r="I174" s="505">
        <f>BD!I291</f>
        <v>72.099999999999994</v>
      </c>
      <c r="J174" s="505">
        <f>BD!J291</f>
        <v>67.3</v>
      </c>
      <c r="K174" s="505">
        <f>BD!K291</f>
        <v>63.3</v>
      </c>
      <c r="L174" s="505">
        <f>BD!L291</f>
        <v>65.099999999999994</v>
      </c>
      <c r="M174" s="505">
        <f>BD!M291</f>
        <v>67</v>
      </c>
      <c r="N174" s="505">
        <f>BD!N291</f>
        <v>68.400000000000006</v>
      </c>
      <c r="O174" s="77">
        <f t="shared" si="216"/>
        <v>64.891992000000002</v>
      </c>
      <c r="P174" s="77">
        <f t="shared" ref="P174:BD174" si="220">P$170*(O174/O$170)</f>
        <v>64.981578861061394</v>
      </c>
      <c r="Q174" s="77">
        <f t="shared" si="220"/>
        <v>65.404316510694912</v>
      </c>
      <c r="R174" s="77">
        <f t="shared" si="220"/>
        <v>66.198904384846116</v>
      </c>
      <c r="S174" s="77">
        <f t="shared" si="220"/>
        <v>67.35225711399282</v>
      </c>
      <c r="T174" s="77">
        <f t="shared" si="220"/>
        <v>68.849009683810294</v>
      </c>
      <c r="U174" s="77">
        <f t="shared" si="220"/>
        <v>70.685989959851568</v>
      </c>
      <c r="V174" s="77">
        <f t="shared" si="220"/>
        <v>72.858794343332093</v>
      </c>
      <c r="W174" s="77">
        <f t="shared" si="220"/>
        <v>75.365468038453258</v>
      </c>
      <c r="X174" s="77">
        <f t="shared" si="220"/>
        <v>78.208589167190937</v>
      </c>
      <c r="Y174" s="77">
        <f t="shared" si="220"/>
        <v>81.392171986461861</v>
      </c>
      <c r="Z174" s="77">
        <f t="shared" si="220"/>
        <v>84.922871272651534</v>
      </c>
      <c r="AA174" s="77">
        <f t="shared" si="220"/>
        <v>88.810140552910852</v>
      </c>
      <c r="AB174" s="77">
        <f t="shared" si="220"/>
        <v>92.950355420201149</v>
      </c>
      <c r="AC174" s="77">
        <f t="shared" si="220"/>
        <v>97.348538760733888</v>
      </c>
      <c r="AD174" s="77">
        <f t="shared" si="220"/>
        <v>102.01870390361755</v>
      </c>
      <c r="AE174" s="77">
        <f t="shared" si="220"/>
        <v>106.9760389765527</v>
      </c>
      <c r="AF174" s="77">
        <f t="shared" si="220"/>
        <v>112.2370562932427</v>
      </c>
      <c r="AG174" s="77">
        <f t="shared" si="220"/>
        <v>117.81963662933083</v>
      </c>
      <c r="AH174" s="77">
        <f t="shared" si="220"/>
        <v>123.74308274407855</v>
      </c>
      <c r="AI174" s="77">
        <f t="shared" si="220"/>
        <v>130.02822175821237</v>
      </c>
      <c r="AJ174" s="77">
        <f t="shared" si="220"/>
        <v>136.69748694910768</v>
      </c>
      <c r="AK174" s="77">
        <f t="shared" si="220"/>
        <v>143.77501369692945</v>
      </c>
      <c r="AL174" s="77">
        <f t="shared" si="220"/>
        <v>151.28675165914873</v>
      </c>
      <c r="AM174" s="77">
        <f t="shared" si="220"/>
        <v>159.26057976498262</v>
      </c>
      <c r="AN174" s="77">
        <f t="shared" si="220"/>
        <v>167.72643369714427</v>
      </c>
      <c r="AO174" s="77">
        <f t="shared" si="220"/>
        <v>176.71644518461159</v>
      </c>
      <c r="AP174" s="77">
        <f t="shared" si="220"/>
        <v>186.26509127375746</v>
      </c>
      <c r="AQ174" s="77">
        <f t="shared" si="220"/>
        <v>196.4093565285059</v>
      </c>
      <c r="AR174" s="77">
        <f t="shared" si="220"/>
        <v>207.18890831741379</v>
      </c>
      <c r="AS174" s="77">
        <f t="shared" si="220"/>
        <v>218.64628568052751</v>
      </c>
      <c r="AT174" s="77">
        <f t="shared" si="220"/>
        <v>230.82710322677465</v>
      </c>
      <c r="AU174" s="77">
        <f t="shared" si="220"/>
        <v>243.75392281462044</v>
      </c>
      <c r="AV174" s="77">
        <f t="shared" si="220"/>
        <v>256.87203249489608</v>
      </c>
      <c r="AW174" s="77">
        <f t="shared" si="220"/>
        <v>270.23020964719916</v>
      </c>
      <c r="AX174" s="77">
        <f t="shared" si="220"/>
        <v>283.87493859796308</v>
      </c>
      <c r="AY174" s="77">
        <f t="shared" si="220"/>
        <v>297.85079937506771</v>
      </c>
      <c r="AZ174" s="77">
        <f t="shared" si="220"/>
        <v>312.20081980975203</v>
      </c>
      <c r="BA174" s="77">
        <f t="shared" si="220"/>
        <v>326.96679527708983</v>
      </c>
      <c r="BB174" s="77">
        <f t="shared" si="220"/>
        <v>342.18957992346066</v>
      </c>
      <c r="BC174" s="77">
        <f t="shared" si="220"/>
        <v>357.90935281897134</v>
      </c>
      <c r="BD174" s="77">
        <f t="shared" si="220"/>
        <v>374.16586210186591</v>
      </c>
    </row>
    <row r="175" spans="2:56" x14ac:dyDescent="0.3"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  <c r="AH175" s="77"/>
      <c r="AI175" s="77"/>
      <c r="AJ175" s="77"/>
      <c r="AK175" s="77"/>
      <c r="AL175" s="77"/>
      <c r="AM175" s="77"/>
      <c r="AN175" s="77"/>
      <c r="AO175" s="77"/>
      <c r="AP175" s="77"/>
      <c r="AQ175" s="77"/>
      <c r="AR175" s="77"/>
      <c r="AS175" s="77"/>
      <c r="AT175" s="77"/>
      <c r="AU175" s="77"/>
      <c r="AV175" s="77"/>
      <c r="AW175" s="77"/>
      <c r="AX175" s="77"/>
      <c r="AY175" s="77"/>
      <c r="AZ175" s="77"/>
      <c r="BA175" s="77"/>
      <c r="BB175" s="77"/>
      <c r="BC175" s="77"/>
      <c r="BD175" s="77"/>
    </row>
    <row r="176" spans="2:56" s="31" customFormat="1" x14ac:dyDescent="0.3">
      <c r="B176" s="147" t="s">
        <v>89</v>
      </c>
      <c r="C176" s="147"/>
      <c r="D176" s="148">
        <f t="shared" ref="D176:M176" si="221">D155+D170</f>
        <v>0</v>
      </c>
      <c r="E176" s="148">
        <f t="shared" si="221"/>
        <v>0</v>
      </c>
      <c r="F176" s="148">
        <f t="shared" si="221"/>
        <v>0</v>
      </c>
      <c r="G176" s="148">
        <f t="shared" si="221"/>
        <v>344.90000000000009</v>
      </c>
      <c r="H176" s="148">
        <f t="shared" si="221"/>
        <v>402</v>
      </c>
      <c r="I176" s="148">
        <f t="shared" si="221"/>
        <v>155.00000000000028</v>
      </c>
      <c r="J176" s="148">
        <f t="shared" si="221"/>
        <v>189.70000000000005</v>
      </c>
      <c r="K176" s="148">
        <f t="shared" si="221"/>
        <v>233.09499999999986</v>
      </c>
      <c r="L176" s="148">
        <f t="shared" si="221"/>
        <v>265.67100000000022</v>
      </c>
      <c r="M176" s="148">
        <f t="shared" si="221"/>
        <v>254.59500000000025</v>
      </c>
      <c r="N176" s="148">
        <f t="shared" ref="N176" si="222">N155+N170</f>
        <v>244.52400000000063</v>
      </c>
      <c r="O176" s="148">
        <f t="shared" ref="O176:BD176" si="223">O155+O170+O171</f>
        <v>340.96213663281236</v>
      </c>
      <c r="P176" s="148">
        <f t="shared" si="223"/>
        <v>348.95813771749948</v>
      </c>
      <c r="Q176" s="148">
        <f t="shared" si="223"/>
        <v>370.28640135500842</v>
      </c>
      <c r="R176" s="148">
        <f t="shared" si="223"/>
        <v>396.38206663873075</v>
      </c>
      <c r="S176" s="148">
        <f t="shared" si="223"/>
        <v>417.62803733037094</v>
      </c>
      <c r="T176" s="148">
        <f t="shared" si="223"/>
        <v>443.5924469386224</v>
      </c>
      <c r="U176" s="148">
        <f t="shared" si="223"/>
        <v>470.91799984450682</v>
      </c>
      <c r="V176" s="148">
        <f t="shared" si="223"/>
        <v>498.91357374793762</v>
      </c>
      <c r="W176" s="148">
        <f t="shared" si="223"/>
        <v>529.58527546765538</v>
      </c>
      <c r="X176" s="148">
        <f t="shared" si="223"/>
        <v>561.99519627737288</v>
      </c>
      <c r="Y176" s="148">
        <f t="shared" si="223"/>
        <v>596.42999824186961</v>
      </c>
      <c r="Z176" s="148">
        <f t="shared" si="223"/>
        <v>633.36277060748114</v>
      </c>
      <c r="AA176" s="148">
        <f t="shared" si="223"/>
        <v>666.47215934223073</v>
      </c>
      <c r="AB176" s="148">
        <f t="shared" si="223"/>
        <v>701.13009810725327</v>
      </c>
      <c r="AC176" s="148">
        <f t="shared" si="223"/>
        <v>737.87891042416231</v>
      </c>
      <c r="AD176" s="148">
        <f t="shared" si="223"/>
        <v>776.80569842306102</v>
      </c>
      <c r="AE176" s="148">
        <f t="shared" si="223"/>
        <v>818.09566499889331</v>
      </c>
      <c r="AF176" s="148">
        <f t="shared" si="223"/>
        <v>861.91248674265876</v>
      </c>
      <c r="AG176" s="148">
        <f t="shared" si="223"/>
        <v>908.42143828246321</v>
      </c>
      <c r="AH176" s="148">
        <f t="shared" si="223"/>
        <v>957.81840374136129</v>
      </c>
      <c r="AI176" s="148">
        <f t="shared" si="223"/>
        <v>1010.3018367914854</v>
      </c>
      <c r="AJ176" s="148">
        <f t="shared" si="223"/>
        <v>1066.0845463295996</v>
      </c>
      <c r="AK176" s="148">
        <f t="shared" si="223"/>
        <v>1125.3976104855383</v>
      </c>
      <c r="AL176" s="148">
        <f t="shared" si="223"/>
        <v>1188.4853659137077</v>
      </c>
      <c r="AM176" s="148">
        <f t="shared" si="223"/>
        <v>1255.6100469318324</v>
      </c>
      <c r="AN176" s="148">
        <f t="shared" si="223"/>
        <v>1327.0528620185385</v>
      </c>
      <c r="AO176" s="148">
        <f t="shared" si="223"/>
        <v>1403.1142499134673</v>
      </c>
      <c r="AP176" s="148">
        <f t="shared" si="223"/>
        <v>1484.1162770132903</v>
      </c>
      <c r="AQ176" s="148">
        <f t="shared" si="223"/>
        <v>1570.4039930297783</v>
      </c>
      <c r="AR176" s="148">
        <f t="shared" si="223"/>
        <v>1662.3469767907213</v>
      </c>
      <c r="AS176" s="148">
        <f t="shared" si="223"/>
        <v>1760.3413886078677</v>
      </c>
      <c r="AT176" s="148">
        <f t="shared" si="223"/>
        <v>1863.4351732630194</v>
      </c>
      <c r="AU176" s="148">
        <f t="shared" si="223"/>
        <v>1941.6191576174522</v>
      </c>
      <c r="AV176" s="148">
        <f t="shared" si="223"/>
        <v>2023.2337817784451</v>
      </c>
      <c r="AW176" s="148">
        <f t="shared" si="223"/>
        <v>2108.4345106477776</v>
      </c>
      <c r="AX176" s="148">
        <f t="shared" si="223"/>
        <v>2197.3834519587017</v>
      </c>
      <c r="AY176" s="148">
        <f t="shared" si="223"/>
        <v>2290.2496940257201</v>
      </c>
      <c r="AZ176" s="148">
        <f t="shared" si="223"/>
        <v>2387.2096404837084</v>
      </c>
      <c r="BA176" s="148">
        <f t="shared" si="223"/>
        <v>2488.4473660039489</v>
      </c>
      <c r="BB176" s="148">
        <f t="shared" si="223"/>
        <v>2594.1549843553289</v>
      </c>
      <c r="BC176" s="148">
        <f t="shared" si="223"/>
        <v>2704.5330279694595</v>
      </c>
      <c r="BD176" s="148">
        <f t="shared" si="223"/>
        <v>2819.7908445864559</v>
      </c>
    </row>
    <row r="177" spans="2:56" x14ac:dyDescent="0.3">
      <c r="B177" t="s">
        <v>99</v>
      </c>
      <c r="D177" s="152">
        <f>BD!D43-D176</f>
        <v>0</v>
      </c>
      <c r="E177" s="152">
        <f>BD!E43-E176</f>
        <v>0</v>
      </c>
      <c r="F177" s="152">
        <f>BD!F43-F176</f>
        <v>0</v>
      </c>
      <c r="G177" s="152">
        <f>BD!G43-G176</f>
        <v>-451.79999999999995</v>
      </c>
      <c r="H177" s="152">
        <f>BD!H43-H176</f>
        <v>-329.70000000000005</v>
      </c>
      <c r="I177" s="152">
        <f>BD!I43-I176</f>
        <v>9.999999999973852E-2</v>
      </c>
      <c r="J177" s="152">
        <f>BD!J43-J176</f>
        <v>0</v>
      </c>
      <c r="K177" s="152">
        <f>BD!K43-K176</f>
        <v>-7.1000000000083219E-2</v>
      </c>
      <c r="L177" s="152">
        <f>BD!L43-L176</f>
        <v>-19.070999999999913</v>
      </c>
      <c r="M177" s="152">
        <f>BD!M43-M176</f>
        <v>9.9999999999340616E-3</v>
      </c>
      <c r="N177" s="152">
        <f>BD!N43-N176</f>
        <v>7.7999999999519787E-2</v>
      </c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  <c r="AA177" s="152"/>
      <c r="AB177" s="152"/>
      <c r="AC177" s="152"/>
      <c r="AD177" s="152"/>
      <c r="AE177" s="152"/>
      <c r="AF177" s="152"/>
      <c r="AG177" s="152"/>
      <c r="AH177" s="152"/>
      <c r="AI177" s="152"/>
      <c r="AJ177" s="152"/>
      <c r="AK177" s="152"/>
      <c r="AL177" s="152"/>
      <c r="AM177" s="152"/>
      <c r="AN177" s="152"/>
      <c r="AO177" s="152"/>
      <c r="AP177" s="152"/>
      <c r="AQ177" s="152"/>
      <c r="AR177" s="152"/>
      <c r="AS177" s="152"/>
      <c r="AT177" s="152"/>
      <c r="AU177" s="152"/>
      <c r="AV177" s="152"/>
      <c r="AW177" s="152"/>
      <c r="AX177" s="152"/>
      <c r="AY177" s="152"/>
      <c r="AZ177" s="152"/>
      <c r="BA177" s="152"/>
      <c r="BB177" s="152"/>
      <c r="BC177" s="152"/>
      <c r="BD177" s="152"/>
    </row>
    <row r="178" spans="2:56" x14ac:dyDescent="0.3">
      <c r="B178" t="s">
        <v>309</v>
      </c>
      <c r="D178" s="67" t="e">
        <f t="shared" ref="D178:AI178" si="224">D176/ReceitaLíquida</f>
        <v>#DIV/0!</v>
      </c>
      <c r="E178" s="67" t="e">
        <f t="shared" si="224"/>
        <v>#DIV/0!</v>
      </c>
      <c r="F178" s="67" t="e">
        <f t="shared" si="224"/>
        <v>#DIV/0!</v>
      </c>
      <c r="G178" s="67">
        <f t="shared" si="224"/>
        <v>0.2449921863901123</v>
      </c>
      <c r="H178" s="67">
        <f t="shared" si="224"/>
        <v>0.23887337334363301</v>
      </c>
      <c r="I178" s="67">
        <f t="shared" si="224"/>
        <v>7.5868820362212569E-2</v>
      </c>
      <c r="J178" s="67">
        <f t="shared" si="224"/>
        <v>9.0678776290630994E-2</v>
      </c>
      <c r="K178" s="67">
        <f t="shared" si="224"/>
        <v>0.10281660009836371</v>
      </c>
      <c r="L178" s="67">
        <f t="shared" si="224"/>
        <v>0.11494584581384018</v>
      </c>
      <c r="M178" s="67">
        <f t="shared" si="224"/>
        <v>0.1157936867096165</v>
      </c>
      <c r="N178" s="67">
        <f t="shared" ref="N178" si="225">N176/ReceitaLíquida</f>
        <v>0.10842102602780386</v>
      </c>
      <c r="O178" s="67">
        <f t="shared" si="224"/>
        <v>0.14197584255626014</v>
      </c>
      <c r="P178" s="67">
        <f t="shared" si="224"/>
        <v>0.1387220257489763</v>
      </c>
      <c r="Q178" s="67">
        <f t="shared" si="224"/>
        <v>0.13949245320946788</v>
      </c>
      <c r="R178" s="67">
        <f t="shared" si="224"/>
        <v>0.14142485207845243</v>
      </c>
      <c r="S178" s="67">
        <f t="shared" si="224"/>
        <v>0.14113673806643551</v>
      </c>
      <c r="T178" s="67">
        <f t="shared" si="224"/>
        <v>0.14186855968721679</v>
      </c>
      <c r="U178" s="67">
        <f t="shared" si="224"/>
        <v>0.1424645460795794</v>
      </c>
      <c r="V178" s="67">
        <f t="shared" si="224"/>
        <v>0.14271553638047305</v>
      </c>
      <c r="W178" s="67">
        <f t="shared" si="224"/>
        <v>0.14315940536844152</v>
      </c>
      <c r="X178" s="67">
        <f t="shared" si="224"/>
        <v>0.14350119018487348</v>
      </c>
      <c r="Y178" s="67">
        <f t="shared" si="224"/>
        <v>0.14378716651685394</v>
      </c>
      <c r="Z178" s="67">
        <f t="shared" si="224"/>
        <v>0.14409249051163889</v>
      </c>
      <c r="AA178" s="67">
        <f t="shared" si="224"/>
        <v>0.14420641133977991</v>
      </c>
      <c r="AB178" s="67">
        <f t="shared" si="224"/>
        <v>0.14430426019437426</v>
      </c>
      <c r="AC178" s="67">
        <f t="shared" si="224"/>
        <v>0.14440418327445625</v>
      </c>
      <c r="AD178" s="67">
        <f t="shared" si="224"/>
        <v>0.14449704645195555</v>
      </c>
      <c r="AE178" s="67">
        <f t="shared" si="224"/>
        <v>0.14459041209096984</v>
      </c>
      <c r="AF178" s="67">
        <f t="shared" si="224"/>
        <v>0.14468523148957807</v>
      </c>
      <c r="AG178" s="67">
        <f t="shared" si="224"/>
        <v>0.1447808824125118</v>
      </c>
      <c r="AH178" s="67">
        <f t="shared" si="224"/>
        <v>0.14487952587820649</v>
      </c>
      <c r="AI178" s="67">
        <f t="shared" si="224"/>
        <v>0.14498144312143213</v>
      </c>
      <c r="AJ178" s="67">
        <f t="shared" ref="AJ178:BD178" si="226">AJ176/ReceitaLíquida</f>
        <v>0.14508690122133958</v>
      </c>
      <c r="AK178" s="67">
        <f t="shared" si="226"/>
        <v>0.14519647522607113</v>
      </c>
      <c r="AL178" s="67">
        <f t="shared" si="226"/>
        <v>0.1453102448876446</v>
      </c>
      <c r="AM178" s="67">
        <f t="shared" si="226"/>
        <v>0.14542829079827141</v>
      </c>
      <c r="AN178" s="67">
        <f t="shared" si="226"/>
        <v>0.14555065797650024</v>
      </c>
      <c r="AO178" s="67">
        <f t="shared" si="226"/>
        <v>0.14567724686001576</v>
      </c>
      <c r="AP178" s="67">
        <f t="shared" si="226"/>
        <v>0.14580793053032792</v>
      </c>
      <c r="AQ178" s="67">
        <f t="shared" si="226"/>
        <v>0.14594253531933807</v>
      </c>
      <c r="AR178" s="67">
        <f t="shared" si="226"/>
        <v>0.14608083642966849</v>
      </c>
      <c r="AS178" s="67">
        <f t="shared" si="226"/>
        <v>0.14622258648804054</v>
      </c>
      <c r="AT178" s="67">
        <f t="shared" si="226"/>
        <v>0.1463600300504064</v>
      </c>
      <c r="AU178" s="67">
        <f t="shared" si="226"/>
        <v>0.14633971072724933</v>
      </c>
      <c r="AV178" s="67">
        <f t="shared" si="226"/>
        <v>0.14632358463359676</v>
      </c>
      <c r="AW178" s="67">
        <f t="shared" si="226"/>
        <v>0.14631166459049369</v>
      </c>
      <c r="AX178" s="67">
        <f t="shared" si="226"/>
        <v>0.14630392500462791</v>
      </c>
      <c r="AY178" s="67">
        <f t="shared" si="226"/>
        <v>0.14630030936290028</v>
      </c>
      <c r="AZ178" s="67">
        <f t="shared" si="226"/>
        <v>0.1463007357229294</v>
      </c>
      <c r="BA178" s="67">
        <f t="shared" si="226"/>
        <v>0.14630510191433935</v>
      </c>
      <c r="BB178" s="67">
        <f t="shared" si="226"/>
        <v>0.14631328988504</v>
      </c>
      <c r="BC178" s="67">
        <f t="shared" si="226"/>
        <v>0.14632516924514286</v>
      </c>
      <c r="BD178" s="67">
        <f t="shared" si="226"/>
        <v>0.14634060037428573</v>
      </c>
    </row>
    <row r="180" spans="2:56" x14ac:dyDescent="0.3">
      <c r="B180" s="31" t="s">
        <v>500</v>
      </c>
    </row>
    <row r="181" spans="2:56" x14ac:dyDescent="0.3">
      <c r="B181" t="s">
        <v>78</v>
      </c>
      <c r="I181" s="549">
        <f t="shared" ref="I181:M184" si="227">I158+I171</f>
        <v>22.299999999999979</v>
      </c>
      <c r="J181" s="549">
        <f t="shared" si="227"/>
        <v>10.400000000000023</v>
      </c>
      <c r="K181" s="549">
        <f t="shared" si="227"/>
        <v>47.699999999999996</v>
      </c>
      <c r="L181" s="549">
        <f t="shared" si="227"/>
        <v>89.000000000000071</v>
      </c>
      <c r="M181" s="549">
        <f t="shared" si="227"/>
        <v>73.699999999999974</v>
      </c>
      <c r="N181" s="549">
        <f t="shared" ref="N181" si="228">N158+N171</f>
        <v>48.099999999999895</v>
      </c>
      <c r="O181" s="549">
        <f t="shared" ref="O181:BD181" si="229">O158+O171</f>
        <v>71.415108842260608</v>
      </c>
      <c r="P181" s="549">
        <f t="shared" si="229"/>
        <v>69.82663994298639</v>
      </c>
      <c r="Q181" s="549">
        <f t="shared" si="229"/>
        <v>66.132868208374873</v>
      </c>
      <c r="R181" s="549">
        <f t="shared" si="229"/>
        <v>72.682966206553601</v>
      </c>
      <c r="S181" s="549">
        <f t="shared" si="229"/>
        <v>73.056428478276032</v>
      </c>
      <c r="T181" s="549">
        <f t="shared" si="229"/>
        <v>74.15371962576495</v>
      </c>
      <c r="U181" s="549">
        <f t="shared" si="229"/>
        <v>77.011168810227176</v>
      </c>
      <c r="V181" s="549">
        <f t="shared" si="229"/>
        <v>78.506459557179227</v>
      </c>
      <c r="W181" s="549">
        <f t="shared" si="229"/>
        <v>80.412544040708838</v>
      </c>
      <c r="X181" s="549">
        <f t="shared" si="229"/>
        <v>82.61383630672097</v>
      </c>
      <c r="Y181" s="549">
        <f t="shared" si="229"/>
        <v>84.570844674791928</v>
      </c>
      <c r="Z181" s="549">
        <f t="shared" si="229"/>
        <v>86.695175141977771</v>
      </c>
      <c r="AA181" s="549">
        <f t="shared" si="229"/>
        <v>88.897160615034991</v>
      </c>
      <c r="AB181" s="549">
        <f t="shared" si="229"/>
        <v>91.096430771573267</v>
      </c>
      <c r="AC181" s="549">
        <f t="shared" si="229"/>
        <v>93.381937292356795</v>
      </c>
      <c r="AD181" s="549">
        <f t="shared" si="229"/>
        <v>95.723817251214768</v>
      </c>
      <c r="AE181" s="549">
        <f t="shared" si="229"/>
        <v>98.114186423992365</v>
      </c>
      <c r="AF181" s="549">
        <f t="shared" si="229"/>
        <v>100.57184082776224</v>
      </c>
      <c r="AG181" s="549">
        <f t="shared" si="229"/>
        <v>103.08972756238815</v>
      </c>
      <c r="AH181" s="549">
        <f t="shared" si="229"/>
        <v>105.66918375641919</v>
      </c>
      <c r="AI181" s="549">
        <f t="shared" si="229"/>
        <v>108.31494960255947</v>
      </c>
      <c r="AJ181" s="549">
        <f t="shared" si="229"/>
        <v>111.02658363552813</v>
      </c>
      <c r="AK181" s="549">
        <f t="shared" si="229"/>
        <v>113.8060759322089</v>
      </c>
      <c r="AL181" s="549">
        <f t="shared" si="229"/>
        <v>116.6556570980628</v>
      </c>
      <c r="AM181" s="549">
        <f t="shared" si="229"/>
        <v>119.57663029961664</v>
      </c>
      <c r="AN181" s="549">
        <f t="shared" si="229"/>
        <v>122.57093895283117</v>
      </c>
      <c r="AO181" s="549">
        <f t="shared" si="229"/>
        <v>125.64050752520004</v>
      </c>
      <c r="AP181" s="549">
        <f t="shared" si="229"/>
        <v>128.78714514793762</v>
      </c>
      <c r="AQ181" s="549">
        <f t="shared" si="229"/>
        <v>132.0128449969186</v>
      </c>
      <c r="AR181" s="549">
        <f t="shared" si="229"/>
        <v>135.3196162833481</v>
      </c>
      <c r="AS181" s="549">
        <f t="shared" si="229"/>
        <v>138.70949691343321</v>
      </c>
      <c r="AT181" s="549">
        <f t="shared" si="229"/>
        <v>142.18460658376901</v>
      </c>
      <c r="AU181" s="549">
        <f t="shared" si="229"/>
        <v>145.74708013225512</v>
      </c>
      <c r="AV181" s="549">
        <f t="shared" si="229"/>
        <v>149.39846899092225</v>
      </c>
      <c r="AW181" s="549">
        <f t="shared" si="229"/>
        <v>153.14104676393606</v>
      </c>
      <c r="AX181" s="549">
        <f t="shared" si="229"/>
        <v>156.97713706854424</v>
      </c>
      <c r="AY181" s="549">
        <f t="shared" si="229"/>
        <v>160.90911833272764</v>
      </c>
      <c r="AZ181" s="549">
        <f t="shared" si="229"/>
        <v>164.93942649840287</v>
      </c>
      <c r="BA181" s="549">
        <f t="shared" si="229"/>
        <v>169.07055517105104</v>
      </c>
      <c r="BB181" s="549">
        <f t="shared" si="229"/>
        <v>173.30505825035701</v>
      </c>
      <c r="BC181" s="549">
        <f t="shared" si="229"/>
        <v>177.64555177428883</v>
      </c>
      <c r="BD181" s="549">
        <f t="shared" si="229"/>
        <v>182.09471545369999</v>
      </c>
    </row>
    <row r="182" spans="2:56" x14ac:dyDescent="0.3">
      <c r="B182" t="s">
        <v>486</v>
      </c>
      <c r="I182" s="549">
        <f t="shared" si="227"/>
        <v>136.10000000000019</v>
      </c>
      <c r="J182" s="549">
        <f t="shared" si="227"/>
        <v>182.89999999999998</v>
      </c>
      <c r="K182" s="549">
        <f t="shared" si="227"/>
        <v>189.00000000000011</v>
      </c>
      <c r="L182" s="549">
        <f t="shared" si="227"/>
        <v>180.29999999999981</v>
      </c>
      <c r="M182" s="549">
        <f t="shared" si="227"/>
        <v>185.20000000000005</v>
      </c>
      <c r="N182" s="549">
        <f t="shared" ref="N182" si="230">N159+N172</f>
        <v>202.9</v>
      </c>
      <c r="O182" s="549">
        <f t="shared" ref="O182:BD182" si="231">O159+O172</f>
        <v>269.56343570986382</v>
      </c>
      <c r="P182" s="549">
        <f t="shared" si="231"/>
        <v>276.09335258393963</v>
      </c>
      <c r="Q182" s="549">
        <f t="shared" si="231"/>
        <v>300.50667218987053</v>
      </c>
      <c r="R182" s="549">
        <f t="shared" si="231"/>
        <v>320.66854852235736</v>
      </c>
      <c r="S182" s="549">
        <f t="shared" si="231"/>
        <v>341.50245638808155</v>
      </c>
      <c r="T182" s="549">
        <f t="shared" si="231"/>
        <v>366.29322781958615</v>
      </c>
      <c r="U182" s="549">
        <f t="shared" si="231"/>
        <v>390.91061498307232</v>
      </c>
      <c r="V182" s="549">
        <f t="shared" si="231"/>
        <v>417.37432134931834</v>
      </c>
      <c r="W182" s="549">
        <f t="shared" si="231"/>
        <v>446.11264125652508</v>
      </c>
      <c r="X182" s="549">
        <f t="shared" si="231"/>
        <v>476.32050818166203</v>
      </c>
      <c r="Y182" s="549">
        <f t="shared" si="231"/>
        <v>508.74099003300819</v>
      </c>
      <c r="Z182" s="549">
        <f t="shared" si="231"/>
        <v>543.48918698882051</v>
      </c>
      <c r="AA182" s="549">
        <f t="shared" si="231"/>
        <v>574.28465654982961</v>
      </c>
      <c r="AB182" s="549">
        <f t="shared" si="231"/>
        <v>606.61042661216902</v>
      </c>
      <c r="AC182" s="549">
        <f t="shared" si="231"/>
        <v>640.93604972273658</v>
      </c>
      <c r="AD182" s="549">
        <f t="shared" si="231"/>
        <v>677.3746303328785</v>
      </c>
      <c r="AE182" s="549">
        <f t="shared" si="231"/>
        <v>716.11657101372612</v>
      </c>
      <c r="AF182" s="549">
        <f t="shared" si="231"/>
        <v>757.30931493935589</v>
      </c>
      <c r="AG182" s="549">
        <f t="shared" si="231"/>
        <v>801.12354217293159</v>
      </c>
      <c r="AH182" s="549">
        <f t="shared" si="231"/>
        <v>847.75307106832599</v>
      </c>
      <c r="AI182" s="549">
        <f t="shared" si="231"/>
        <v>897.3916964147885</v>
      </c>
      <c r="AJ182" s="549">
        <f t="shared" si="231"/>
        <v>950.25173850939689</v>
      </c>
      <c r="AK182" s="549">
        <f t="shared" si="231"/>
        <v>1006.561659375208</v>
      </c>
      <c r="AL182" s="549">
        <f t="shared" si="231"/>
        <v>1066.5629889987231</v>
      </c>
      <c r="AM182" s="549">
        <f t="shared" si="231"/>
        <v>1130.5158189727667</v>
      </c>
      <c r="AN182" s="549">
        <f t="shared" si="231"/>
        <v>1198.6986202220287</v>
      </c>
      <c r="AO182" s="549">
        <f t="shared" si="231"/>
        <v>1271.4090511068039</v>
      </c>
      <c r="AP182" s="549">
        <f t="shared" si="231"/>
        <v>1348.966404973369</v>
      </c>
      <c r="AQ182" s="549">
        <f t="shared" si="231"/>
        <v>1431.7127310515198</v>
      </c>
      <c r="AR182" s="549">
        <f t="shared" si="231"/>
        <v>1520.0145114634286</v>
      </c>
      <c r="AS182" s="549">
        <f t="shared" si="231"/>
        <v>1614.2646934919671</v>
      </c>
      <c r="AT182" s="549">
        <f t="shared" si="231"/>
        <v>1713.4980381002827</v>
      </c>
      <c r="AU182" s="549">
        <f t="shared" si="231"/>
        <v>1787.4870736108396</v>
      </c>
      <c r="AV182" s="549">
        <f t="shared" si="231"/>
        <v>1864.8255811152637</v>
      </c>
      <c r="AW182" s="549">
        <f t="shared" si="231"/>
        <v>1945.6632434335665</v>
      </c>
      <c r="AX182" s="549">
        <f t="shared" si="231"/>
        <v>2030.1566051063294</v>
      </c>
      <c r="AY182" s="549">
        <f t="shared" si="231"/>
        <v>2118.4693711267009</v>
      </c>
      <c r="AZ182" s="549">
        <f t="shared" si="231"/>
        <v>2210.7727081381418</v>
      </c>
      <c r="BA182" s="549">
        <f t="shared" si="231"/>
        <v>2307.2455715025117</v>
      </c>
      <c r="BB182" s="549">
        <f t="shared" si="231"/>
        <v>2408.0750457346689</v>
      </c>
      <c r="BC182" s="549">
        <f t="shared" si="231"/>
        <v>2513.4566995787686</v>
      </c>
      <c r="BD182" s="549">
        <f t="shared" si="231"/>
        <v>2623.594960561169</v>
      </c>
    </row>
    <row r="183" spans="2:56" x14ac:dyDescent="0.3">
      <c r="B183" s="509" t="s">
        <v>448</v>
      </c>
      <c r="I183" s="549">
        <f t="shared" si="227"/>
        <v>-26.100000000000026</v>
      </c>
      <c r="J183" s="549">
        <f t="shared" si="227"/>
        <v>-18.499999999999986</v>
      </c>
      <c r="K183" s="549">
        <f t="shared" si="227"/>
        <v>-22.800000000000015</v>
      </c>
      <c r="L183" s="549">
        <f t="shared" si="227"/>
        <v>-1.399999999999995</v>
      </c>
      <c r="M183" s="549">
        <f t="shared" si="227"/>
        <v>5.0000000000000169</v>
      </c>
      <c r="N183" s="549">
        <f t="shared" ref="N183" si="232">N160+N173</f>
        <v>11.600000000000023</v>
      </c>
      <c r="O183" s="549">
        <f t="shared" ref="O183:BD183" si="233">O160+O173</f>
        <v>12.42834714170796</v>
      </c>
      <c r="P183" s="549">
        <f t="shared" si="233"/>
        <v>16.128555233416307</v>
      </c>
      <c r="Q183" s="549">
        <f t="shared" si="233"/>
        <v>20.217260817657305</v>
      </c>
      <c r="R183" s="549">
        <f t="shared" si="233"/>
        <v>22.767529471052381</v>
      </c>
      <c r="S183" s="549">
        <f t="shared" si="233"/>
        <v>26.006601491892024</v>
      </c>
      <c r="T183" s="549">
        <f t="shared" si="233"/>
        <v>29.248785607971008</v>
      </c>
      <c r="U183" s="549">
        <f t="shared" si="233"/>
        <v>32.128395271891684</v>
      </c>
      <c r="V183" s="549">
        <f t="shared" si="233"/>
        <v>35.182812673387176</v>
      </c>
      <c r="W183" s="549">
        <f t="shared" si="233"/>
        <v>38.219872794009049</v>
      </c>
      <c r="X183" s="549">
        <f t="shared" si="233"/>
        <v>41.191910363579552</v>
      </c>
      <c r="Y183" s="549">
        <f t="shared" si="233"/>
        <v>44.23075450200318</v>
      </c>
      <c r="Z183" s="549">
        <f t="shared" si="233"/>
        <v>47.289472967162787</v>
      </c>
      <c r="AA183" s="549">
        <f t="shared" si="233"/>
        <v>50.373998294138765</v>
      </c>
      <c r="AB183" s="549">
        <f t="shared" si="233"/>
        <v>53.521099570943392</v>
      </c>
      <c r="AC183" s="549">
        <f t="shared" si="233"/>
        <v>56.725441544923427</v>
      </c>
      <c r="AD183" s="549">
        <f t="shared" si="233"/>
        <v>59.998330476880966</v>
      </c>
      <c r="AE183" s="549">
        <f t="shared" si="233"/>
        <v>63.354822908982676</v>
      </c>
      <c r="AF183" s="549">
        <f t="shared" si="233"/>
        <v>66.800677788254589</v>
      </c>
      <c r="AG183" s="549">
        <f t="shared" si="233"/>
        <v>70.346354578973006</v>
      </c>
      <c r="AH183" s="549">
        <f t="shared" si="233"/>
        <v>74.002304112577349</v>
      </c>
      <c r="AI183" s="549">
        <f t="shared" si="233"/>
        <v>77.77708843444502</v>
      </c>
      <c r="AJ183" s="549">
        <f t="shared" si="233"/>
        <v>81.680534855367696</v>
      </c>
      <c r="AK183" s="549">
        <f t="shared" si="233"/>
        <v>85.72232956717454</v>
      </c>
      <c r="AL183" s="549">
        <f t="shared" si="233"/>
        <v>89.911900237873112</v>
      </c>
      <c r="AM183" s="549">
        <f t="shared" si="233"/>
        <v>94.259096484431097</v>
      </c>
      <c r="AN183" s="549">
        <f t="shared" si="233"/>
        <v>98.773832871263949</v>
      </c>
      <c r="AO183" s="549">
        <f t="shared" si="233"/>
        <v>103.46615511197031</v>
      </c>
      <c r="AP183" s="549">
        <f t="shared" si="233"/>
        <v>108.3463940458561</v>
      </c>
      <c r="AQ183" s="549">
        <f t="shared" si="233"/>
        <v>113.42509995566608</v>
      </c>
      <c r="AR183" s="549">
        <f t="shared" si="233"/>
        <v>118.71309590320266</v>
      </c>
      <c r="AS183" s="549">
        <f t="shared" si="233"/>
        <v>124.22152819235696</v>
      </c>
      <c r="AT183" s="549">
        <f t="shared" si="233"/>
        <v>129.96187408054942</v>
      </c>
      <c r="AU183" s="549">
        <f t="shared" si="233"/>
        <v>135.94602274305944</v>
      </c>
      <c r="AV183" s="549">
        <f t="shared" si="233"/>
        <v>142.18721124265545</v>
      </c>
      <c r="AW183" s="549">
        <f t="shared" si="233"/>
        <v>148.69812594516657</v>
      </c>
      <c r="AX183" s="549">
        <f t="shared" si="233"/>
        <v>155.49192271805256</v>
      </c>
      <c r="AY183" s="549">
        <f t="shared" si="233"/>
        <v>162.58225737124982</v>
      </c>
      <c r="AZ183" s="549">
        <f t="shared" si="233"/>
        <v>169.98331559536763</v>
      </c>
      <c r="BA183" s="549">
        <f t="shared" si="233"/>
        <v>177.70984509149875</v>
      </c>
      <c r="BB183" s="549">
        <f t="shared" si="233"/>
        <v>185.77718771709013</v>
      </c>
      <c r="BC183" s="549">
        <f t="shared" si="233"/>
        <v>194.20131237493013</v>
      </c>
      <c r="BD183" s="549">
        <f t="shared" si="233"/>
        <v>202.99884913157322</v>
      </c>
    </row>
    <row r="184" spans="2:56" x14ac:dyDescent="0.3">
      <c r="B184" s="509" t="s">
        <v>487</v>
      </c>
      <c r="I184" s="549">
        <f t="shared" si="227"/>
        <v>162.20000000000013</v>
      </c>
      <c r="J184" s="549">
        <f t="shared" si="227"/>
        <v>201.39999999999998</v>
      </c>
      <c r="K184" s="549">
        <f t="shared" si="227"/>
        <v>211.8</v>
      </c>
      <c r="L184" s="549">
        <f t="shared" si="227"/>
        <v>181.6999999999999</v>
      </c>
      <c r="M184" s="549">
        <f t="shared" si="227"/>
        <v>180.20000000000005</v>
      </c>
      <c r="N184" s="549">
        <f t="shared" ref="N184" si="234">N161+N174</f>
        <v>191.30000000000004</v>
      </c>
      <c r="O184" s="549">
        <f t="shared" ref="O184:BD184" si="235">O161+O174</f>
        <v>257.13508856815565</v>
      </c>
      <c r="P184" s="549">
        <f t="shared" si="235"/>
        <v>259.96479735052338</v>
      </c>
      <c r="Q184" s="549">
        <f t="shared" si="235"/>
        <v>280.28941137221307</v>
      </c>
      <c r="R184" s="549">
        <f t="shared" si="235"/>
        <v>297.9010190513049</v>
      </c>
      <c r="S184" s="549">
        <f t="shared" si="235"/>
        <v>315.49585489618948</v>
      </c>
      <c r="T184" s="549">
        <f t="shared" si="235"/>
        <v>337.04444221161521</v>
      </c>
      <c r="U184" s="549">
        <f t="shared" si="235"/>
        <v>358.78221971118086</v>
      </c>
      <c r="V184" s="549">
        <f t="shared" si="235"/>
        <v>382.19150867593129</v>
      </c>
      <c r="W184" s="549">
        <f t="shared" si="235"/>
        <v>407.89276846251619</v>
      </c>
      <c r="X184" s="549">
        <f t="shared" si="235"/>
        <v>435.12859781808277</v>
      </c>
      <c r="Y184" s="549">
        <f t="shared" si="235"/>
        <v>464.51023553100532</v>
      </c>
      <c r="Z184" s="549">
        <f t="shared" si="235"/>
        <v>496.19971402165805</v>
      </c>
      <c r="AA184" s="549">
        <f t="shared" si="235"/>
        <v>523.91065825569058</v>
      </c>
      <c r="AB184" s="549">
        <f t="shared" si="235"/>
        <v>553.08932704122549</v>
      </c>
      <c r="AC184" s="549">
        <f t="shared" si="235"/>
        <v>584.21060817781267</v>
      </c>
      <c r="AD184" s="549">
        <f t="shared" si="235"/>
        <v>617.37629985599722</v>
      </c>
      <c r="AE184" s="549">
        <f t="shared" si="235"/>
        <v>652.76174810474333</v>
      </c>
      <c r="AF184" s="549">
        <f t="shared" si="235"/>
        <v>690.50863715110108</v>
      </c>
      <c r="AG184" s="549">
        <f t="shared" si="235"/>
        <v>730.77718759395839</v>
      </c>
      <c r="AH184" s="549">
        <f t="shared" si="235"/>
        <v>773.75076695574876</v>
      </c>
      <c r="AI184" s="549">
        <f t="shared" si="235"/>
        <v>819.61460798034398</v>
      </c>
      <c r="AJ184" s="549">
        <f t="shared" si="235"/>
        <v>868.57120365402909</v>
      </c>
      <c r="AK184" s="549">
        <f t="shared" si="235"/>
        <v>920.83932980803388</v>
      </c>
      <c r="AL184" s="549">
        <f t="shared" si="235"/>
        <v>976.65108876084969</v>
      </c>
      <c r="AM184" s="549">
        <f t="shared" si="235"/>
        <v>1036.2567224883355</v>
      </c>
      <c r="AN184" s="549">
        <f t="shared" si="235"/>
        <v>1099.9247873507641</v>
      </c>
      <c r="AO184" s="549">
        <f t="shared" si="235"/>
        <v>1167.9428959948341</v>
      </c>
      <c r="AP184" s="549">
        <f t="shared" si="235"/>
        <v>1240.6200109275128</v>
      </c>
      <c r="AQ184" s="549">
        <f t="shared" si="235"/>
        <v>1318.2876310958536</v>
      </c>
      <c r="AR184" s="549">
        <f t="shared" si="235"/>
        <v>1401.3014155602259</v>
      </c>
      <c r="AS184" s="549">
        <f t="shared" si="235"/>
        <v>1490.0431652996099</v>
      </c>
      <c r="AT184" s="549">
        <f t="shared" si="235"/>
        <v>1583.5361640197336</v>
      </c>
      <c r="AU184" s="549">
        <f t="shared" si="235"/>
        <v>1651.5410508677805</v>
      </c>
      <c r="AV184" s="549">
        <f t="shared" si="235"/>
        <v>1722.638369872607</v>
      </c>
      <c r="AW184" s="549">
        <f t="shared" si="235"/>
        <v>1796.9651174884013</v>
      </c>
      <c r="AX184" s="549">
        <f t="shared" si="235"/>
        <v>1874.6646823882768</v>
      </c>
      <c r="AY184" s="549">
        <f t="shared" si="235"/>
        <v>1955.8871137554511</v>
      </c>
      <c r="AZ184" s="549">
        <f t="shared" si="235"/>
        <v>2040.7893925427757</v>
      </c>
      <c r="BA184" s="549">
        <f t="shared" si="235"/>
        <v>2129.5357264110125</v>
      </c>
      <c r="BB184" s="549">
        <f t="shared" si="235"/>
        <v>2222.2978580175804</v>
      </c>
      <c r="BC184" s="549">
        <f t="shared" si="235"/>
        <v>2319.2553872038361</v>
      </c>
      <c r="BD184" s="549">
        <f t="shared" si="235"/>
        <v>2420.5961114295947</v>
      </c>
    </row>
    <row r="185" spans="2:56" s="65" customFormat="1" x14ac:dyDescent="0.3">
      <c r="B185" s="65" t="s">
        <v>512</v>
      </c>
    </row>
    <row r="186" spans="2:56" s="65" customFormat="1" x14ac:dyDescent="0.3">
      <c r="B186" s="65" t="s">
        <v>78</v>
      </c>
      <c r="I186" s="573">
        <f>I181/I$35</f>
        <v>3.1271911372878949E-2</v>
      </c>
      <c r="J186" s="573">
        <f t="shared" ref="J186:BD186" si="236">J181/J$35</f>
        <v>1.4895445431108597E-2</v>
      </c>
      <c r="K186" s="573">
        <f t="shared" si="236"/>
        <v>5.1634552933535395E-2</v>
      </c>
      <c r="L186" s="573">
        <f t="shared" si="236"/>
        <v>9.2208868628263635E-2</v>
      </c>
      <c r="M186" s="573">
        <f t="shared" si="236"/>
        <v>9.393321437675245E-2</v>
      </c>
      <c r="N186" s="573">
        <f t="shared" ref="N186" si="237">N181/N$35</f>
        <v>5.563909774436078E-2</v>
      </c>
      <c r="O186" s="573">
        <f t="shared" si="236"/>
        <v>8.0593726916458816E-2</v>
      </c>
      <c r="P186" s="573">
        <f t="shared" si="236"/>
        <v>7.6879122192598764E-2</v>
      </c>
      <c r="Q186" s="573">
        <f t="shared" si="236"/>
        <v>7.1036370689103873E-2</v>
      </c>
      <c r="R186" s="573">
        <f t="shared" si="236"/>
        <v>7.6167935339255116E-2</v>
      </c>
      <c r="S186" s="573">
        <f t="shared" si="236"/>
        <v>7.4692004104062834E-2</v>
      </c>
      <c r="T186" s="573">
        <f t="shared" si="236"/>
        <v>7.3964742663517755E-2</v>
      </c>
      <c r="U186" s="573">
        <f t="shared" si="236"/>
        <v>7.4941375399866589E-2</v>
      </c>
      <c r="V186" s="573">
        <f t="shared" si="236"/>
        <v>7.45331491824541E-2</v>
      </c>
      <c r="W186" s="573">
        <f t="shared" si="236"/>
        <v>7.4480745697378767E-2</v>
      </c>
      <c r="X186" s="573">
        <f t="shared" si="236"/>
        <v>7.4653322016473456E-2</v>
      </c>
      <c r="Y186" s="573">
        <f t="shared" si="236"/>
        <v>7.4557811443289893E-2</v>
      </c>
      <c r="Z186" s="573">
        <f t="shared" si="236"/>
        <v>7.4566463483922901E-2</v>
      </c>
      <c r="AA186" s="573">
        <f t="shared" si="236"/>
        <v>7.4595502195406713E-2</v>
      </c>
      <c r="AB186" s="573">
        <f t="shared" si="236"/>
        <v>7.4576543081211075E-2</v>
      </c>
      <c r="AC186" s="573">
        <f t="shared" si="236"/>
        <v>7.4583009058728097E-2</v>
      </c>
      <c r="AD186" s="573">
        <f t="shared" si="236"/>
        <v>7.4588721839623506E-2</v>
      </c>
      <c r="AE186" s="573">
        <f t="shared" si="236"/>
        <v>7.458664933110723E-2</v>
      </c>
      <c r="AF186" s="573">
        <f t="shared" si="236"/>
        <v>7.4590209113286815E-2</v>
      </c>
      <c r="AG186" s="573">
        <f t="shared" si="236"/>
        <v>7.4592807252195026E-2</v>
      </c>
      <c r="AH186" s="573">
        <f t="shared" si="236"/>
        <v>7.4594369464607305E-2</v>
      </c>
      <c r="AI186" s="573">
        <f t="shared" si="236"/>
        <v>7.4597149255496056E-2</v>
      </c>
      <c r="AJ186" s="573">
        <f t="shared" si="236"/>
        <v>7.4599675827263998E-2</v>
      </c>
      <c r="AK186" s="573">
        <f t="shared" si="236"/>
        <v>7.4602184965841992E-2</v>
      </c>
      <c r="AL186" s="573">
        <f t="shared" si="236"/>
        <v>7.4605017623869493E-2</v>
      </c>
      <c r="AM186" s="573">
        <f t="shared" si="236"/>
        <v>7.460787634663843E-2</v>
      </c>
      <c r="AN186" s="573">
        <f t="shared" si="236"/>
        <v>7.4610854729077178E-2</v>
      </c>
      <c r="AO186" s="573">
        <f t="shared" si="236"/>
        <v>7.461399932382029E-2</v>
      </c>
      <c r="AP186" s="573">
        <f t="shared" si="236"/>
        <v>7.4617258322986574E-2</v>
      </c>
      <c r="AQ186" s="573">
        <f t="shared" si="236"/>
        <v>7.4620661836050428E-2</v>
      </c>
      <c r="AR186" s="573">
        <f t="shared" si="236"/>
        <v>7.4624218883264412E-2</v>
      </c>
      <c r="AS186" s="573">
        <f t="shared" si="236"/>
        <v>7.4627925933345732E-2</v>
      </c>
      <c r="AT186" s="573">
        <f t="shared" si="236"/>
        <v>7.463179557916462E-2</v>
      </c>
      <c r="AU186" s="573">
        <f t="shared" si="236"/>
        <v>7.4635819789621943E-2</v>
      </c>
      <c r="AV186" s="573">
        <f t="shared" si="236"/>
        <v>7.463967264275681E-2</v>
      </c>
      <c r="AW186" s="573">
        <f t="shared" si="236"/>
        <v>7.4643384825948067E-2</v>
      </c>
      <c r="AX186" s="573">
        <f t="shared" si="236"/>
        <v>7.4646981782142727E-2</v>
      </c>
      <c r="AY186" s="573">
        <f t="shared" si="236"/>
        <v>7.4650485766204519E-2</v>
      </c>
      <c r="AZ186" s="573">
        <f t="shared" si="236"/>
        <v>7.4653916675238394E-2</v>
      </c>
      <c r="BA186" s="573">
        <f t="shared" si="236"/>
        <v>7.4657291635709847E-2</v>
      </c>
      <c r="BB186" s="573">
        <f t="shared" si="236"/>
        <v>7.4660625719103701E-2</v>
      </c>
      <c r="BC186" s="573">
        <f t="shared" si="236"/>
        <v>7.4663932225805849E-2</v>
      </c>
      <c r="BD186" s="573">
        <f t="shared" si="236"/>
        <v>7.466722279840024E-2</v>
      </c>
    </row>
    <row r="187" spans="2:56" s="65" customFormat="1" x14ac:dyDescent="0.3">
      <c r="B187" s="65" t="s">
        <v>486</v>
      </c>
      <c r="I187" s="573">
        <f>I182/I$20</f>
        <v>0.10233852169336054</v>
      </c>
      <c r="J187" s="573">
        <f t="shared" ref="J187:BD187" si="238">J182/J$20</f>
        <v>0.12500854350351992</v>
      </c>
      <c r="K187" s="573">
        <f t="shared" si="238"/>
        <v>0.1332581259254037</v>
      </c>
      <c r="L187" s="573">
        <f t="shared" si="238"/>
        <v>0.12801760863391071</v>
      </c>
      <c r="M187" s="573">
        <f t="shared" si="238"/>
        <v>0.12443727743062558</v>
      </c>
      <c r="N187" s="573">
        <f t="shared" ref="N187" si="239">N182/N$20</f>
        <v>0.13833776505079431</v>
      </c>
      <c r="O187" s="573">
        <f t="shared" si="238"/>
        <v>0.16943965616901902</v>
      </c>
      <c r="P187" s="573">
        <f t="shared" si="238"/>
        <v>0.16336088408170196</v>
      </c>
      <c r="Q187" s="573">
        <f t="shared" si="238"/>
        <v>0.16600443689928435</v>
      </c>
      <c r="R187" s="573">
        <f t="shared" si="238"/>
        <v>0.16536494794598447</v>
      </c>
      <c r="S187" s="573">
        <f t="shared" si="238"/>
        <v>0.16438096757515352</v>
      </c>
      <c r="T187" s="573">
        <f t="shared" si="238"/>
        <v>0.16455357050946404</v>
      </c>
      <c r="U187" s="573">
        <f t="shared" si="238"/>
        <v>0.16388066870258705</v>
      </c>
      <c r="V187" s="573">
        <f t="shared" si="238"/>
        <v>0.16326758026645283</v>
      </c>
      <c r="W187" s="573">
        <f t="shared" si="238"/>
        <v>0.16281553522353753</v>
      </c>
      <c r="X187" s="573">
        <f t="shared" si="238"/>
        <v>0.16217420131341542</v>
      </c>
      <c r="Y187" s="573">
        <f t="shared" si="238"/>
        <v>0.16157176061688908</v>
      </c>
      <c r="Z187" s="573">
        <f t="shared" si="238"/>
        <v>0.16099111037125818</v>
      </c>
      <c r="AA187" s="573">
        <f t="shared" si="238"/>
        <v>0.16040060550121399</v>
      </c>
      <c r="AB187" s="573">
        <f t="shared" si="238"/>
        <v>0.15983281427186052</v>
      </c>
      <c r="AC187" s="573">
        <f t="shared" si="238"/>
        <v>0.15927707185204143</v>
      </c>
      <c r="AD187" s="573">
        <f t="shared" si="238"/>
        <v>0.15872857972083185</v>
      </c>
      <c r="AE187" s="573">
        <f t="shared" si="238"/>
        <v>0.15819862626459985</v>
      </c>
      <c r="AF187" s="573">
        <f t="shared" si="238"/>
        <v>0.15768494740974678</v>
      </c>
      <c r="AG187" s="573">
        <f t="shared" si="238"/>
        <v>0.15718808889259275</v>
      </c>
      <c r="AH187" s="573">
        <f t="shared" si="238"/>
        <v>0.1567104913081514</v>
      </c>
      <c r="AI187" s="573">
        <f t="shared" si="238"/>
        <v>0.15625172612008642</v>
      </c>
      <c r="AJ187" s="573">
        <f t="shared" si="238"/>
        <v>0.1558121205018064</v>
      </c>
      <c r="AK187" s="573">
        <f t="shared" si="238"/>
        <v>0.15539201036414574</v>
      </c>
      <c r="AL187" s="573">
        <f t="shared" si="238"/>
        <v>0.1549911039133326</v>
      </c>
      <c r="AM187" s="573">
        <f t="shared" si="238"/>
        <v>0.154609226567964</v>
      </c>
      <c r="AN187" s="573">
        <f t="shared" si="238"/>
        <v>0.15424609094667707</v>
      </c>
      <c r="AO187" s="573">
        <f t="shared" si="238"/>
        <v>0.15390124964641017</v>
      </c>
      <c r="AP187" s="573">
        <f t="shared" si="238"/>
        <v>0.15357424468318603</v>
      </c>
      <c r="AQ187" s="573">
        <f t="shared" si="238"/>
        <v>0.15326455760160385</v>
      </c>
      <c r="AR187" s="573">
        <f t="shared" si="238"/>
        <v>0.1529716219134501</v>
      </c>
      <c r="AS187" s="573">
        <f t="shared" si="238"/>
        <v>0.15269485586926673</v>
      </c>
      <c r="AT187" s="573">
        <f t="shared" si="238"/>
        <v>0.15243289545965649</v>
      </c>
      <c r="AU187" s="573">
        <f t="shared" si="238"/>
        <v>0.15216743043834169</v>
      </c>
      <c r="AV187" s="573">
        <f t="shared" si="238"/>
        <v>0.15191502337405852</v>
      </c>
      <c r="AW187" s="573">
        <f t="shared" si="238"/>
        <v>0.15167496058376301</v>
      </c>
      <c r="AX187" s="573">
        <f t="shared" si="238"/>
        <v>0.15144657853749582</v>
      </c>
      <c r="AY187" s="573">
        <f t="shared" si="238"/>
        <v>0.15122925918498356</v>
      </c>
      <c r="AZ187" s="573">
        <f t="shared" si="238"/>
        <v>0.15102242499327928</v>
      </c>
      <c r="BA187" s="573">
        <f t="shared" si="238"/>
        <v>0.15082553536961452</v>
      </c>
      <c r="BB187" s="573">
        <f t="shared" si="238"/>
        <v>0.15063808334681705</v>
      </c>
      <c r="BC187" s="573">
        <f t="shared" si="238"/>
        <v>0.1504595925616051</v>
      </c>
      <c r="BD187" s="573">
        <f t="shared" si="238"/>
        <v>0.1502896147439243</v>
      </c>
    </row>
    <row r="188" spans="2:56" s="65" customFormat="1" x14ac:dyDescent="0.3">
      <c r="B188" s="634" t="s">
        <v>448</v>
      </c>
      <c r="I188" s="573">
        <f>I183/I$28</f>
        <v>-0.10524193548387108</v>
      </c>
      <c r="J188" s="573">
        <f t="shared" ref="J188:BD188" si="240">J183/J$28</f>
        <v>-6.5347933592370136E-2</v>
      </c>
      <c r="K188" s="573">
        <f t="shared" si="240"/>
        <v>-8.5908063300678281E-2</v>
      </c>
      <c r="L188" s="573">
        <f t="shared" si="240"/>
        <v>-5.5533518445061289E-3</v>
      </c>
      <c r="M188" s="573">
        <f t="shared" si="240"/>
        <v>1.9778481012658295E-2</v>
      </c>
      <c r="N188" s="573">
        <f t="shared" ref="N188" si="241">N183/N$28</f>
        <v>4.4684129429892222E-2</v>
      </c>
      <c r="O188" s="573">
        <f t="shared" si="240"/>
        <v>4.5813386592947404E-2</v>
      </c>
      <c r="P188" s="573">
        <f t="shared" si="240"/>
        <v>5.689291639994494E-2</v>
      </c>
      <c r="Q188" s="573">
        <f t="shared" si="240"/>
        <v>6.8244672564736028E-2</v>
      </c>
      <c r="R188" s="573">
        <f t="shared" si="240"/>
        <v>7.3543798549860526E-2</v>
      </c>
      <c r="S188" s="573">
        <f t="shared" si="240"/>
        <v>8.0389154788501546E-2</v>
      </c>
      <c r="T188" s="573">
        <f t="shared" si="240"/>
        <v>8.6517788205595941E-2</v>
      </c>
      <c r="U188" s="573">
        <f t="shared" si="240"/>
        <v>9.0943217047212921E-2</v>
      </c>
      <c r="V188" s="573">
        <f t="shared" si="240"/>
        <v>9.530058011116059E-2</v>
      </c>
      <c r="W188" s="573">
        <f t="shared" si="240"/>
        <v>9.9069035554842699E-2</v>
      </c>
      <c r="X188" s="573">
        <f t="shared" si="240"/>
        <v>0.10217492819263899</v>
      </c>
      <c r="Y188" s="573">
        <f t="shared" si="240"/>
        <v>0.10498819391229344</v>
      </c>
      <c r="Z188" s="573">
        <f t="shared" si="240"/>
        <v>0.10741484359507927</v>
      </c>
      <c r="AA188" s="573">
        <f t="shared" si="240"/>
        <v>0.10949390863700353</v>
      </c>
      <c r="AB188" s="573">
        <f t="shared" si="240"/>
        <v>0.11132488953960976</v>
      </c>
      <c r="AC188" s="573">
        <f t="shared" si="240"/>
        <v>0.11290907259495399</v>
      </c>
      <c r="AD188" s="573">
        <f t="shared" si="240"/>
        <v>0.11428094699324517</v>
      </c>
      <c r="AE188" s="573">
        <f t="shared" si="240"/>
        <v>0.11547768145066109</v>
      </c>
      <c r="AF188" s="573">
        <f t="shared" si="240"/>
        <v>0.11651529869705374</v>
      </c>
      <c r="AG188" s="573">
        <f t="shared" si="240"/>
        <v>0.11741602944686674</v>
      </c>
      <c r="AH188" s="573">
        <f t="shared" si="240"/>
        <v>0.11819925655041345</v>
      </c>
      <c r="AI188" s="573">
        <f t="shared" si="240"/>
        <v>0.11887893176251678</v>
      </c>
      <c r="AJ188" s="573">
        <f t="shared" si="240"/>
        <v>0.1194690732950324</v>
      </c>
      <c r="AK188" s="573">
        <f t="shared" si="240"/>
        <v>0.11998158543213251</v>
      </c>
      <c r="AL188" s="573">
        <f t="shared" si="240"/>
        <v>0.12042634832145933</v>
      </c>
      <c r="AM188" s="573">
        <f t="shared" si="240"/>
        <v>0.12081234751767106</v>
      </c>
      <c r="AN188" s="573">
        <f t="shared" si="240"/>
        <v>0.12114727975841327</v>
      </c>
      <c r="AO188" s="573">
        <f t="shared" si="240"/>
        <v>0.12143776913501589</v>
      </c>
      <c r="AP188" s="573">
        <f t="shared" si="240"/>
        <v>0.12168964977083134</v>
      </c>
      <c r="AQ188" s="573">
        <f t="shared" si="240"/>
        <v>0.12190795879107565</v>
      </c>
      <c r="AR188" s="573">
        <f t="shared" si="240"/>
        <v>0.12209706643697764</v>
      </c>
      <c r="AS188" s="573">
        <f t="shared" si="240"/>
        <v>0.12226078381043662</v>
      </c>
      <c r="AT188" s="573">
        <f t="shared" si="240"/>
        <v>0.12240241398135437</v>
      </c>
      <c r="AU188" s="573">
        <f t="shared" si="240"/>
        <v>0.12252486521787236</v>
      </c>
      <c r="AV188" s="573">
        <f t="shared" si="240"/>
        <v>0.12263148095384881</v>
      </c>
      <c r="AW188" s="573">
        <f t="shared" si="240"/>
        <v>0.12272432195648894</v>
      </c>
      <c r="AX188" s="573">
        <f t="shared" si="240"/>
        <v>0.12280518101305907</v>
      </c>
      <c r="AY188" s="573">
        <f t="shared" si="240"/>
        <v>0.12287561783746379</v>
      </c>
      <c r="AZ188" s="573">
        <f t="shared" si="240"/>
        <v>0.12293698868466388</v>
      </c>
      <c r="BA188" s="573">
        <f t="shared" si="240"/>
        <v>0.12299047328463923</v>
      </c>
      <c r="BB188" s="573">
        <f t="shared" si="240"/>
        <v>0.12303709774988902</v>
      </c>
      <c r="BC188" s="573">
        <f t="shared" si="240"/>
        <v>0.12307775446248569</v>
      </c>
      <c r="BD188" s="573">
        <f t="shared" si="240"/>
        <v>0.12311321957927442</v>
      </c>
    </row>
    <row r="189" spans="2:56" s="65" customFormat="1" x14ac:dyDescent="0.3">
      <c r="B189" s="634" t="s">
        <v>487</v>
      </c>
      <c r="I189" s="573">
        <f>I184/I$22</f>
        <v>0.14992143451335624</v>
      </c>
      <c r="J189" s="573">
        <f t="shared" ref="J189:BD189" si="242">J184/J$22</f>
        <v>0.17067796610169489</v>
      </c>
      <c r="K189" s="573">
        <f t="shared" si="242"/>
        <v>0.18371064272703616</v>
      </c>
      <c r="L189" s="573">
        <f t="shared" si="242"/>
        <v>0.15713915073942741</v>
      </c>
      <c r="M189" s="573">
        <f t="shared" si="242"/>
        <v>0.14585188182921899</v>
      </c>
      <c r="N189" s="573">
        <f t="shared" ref="N189" si="243">N184/N$22</f>
        <v>0.15847899925441145</v>
      </c>
      <c r="O189" s="573">
        <f t="shared" si="242"/>
        <v>0.1948540553919762</v>
      </c>
      <c r="P189" s="573">
        <f t="shared" si="242"/>
        <v>0.18481881661639812</v>
      </c>
      <c r="Q189" s="573">
        <f t="shared" si="242"/>
        <v>0.18513341776139511</v>
      </c>
      <c r="R189" s="573">
        <f t="shared" si="242"/>
        <v>0.18280859082536977</v>
      </c>
      <c r="S189" s="573">
        <f t="shared" si="242"/>
        <v>0.17987249328042701</v>
      </c>
      <c r="T189" s="573">
        <f t="shared" si="242"/>
        <v>0.17852734727751687</v>
      </c>
      <c r="U189" s="573">
        <f t="shared" si="242"/>
        <v>0.1765610809638169</v>
      </c>
      <c r="V189" s="573">
        <f t="shared" si="242"/>
        <v>0.17473969984458562</v>
      </c>
      <c r="W189" s="573">
        <f t="shared" si="242"/>
        <v>0.17326188783263161</v>
      </c>
      <c r="X189" s="573">
        <f t="shared" si="242"/>
        <v>0.17172010619905903</v>
      </c>
      <c r="Y189" s="573">
        <f t="shared" si="242"/>
        <v>0.17031201772946489</v>
      </c>
      <c r="Z189" s="573">
        <f t="shared" si="242"/>
        <v>0.16902580014241952</v>
      </c>
      <c r="AA189" s="573">
        <f t="shared" si="242"/>
        <v>0.16790648555673218</v>
      </c>
      <c r="AB189" s="573">
        <f t="shared" si="242"/>
        <v>0.16686880616350214</v>
      </c>
      <c r="AC189" s="573">
        <f t="shared" si="242"/>
        <v>0.16589197263194408</v>
      </c>
      <c r="AD189" s="573">
        <f t="shared" si="242"/>
        <v>0.16496381295835355</v>
      </c>
      <c r="AE189" s="573">
        <f t="shared" si="242"/>
        <v>0.1640904688314907</v>
      </c>
      <c r="AF189" s="573">
        <f t="shared" si="242"/>
        <v>0.16326580840203206</v>
      </c>
      <c r="AG189" s="573">
        <f t="shared" si="242"/>
        <v>0.16248623436672399</v>
      </c>
      <c r="AH189" s="573">
        <f t="shared" si="242"/>
        <v>0.16175087366820459</v>
      </c>
      <c r="AI189" s="573">
        <f t="shared" si="242"/>
        <v>0.1610564768684653</v>
      </c>
      <c r="AJ189" s="573">
        <f t="shared" si="242"/>
        <v>0.16040077601016767</v>
      </c>
      <c r="AK189" s="573">
        <f t="shared" si="242"/>
        <v>0.1597819065051686</v>
      </c>
      <c r="AL189" s="573">
        <f t="shared" si="242"/>
        <v>0.15919765708206901</v>
      </c>
      <c r="AM189" s="573">
        <f t="shared" si="242"/>
        <v>0.15864615201023438</v>
      </c>
      <c r="AN189" s="573">
        <f t="shared" si="242"/>
        <v>0.15812562804772237</v>
      </c>
      <c r="AO189" s="573">
        <f t="shared" si="242"/>
        <v>0.15763434292402756</v>
      </c>
      <c r="AP189" s="573">
        <f t="shared" si="242"/>
        <v>0.15717069882141166</v>
      </c>
      <c r="AQ189" s="573">
        <f t="shared" si="242"/>
        <v>0.15673317840140241</v>
      </c>
      <c r="AR189" s="573">
        <f t="shared" si="242"/>
        <v>0.15632033572509141</v>
      </c>
      <c r="AS189" s="573">
        <f t="shared" si="242"/>
        <v>0.15593081368871273</v>
      </c>
      <c r="AT189" s="573">
        <f t="shared" si="242"/>
        <v>0.15556526450431349</v>
      </c>
      <c r="AU189" s="573">
        <f t="shared" si="242"/>
        <v>0.15525933736523903</v>
      </c>
      <c r="AV189" s="573">
        <f t="shared" si="242"/>
        <v>0.15496948195346014</v>
      </c>
      <c r="AW189" s="573">
        <f t="shared" si="242"/>
        <v>0.15469469519323467</v>
      </c>
      <c r="AX189" s="573">
        <f t="shared" si="242"/>
        <v>0.15443405734518936</v>
      </c>
      <c r="AY189" s="573">
        <f t="shared" si="242"/>
        <v>0.15418672320448146</v>
      </c>
      <c r="AZ189" s="573">
        <f t="shared" si="242"/>
        <v>0.15395191353186163</v>
      </c>
      <c r="BA189" s="573">
        <f t="shared" si="242"/>
        <v>0.15372890829402394</v>
      </c>
      <c r="BB189" s="573">
        <f t="shared" si="242"/>
        <v>0.15351704061389618</v>
      </c>
      <c r="BC189" s="573">
        <f t="shared" si="242"/>
        <v>0.15331569135940354</v>
      </c>
      <c r="BD189" s="573">
        <f t="shared" si="242"/>
        <v>0.15312428454502688</v>
      </c>
    </row>
    <row r="191" spans="2:56" x14ac:dyDescent="0.3">
      <c r="B191" t="s">
        <v>192</v>
      </c>
      <c r="G191" s="638">
        <f t="shared" ref="G191:L191" si="244">G193-G176</f>
        <v>-204.59999999999997</v>
      </c>
      <c r="H191" s="638">
        <f t="shared" si="244"/>
        <v>-281.70000000000005</v>
      </c>
      <c r="I191" s="638">
        <f t="shared" si="244"/>
        <v>9.999999999973852E-2</v>
      </c>
      <c r="J191" s="638">
        <f t="shared" si="244"/>
        <v>0</v>
      </c>
      <c r="K191" s="638">
        <f t="shared" si="244"/>
        <v>-7.1000000000083219E-2</v>
      </c>
      <c r="L191" s="638">
        <f t="shared" si="244"/>
        <v>6.9000000000073669E-2</v>
      </c>
      <c r="M191" s="638">
        <f>M193-M176</f>
        <v>9.9999999999340616E-3</v>
      </c>
      <c r="N191" s="638">
        <f>N193-N176</f>
        <v>7.7999999999519787E-2</v>
      </c>
    </row>
    <row r="193" spans="2:56" s="31" customFormat="1" x14ac:dyDescent="0.3">
      <c r="B193" s="98" t="s">
        <v>128</v>
      </c>
      <c r="C193" s="98"/>
      <c r="D193" s="636">
        <f>BD!D48</f>
        <v>0</v>
      </c>
      <c r="E193" s="636">
        <f>BD!E48</f>
        <v>0</v>
      </c>
      <c r="F193" s="636">
        <f>BD!F48</f>
        <v>0</v>
      </c>
      <c r="G193" s="637">
        <f>BD!G48</f>
        <v>140.30000000000013</v>
      </c>
      <c r="H193" s="637">
        <f>BD!H48</f>
        <v>120.29999999999997</v>
      </c>
      <c r="I193" s="637">
        <f>BD!I48</f>
        <v>155.10000000000002</v>
      </c>
      <c r="J193" s="637">
        <f>BD!J48</f>
        <v>189.70000000000005</v>
      </c>
      <c r="K193" s="637">
        <f>BD!K48</f>
        <v>233.02399999999977</v>
      </c>
      <c r="L193" s="637">
        <f>BD!L48</f>
        <v>265.74000000000029</v>
      </c>
      <c r="M193" s="637">
        <f>BD!M48</f>
        <v>254.60500000000019</v>
      </c>
      <c r="N193" s="637">
        <f>BD!N48</f>
        <v>244.60200000000015</v>
      </c>
      <c r="O193" s="146">
        <f t="shared" ref="O193:BD193" si="245">O176+O191</f>
        <v>340.96213663281236</v>
      </c>
      <c r="P193" s="146">
        <f t="shared" si="245"/>
        <v>348.95813771749948</v>
      </c>
      <c r="Q193" s="146">
        <f t="shared" si="245"/>
        <v>370.28640135500842</v>
      </c>
      <c r="R193" s="146">
        <f t="shared" si="245"/>
        <v>396.38206663873075</v>
      </c>
      <c r="S193" s="146">
        <f t="shared" si="245"/>
        <v>417.62803733037094</v>
      </c>
      <c r="T193" s="146">
        <f t="shared" si="245"/>
        <v>443.5924469386224</v>
      </c>
      <c r="U193" s="146">
        <f t="shared" si="245"/>
        <v>470.91799984450682</v>
      </c>
      <c r="V193" s="146">
        <f t="shared" si="245"/>
        <v>498.91357374793762</v>
      </c>
      <c r="W193" s="146">
        <f t="shared" si="245"/>
        <v>529.58527546765538</v>
      </c>
      <c r="X193" s="146">
        <f t="shared" si="245"/>
        <v>561.99519627737288</v>
      </c>
      <c r="Y193" s="146">
        <f t="shared" si="245"/>
        <v>596.42999824186961</v>
      </c>
      <c r="Z193" s="146">
        <f t="shared" si="245"/>
        <v>633.36277060748114</v>
      </c>
      <c r="AA193" s="146">
        <f t="shared" si="245"/>
        <v>666.47215934223073</v>
      </c>
      <c r="AB193" s="146">
        <f t="shared" si="245"/>
        <v>701.13009810725327</v>
      </c>
      <c r="AC193" s="146">
        <f t="shared" si="245"/>
        <v>737.87891042416231</v>
      </c>
      <c r="AD193" s="146">
        <f t="shared" si="245"/>
        <v>776.80569842306102</v>
      </c>
      <c r="AE193" s="146">
        <f t="shared" si="245"/>
        <v>818.09566499889331</v>
      </c>
      <c r="AF193" s="146">
        <f t="shared" si="245"/>
        <v>861.91248674265876</v>
      </c>
      <c r="AG193" s="146">
        <f t="shared" si="245"/>
        <v>908.42143828246321</v>
      </c>
      <c r="AH193" s="146">
        <f t="shared" si="245"/>
        <v>957.81840374136129</v>
      </c>
      <c r="AI193" s="146">
        <f t="shared" si="245"/>
        <v>1010.3018367914854</v>
      </c>
      <c r="AJ193" s="146">
        <f t="shared" si="245"/>
        <v>1066.0845463295996</v>
      </c>
      <c r="AK193" s="146">
        <f t="shared" si="245"/>
        <v>1125.3976104855383</v>
      </c>
      <c r="AL193" s="146">
        <f t="shared" si="245"/>
        <v>1188.4853659137077</v>
      </c>
      <c r="AM193" s="146">
        <f t="shared" si="245"/>
        <v>1255.6100469318324</v>
      </c>
      <c r="AN193" s="146">
        <f t="shared" si="245"/>
        <v>1327.0528620185385</v>
      </c>
      <c r="AO193" s="146">
        <f t="shared" si="245"/>
        <v>1403.1142499134673</v>
      </c>
      <c r="AP193" s="146">
        <f t="shared" si="245"/>
        <v>1484.1162770132903</v>
      </c>
      <c r="AQ193" s="146">
        <f t="shared" si="245"/>
        <v>1570.4039930297783</v>
      </c>
      <c r="AR193" s="146">
        <f t="shared" si="245"/>
        <v>1662.3469767907213</v>
      </c>
      <c r="AS193" s="146">
        <f t="shared" si="245"/>
        <v>1760.3413886078677</v>
      </c>
      <c r="AT193" s="146">
        <f t="shared" si="245"/>
        <v>1863.4351732630194</v>
      </c>
      <c r="AU193" s="146">
        <f t="shared" si="245"/>
        <v>1941.6191576174522</v>
      </c>
      <c r="AV193" s="146">
        <f t="shared" si="245"/>
        <v>2023.2337817784451</v>
      </c>
      <c r="AW193" s="146">
        <f t="shared" si="245"/>
        <v>2108.4345106477776</v>
      </c>
      <c r="AX193" s="146">
        <f t="shared" si="245"/>
        <v>2197.3834519587017</v>
      </c>
      <c r="AY193" s="146">
        <f t="shared" si="245"/>
        <v>2290.2496940257201</v>
      </c>
      <c r="AZ193" s="146">
        <f t="shared" si="245"/>
        <v>2387.2096404837084</v>
      </c>
      <c r="BA193" s="146">
        <f t="shared" si="245"/>
        <v>2488.4473660039489</v>
      </c>
      <c r="BB193" s="146">
        <f t="shared" si="245"/>
        <v>2594.1549843553289</v>
      </c>
      <c r="BC193" s="146">
        <f t="shared" si="245"/>
        <v>2704.5330279694595</v>
      </c>
      <c r="BD193" s="146">
        <f t="shared" si="245"/>
        <v>2819.7908445864559</v>
      </c>
    </row>
    <row r="196" spans="2:56" s="31" customFormat="1" x14ac:dyDescent="0.3">
      <c r="B196" s="81" t="s">
        <v>90</v>
      </c>
      <c r="C196" s="81" t="s">
        <v>90</v>
      </c>
      <c r="D196" s="99">
        <f t="shared" ref="D196:M196" si="246">D199+D200</f>
        <v>0</v>
      </c>
      <c r="E196" s="99">
        <f t="shared" si="246"/>
        <v>0</v>
      </c>
      <c r="F196" s="99">
        <f t="shared" si="246"/>
        <v>0</v>
      </c>
      <c r="G196" s="99">
        <f t="shared" si="246"/>
        <v>112.5</v>
      </c>
      <c r="H196" s="99">
        <f t="shared" si="246"/>
        <v>62.5</v>
      </c>
      <c r="I196" s="99">
        <f t="shared" si="246"/>
        <v>59.3</v>
      </c>
      <c r="J196" s="99">
        <f t="shared" si="246"/>
        <v>55.300000000000004</v>
      </c>
      <c r="K196" s="99">
        <f t="shared" si="246"/>
        <v>42.199999999999996</v>
      </c>
      <c r="L196" s="99">
        <f t="shared" si="246"/>
        <v>73.716999999999999</v>
      </c>
      <c r="M196" s="99">
        <f t="shared" si="246"/>
        <v>71.222999999999999</v>
      </c>
      <c r="N196" s="99">
        <f t="shared" ref="N196" si="247">N199+N200</f>
        <v>40.479999999999997</v>
      </c>
      <c r="O196" s="100">
        <f t="shared" ref="O196:BD196" si="248">O197*ReceitaLíquida</f>
        <v>72.046510975492353</v>
      </c>
      <c r="P196" s="100">
        <f t="shared" si="248"/>
        <v>75.46562324910569</v>
      </c>
      <c r="Q196" s="100">
        <f t="shared" si="248"/>
        <v>79.635792367699722</v>
      </c>
      <c r="R196" s="100">
        <f t="shared" si="248"/>
        <v>84.083255696568699</v>
      </c>
      <c r="S196" s="100">
        <f t="shared" si="248"/>
        <v>88.770941510732555</v>
      </c>
      <c r="T196" s="100">
        <f t="shared" si="248"/>
        <v>93.803542077954731</v>
      </c>
      <c r="U196" s="100">
        <f t="shared" si="248"/>
        <v>99.165303818422927</v>
      </c>
      <c r="V196" s="100">
        <f t="shared" si="248"/>
        <v>104.87580814281992</v>
      </c>
      <c r="W196" s="100">
        <f t="shared" si="248"/>
        <v>110.97809622176567</v>
      </c>
      <c r="X196" s="100">
        <f t="shared" si="248"/>
        <v>117.48931048307354</v>
      </c>
      <c r="Y196" s="100">
        <f t="shared" si="248"/>
        <v>124.44017349183093</v>
      </c>
      <c r="Z196" s="100">
        <f t="shared" si="248"/>
        <v>131.86588038527699</v>
      </c>
      <c r="AA196" s="100">
        <f t="shared" si="248"/>
        <v>138.64962448276012</v>
      </c>
      <c r="AB196" s="100">
        <f t="shared" si="248"/>
        <v>145.76078984006051</v>
      </c>
      <c r="AC196" s="100">
        <f t="shared" si="248"/>
        <v>153.29450166033095</v>
      </c>
      <c r="AD196" s="100">
        <f t="shared" si="248"/>
        <v>161.27783594829626</v>
      </c>
      <c r="AE196" s="100">
        <f t="shared" si="248"/>
        <v>169.74064597399112</v>
      </c>
      <c r="AF196" s="100">
        <f t="shared" si="248"/>
        <v>178.7146783128471</v>
      </c>
      <c r="AG196" s="100">
        <f t="shared" si="248"/>
        <v>188.23371355636075</v>
      </c>
      <c r="AH196" s="100">
        <f t="shared" si="248"/>
        <v>198.33411200142001</v>
      </c>
      <c r="AI196" s="100">
        <f t="shared" si="248"/>
        <v>209.05472073662972</v>
      </c>
      <c r="AJ196" s="100">
        <f t="shared" si="248"/>
        <v>220.43710438819372</v>
      </c>
      <c r="AK196" s="100">
        <f t="shared" si="248"/>
        <v>232.52581209012669</v>
      </c>
      <c r="AL196" s="100">
        <f t="shared" si="248"/>
        <v>245.36852859190836</v>
      </c>
      <c r="AM196" s="100">
        <f t="shared" si="248"/>
        <v>259.01632482366153</v>
      </c>
      <c r="AN196" s="100">
        <f t="shared" si="248"/>
        <v>273.52391541221272</v>
      </c>
      <c r="AO196" s="100">
        <f t="shared" si="248"/>
        <v>288.94991087971653</v>
      </c>
      <c r="AP196" s="100">
        <f t="shared" si="248"/>
        <v>305.35711019599074</v>
      </c>
      <c r="AQ196" s="100">
        <f t="shared" si="248"/>
        <v>322.81280908137524</v>
      </c>
      <c r="AR196" s="100">
        <f t="shared" si="248"/>
        <v>341.38912757206214</v>
      </c>
      <c r="AS196" s="100">
        <f t="shared" si="248"/>
        <v>361.16336693685378</v>
      </c>
      <c r="AT196" s="100">
        <f t="shared" si="248"/>
        <v>381.95575102463124</v>
      </c>
      <c r="AU196" s="100">
        <f t="shared" si="248"/>
        <v>398.0366944765139</v>
      </c>
      <c r="AV196" s="100">
        <f t="shared" si="248"/>
        <v>414.8136037354634</v>
      </c>
      <c r="AW196" s="100">
        <f t="shared" si="248"/>
        <v>432.31710538233511</v>
      </c>
      <c r="AX196" s="100">
        <f t="shared" si="248"/>
        <v>450.5791868309467</v>
      </c>
      <c r="AY196" s="100">
        <f t="shared" si="248"/>
        <v>469.63325723626161</v>
      </c>
      <c r="AZ196" s="100">
        <f t="shared" si="248"/>
        <v>489.51421098894031</v>
      </c>
      <c r="BA196" s="100">
        <f t="shared" si="248"/>
        <v>510.25849408742789</v>
      </c>
      <c r="BB196" s="100">
        <f t="shared" si="248"/>
        <v>531.90417351566327</v>
      </c>
      <c r="BC196" s="100">
        <f t="shared" si="248"/>
        <v>554.49100969877759</v>
      </c>
      <c r="BD196" s="100">
        <f t="shared" si="248"/>
        <v>578.06053221890488</v>
      </c>
    </row>
    <row r="197" spans="2:56" s="65" customFormat="1" x14ac:dyDescent="0.3">
      <c r="B197" s="66" t="s">
        <v>26</v>
      </c>
      <c r="C197" s="66" t="s">
        <v>27</v>
      </c>
      <c r="D197" s="78" t="e">
        <f t="shared" ref="D197:N197" si="249">CAPEX/ReceitaLíquida</f>
        <v>#DIV/0!</v>
      </c>
      <c r="E197" s="78" t="e">
        <f t="shared" si="249"/>
        <v>#DIV/0!</v>
      </c>
      <c r="F197" s="78" t="e">
        <f t="shared" si="249"/>
        <v>#DIV/0!</v>
      </c>
      <c r="G197" s="78">
        <f t="shared" si="249"/>
        <v>7.9911919306719703E-2</v>
      </c>
      <c r="H197" s="78">
        <f t="shared" si="249"/>
        <v>3.7138273218848411E-2</v>
      </c>
      <c r="I197" s="78">
        <f t="shared" si="249"/>
        <v>2.9025942241801269E-2</v>
      </c>
      <c r="J197" s="78">
        <f t="shared" si="249"/>
        <v>2.6434034416826006E-2</v>
      </c>
      <c r="K197" s="78">
        <f t="shared" si="249"/>
        <v>1.8614129535815659E-2</v>
      </c>
      <c r="L197" s="78">
        <f t="shared" si="249"/>
        <v>3.1894572293772558E-2</v>
      </c>
      <c r="M197" s="78">
        <f t="shared" si="249"/>
        <v>3.2393306029258259E-2</v>
      </c>
      <c r="N197" s="78">
        <f t="shared" si="249"/>
        <v>1.7948680430573231E-2</v>
      </c>
      <c r="O197" s="179">
        <v>0.03</v>
      </c>
      <c r="P197" s="179">
        <v>0.03</v>
      </c>
      <c r="Q197" s="179">
        <v>0.03</v>
      </c>
      <c r="R197" s="179">
        <v>0.03</v>
      </c>
      <c r="S197" s="179">
        <v>0.03</v>
      </c>
      <c r="T197" s="79">
        <f t="shared" ref="T197:BD197" si="250">AVERAGE(Q197:S197)</f>
        <v>0.03</v>
      </c>
      <c r="U197" s="79">
        <f t="shared" si="250"/>
        <v>0.03</v>
      </c>
      <c r="V197" s="79">
        <f t="shared" si="250"/>
        <v>0.03</v>
      </c>
      <c r="W197" s="79">
        <f t="shared" si="250"/>
        <v>0.03</v>
      </c>
      <c r="X197" s="79">
        <f t="shared" si="250"/>
        <v>0.03</v>
      </c>
      <c r="Y197" s="79">
        <f t="shared" si="250"/>
        <v>0.03</v>
      </c>
      <c r="Z197" s="79">
        <f t="shared" si="250"/>
        <v>0.03</v>
      </c>
      <c r="AA197" s="79">
        <f t="shared" si="250"/>
        <v>0.03</v>
      </c>
      <c r="AB197" s="79">
        <f t="shared" si="250"/>
        <v>0.03</v>
      </c>
      <c r="AC197" s="79">
        <f t="shared" si="250"/>
        <v>0.03</v>
      </c>
      <c r="AD197" s="79">
        <f t="shared" si="250"/>
        <v>0.03</v>
      </c>
      <c r="AE197" s="79">
        <f t="shared" si="250"/>
        <v>0.03</v>
      </c>
      <c r="AF197" s="79">
        <f t="shared" si="250"/>
        <v>0.03</v>
      </c>
      <c r="AG197" s="79">
        <f t="shared" si="250"/>
        <v>0.03</v>
      </c>
      <c r="AH197" s="79">
        <f t="shared" si="250"/>
        <v>0.03</v>
      </c>
      <c r="AI197" s="79">
        <f t="shared" si="250"/>
        <v>0.03</v>
      </c>
      <c r="AJ197" s="79">
        <f t="shared" si="250"/>
        <v>0.03</v>
      </c>
      <c r="AK197" s="79">
        <f t="shared" si="250"/>
        <v>0.03</v>
      </c>
      <c r="AL197" s="79">
        <f t="shared" si="250"/>
        <v>0.03</v>
      </c>
      <c r="AM197" s="79">
        <f t="shared" si="250"/>
        <v>0.03</v>
      </c>
      <c r="AN197" s="79">
        <f t="shared" si="250"/>
        <v>0.03</v>
      </c>
      <c r="AO197" s="79">
        <f t="shared" si="250"/>
        <v>0.03</v>
      </c>
      <c r="AP197" s="79">
        <f t="shared" si="250"/>
        <v>0.03</v>
      </c>
      <c r="AQ197" s="79">
        <f t="shared" si="250"/>
        <v>0.03</v>
      </c>
      <c r="AR197" s="79">
        <f t="shared" si="250"/>
        <v>0.03</v>
      </c>
      <c r="AS197" s="79">
        <f t="shared" si="250"/>
        <v>0.03</v>
      </c>
      <c r="AT197" s="79">
        <f t="shared" si="250"/>
        <v>0.03</v>
      </c>
      <c r="AU197" s="79">
        <f t="shared" si="250"/>
        <v>0.03</v>
      </c>
      <c r="AV197" s="79">
        <f t="shared" si="250"/>
        <v>0.03</v>
      </c>
      <c r="AW197" s="79">
        <f t="shared" si="250"/>
        <v>0.03</v>
      </c>
      <c r="AX197" s="79">
        <f t="shared" si="250"/>
        <v>0.03</v>
      </c>
      <c r="AY197" s="79">
        <f t="shared" si="250"/>
        <v>0.03</v>
      </c>
      <c r="AZ197" s="79">
        <f t="shared" si="250"/>
        <v>0.03</v>
      </c>
      <c r="BA197" s="79">
        <f t="shared" si="250"/>
        <v>0.03</v>
      </c>
      <c r="BB197" s="79">
        <f t="shared" si="250"/>
        <v>0.03</v>
      </c>
      <c r="BC197" s="79">
        <f t="shared" si="250"/>
        <v>0.03</v>
      </c>
      <c r="BD197" s="79">
        <f t="shared" si="250"/>
        <v>0.03</v>
      </c>
    </row>
    <row r="198" spans="2:56" s="65" customFormat="1" x14ac:dyDescent="0.3">
      <c r="B198" s="65" t="s">
        <v>521</v>
      </c>
      <c r="O198" s="65">
        <f t="shared" ref="O198:BD198" si="251">O196/O170</f>
        <v>1.0125504855768492</v>
      </c>
      <c r="P198" s="65">
        <f t="shared" si="251"/>
        <v>1.0591409074614815</v>
      </c>
      <c r="Q198" s="65">
        <f t="shared" si="251"/>
        <v>1.110444180354152</v>
      </c>
      <c r="R198" s="65">
        <f t="shared" si="251"/>
        <v>1.1583866818923472</v>
      </c>
      <c r="S198" s="65">
        <f t="shared" si="251"/>
        <v>1.2020250267302233</v>
      </c>
      <c r="T198" s="65">
        <f t="shared" si="251"/>
        <v>1.2425571662973585</v>
      </c>
      <c r="U198" s="65">
        <f t="shared" si="251"/>
        <v>1.279443877545881</v>
      </c>
      <c r="V198" s="65">
        <f t="shared" si="251"/>
        <v>1.3127685942143947</v>
      </c>
      <c r="W198" s="65">
        <f t="shared" si="251"/>
        <v>1.3429495813999257</v>
      </c>
      <c r="X198" s="65">
        <f t="shared" si="251"/>
        <v>1.3700573338754634</v>
      </c>
      <c r="Y198" s="65">
        <f t="shared" si="251"/>
        <v>1.3943532339132902</v>
      </c>
      <c r="Z198" s="65">
        <f t="shared" si="251"/>
        <v>1.4161283186629787</v>
      </c>
      <c r="AA198" s="65">
        <f t="shared" si="251"/>
        <v>1.4238065241315814</v>
      </c>
      <c r="AB198" s="65">
        <f t="shared" si="251"/>
        <v>1.4301595699465641</v>
      </c>
      <c r="AC198" s="65">
        <f t="shared" si="251"/>
        <v>1.4361241297913843</v>
      </c>
      <c r="AD198" s="65">
        <f t="shared" si="251"/>
        <v>1.4417492161418308</v>
      </c>
      <c r="AE198" s="65">
        <f t="shared" si="251"/>
        <v>1.4470854465102236</v>
      </c>
      <c r="AF198" s="65">
        <f t="shared" si="251"/>
        <v>1.452174460059581</v>
      </c>
      <c r="AG198" s="65">
        <f t="shared" si="251"/>
        <v>1.4570503837444739</v>
      </c>
      <c r="AH198" s="65">
        <f t="shared" si="251"/>
        <v>1.461744011335055</v>
      </c>
      <c r="AI198" s="65">
        <f t="shared" si="251"/>
        <v>1.4662809560399501</v>
      </c>
      <c r="AJ198" s="65">
        <f t="shared" si="251"/>
        <v>1.4706827732457077</v>
      </c>
      <c r="AK198" s="65">
        <f t="shared" si="251"/>
        <v>1.4749679737343993</v>
      </c>
      <c r="AL198" s="65">
        <f t="shared" si="251"/>
        <v>1.4791519787535079</v>
      </c>
      <c r="AM198" s="65">
        <f t="shared" si="251"/>
        <v>1.4832476975015931</v>
      </c>
      <c r="AN198" s="65">
        <f t="shared" si="251"/>
        <v>1.4872659327292739</v>
      </c>
      <c r="AO198" s="65">
        <f t="shared" si="251"/>
        <v>1.4912155936987401</v>
      </c>
      <c r="AP198" s="65">
        <f t="shared" si="251"/>
        <v>1.4951040079187337</v>
      </c>
      <c r="AQ198" s="65">
        <f t="shared" si="251"/>
        <v>1.4989371539409613</v>
      </c>
      <c r="AR198" s="65">
        <f t="shared" si="251"/>
        <v>1.5027198457396984</v>
      </c>
      <c r="AS198" s="65">
        <f t="shared" si="251"/>
        <v>1.5064559163272584</v>
      </c>
      <c r="AT198" s="65">
        <f t="shared" si="251"/>
        <v>1.509110672294993</v>
      </c>
      <c r="AU198" s="65">
        <f t="shared" si="251"/>
        <v>1.4892456341662912</v>
      </c>
      <c r="AV198" s="65">
        <f t="shared" si="251"/>
        <v>1.4727566988603922</v>
      </c>
      <c r="AW198" s="65">
        <f t="shared" si="251"/>
        <v>1.4590271036811002</v>
      </c>
      <c r="AX198" s="65">
        <f t="shared" si="251"/>
        <v>1.447567793125264</v>
      </c>
      <c r="AY198" s="65">
        <f t="shared" si="251"/>
        <v>1.4379868427350702</v>
      </c>
      <c r="AZ198" s="65">
        <f t="shared" si="251"/>
        <v>1.4299672905854692</v>
      </c>
      <c r="BA198" s="65">
        <f t="shared" si="251"/>
        <v>1.4232507805979679</v>
      </c>
      <c r="BB198" s="65">
        <f t="shared" si="251"/>
        <v>1.4176253010240372</v>
      </c>
      <c r="BC198" s="65">
        <f t="shared" si="251"/>
        <v>1.4129158594552382</v>
      </c>
      <c r="BD198" s="65">
        <f t="shared" si="251"/>
        <v>1.4089772979880093</v>
      </c>
    </row>
    <row r="199" spans="2:56" x14ac:dyDescent="0.3">
      <c r="B199" t="s">
        <v>484</v>
      </c>
      <c r="D199" s="153">
        <f>BD!D324</f>
        <v>0</v>
      </c>
      <c r="E199" s="153">
        <f>BD!E324</f>
        <v>0</v>
      </c>
      <c r="F199" s="153">
        <f>BD!F324</f>
        <v>0</v>
      </c>
      <c r="G199" s="153">
        <f>BD!G324</f>
        <v>47</v>
      </c>
      <c r="H199" s="153">
        <f>BD!H324</f>
        <v>26.4</v>
      </c>
      <c r="I199" s="153">
        <f>BD!I324</f>
        <v>41.5</v>
      </c>
      <c r="J199" s="153">
        <f>BD!J324</f>
        <v>44.2</v>
      </c>
      <c r="K199" s="153">
        <f>BD!K324</f>
        <v>37.299999999999997</v>
      </c>
      <c r="L199" s="153">
        <f>BD!L324</f>
        <v>71.316999999999993</v>
      </c>
      <c r="M199" s="153">
        <f>BD!M324</f>
        <v>69.603999999999999</v>
      </c>
      <c r="N199" s="153">
        <f>BD!N324</f>
        <v>36.407999999999994</v>
      </c>
    </row>
    <row r="200" spans="2:56" x14ac:dyDescent="0.3">
      <c r="B200" t="s">
        <v>448</v>
      </c>
      <c r="D200" s="153">
        <f>BD!D325</f>
        <v>0</v>
      </c>
      <c r="E200" s="153">
        <f>BD!E325</f>
        <v>0</v>
      </c>
      <c r="F200" s="153">
        <f>BD!F325</f>
        <v>0</v>
      </c>
      <c r="G200" s="153">
        <f>BD!G325</f>
        <v>65.5</v>
      </c>
      <c r="H200" s="153">
        <f>BD!H325</f>
        <v>36.1</v>
      </c>
      <c r="I200" s="153">
        <f>BD!I325</f>
        <v>17.8</v>
      </c>
      <c r="J200" s="153">
        <f>BD!J325</f>
        <v>11.1</v>
      </c>
      <c r="K200" s="153">
        <f>BD!K325</f>
        <v>4.9000000000000004</v>
      </c>
      <c r="L200" s="153">
        <f>BD!L325</f>
        <v>2.4</v>
      </c>
      <c r="M200" s="153">
        <f>BD!M325</f>
        <v>1.619</v>
      </c>
      <c r="N200" s="153">
        <f>BD!N325</f>
        <v>4.0720000000000001</v>
      </c>
    </row>
    <row r="201" spans="2:56" ht="15.75" customHeight="1" x14ac:dyDescent="0.3"/>
  </sheetData>
  <mergeCells count="3">
    <mergeCell ref="B40:B41"/>
    <mergeCell ref="B48:B49"/>
    <mergeCell ref="B59:B60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80"/>
  <sheetViews>
    <sheetView zoomScale="120" zoomScaleNormal="120" workbookViewId="0">
      <pane xSplit="3" ySplit="1" topLeftCell="AS69" activePane="bottomRight" state="frozen"/>
      <selection pane="topRight" activeCell="D1" sqref="D1"/>
      <selection pane="bottomLeft" activeCell="A2" sqref="A2"/>
      <selection pane="bottomRight" activeCell="AW83" sqref="AW83"/>
    </sheetView>
  </sheetViews>
  <sheetFormatPr defaultColWidth="0" defaultRowHeight="14.4" x14ac:dyDescent="0.3"/>
  <cols>
    <col min="1" max="1" width="9.109375" customWidth="1"/>
    <col min="2" max="2" width="41.33203125" bestFit="1" customWidth="1"/>
    <col min="3" max="3" width="9.109375" hidden="1" customWidth="1"/>
    <col min="4" max="56" width="9.109375" customWidth="1"/>
    <col min="57" max="16384" width="9.109375" hidden="1"/>
  </cols>
  <sheetData>
    <row r="1" spans="1:56" s="16" customFormat="1" ht="14.25" customHeight="1" x14ac:dyDescent="0.3">
      <c r="A1" s="177">
        <f>Capa!H4</f>
        <v>30.483813870715789</v>
      </c>
      <c r="B1" s="177"/>
      <c r="D1" s="16">
        <v>2008</v>
      </c>
      <c r="E1" s="16">
        <v>2009</v>
      </c>
      <c r="F1" s="16">
        <v>2010</v>
      </c>
      <c r="G1" s="16">
        <v>2011</v>
      </c>
      <c r="H1" s="16">
        <v>2012</v>
      </c>
      <c r="I1" s="16">
        <v>2013</v>
      </c>
      <c r="J1" s="16">
        <v>2014</v>
      </c>
      <c r="K1" s="16">
        <v>2015</v>
      </c>
      <c r="L1" s="16">
        <v>2016</v>
      </c>
      <c r="M1" s="16">
        <v>2017</v>
      </c>
      <c r="N1" s="16">
        <v>2018</v>
      </c>
      <c r="O1" s="16">
        <v>2019</v>
      </c>
      <c r="P1" s="16">
        <v>2020</v>
      </c>
      <c r="Q1" s="16">
        <v>2021</v>
      </c>
      <c r="R1" s="16">
        <v>2022</v>
      </c>
      <c r="S1" s="16">
        <v>2023</v>
      </c>
      <c r="T1" s="16">
        <v>2024</v>
      </c>
      <c r="U1" s="16">
        <v>2025</v>
      </c>
      <c r="V1" s="16">
        <v>2026</v>
      </c>
      <c r="W1" s="16">
        <v>2027</v>
      </c>
      <c r="X1" s="16">
        <v>2028</v>
      </c>
      <c r="Y1" s="16">
        <v>2029</v>
      </c>
      <c r="Z1" s="16">
        <v>2030</v>
      </c>
      <c r="AA1" s="16">
        <v>2031</v>
      </c>
      <c r="AB1" s="16">
        <v>2032</v>
      </c>
      <c r="AC1" s="16">
        <v>2033</v>
      </c>
      <c r="AD1" s="16">
        <v>2034</v>
      </c>
      <c r="AE1" s="16">
        <v>2035</v>
      </c>
      <c r="AF1" s="16">
        <v>2036</v>
      </c>
      <c r="AG1" s="16">
        <v>2037</v>
      </c>
      <c r="AH1" s="16">
        <v>2038</v>
      </c>
      <c r="AI1" s="16">
        <v>2039</v>
      </c>
      <c r="AJ1" s="16">
        <v>2040</v>
      </c>
      <c r="AK1" s="16">
        <v>2041</v>
      </c>
      <c r="AL1" s="16">
        <v>2042</v>
      </c>
      <c r="AM1" s="16">
        <v>2043</v>
      </c>
      <c r="AN1" s="16">
        <v>2044</v>
      </c>
      <c r="AO1" s="16">
        <v>2045</v>
      </c>
      <c r="AP1" s="16">
        <v>2046</v>
      </c>
      <c r="AQ1" s="16">
        <v>2047</v>
      </c>
      <c r="AR1" s="16">
        <v>2048</v>
      </c>
      <c r="AS1" s="16">
        <v>2049</v>
      </c>
      <c r="AT1" s="16">
        <v>2050</v>
      </c>
      <c r="AU1" s="16">
        <v>2051</v>
      </c>
      <c r="AV1" s="16">
        <v>2052</v>
      </c>
      <c r="AW1" s="16">
        <v>2053</v>
      </c>
      <c r="AX1" s="16">
        <v>2054</v>
      </c>
      <c r="AY1" s="16">
        <v>2055</v>
      </c>
      <c r="AZ1" s="16">
        <v>2056</v>
      </c>
      <c r="BA1" s="16">
        <v>2057</v>
      </c>
      <c r="BB1" s="16">
        <v>2058</v>
      </c>
      <c r="BC1" s="16">
        <v>2059</v>
      </c>
      <c r="BD1" s="16">
        <v>2060</v>
      </c>
    </row>
    <row r="3" spans="1:56" s="87" customFormat="1" x14ac:dyDescent="0.3">
      <c r="B3" s="86" t="s">
        <v>146</v>
      </c>
      <c r="C3" s="86" t="s">
        <v>147</v>
      </c>
      <c r="G3" s="646">
        <f t="shared" ref="G3:L3" si="0">G5-G25-G47</f>
        <v>0</v>
      </c>
      <c r="H3" s="646">
        <f t="shared" si="0"/>
        <v>8.5999999999785359E-2</v>
      </c>
      <c r="I3" s="646">
        <f t="shared" si="0"/>
        <v>0</v>
      </c>
      <c r="J3" s="646">
        <f t="shared" si="0"/>
        <v>-2.9000000000223736E-2</v>
      </c>
      <c r="K3" s="646">
        <f t="shared" si="0"/>
        <v>0</v>
      </c>
      <c r="L3" s="646">
        <f t="shared" si="0"/>
        <v>0</v>
      </c>
      <c r="M3" s="646">
        <f>M5-M25-M47</f>
        <v>0</v>
      </c>
      <c r="N3" s="646">
        <f t="shared" ref="N3:BD3" si="1">N5-N25-N47</f>
        <v>0</v>
      </c>
      <c r="O3" s="646">
        <f t="shared" si="1"/>
        <v>0</v>
      </c>
      <c r="P3" s="646">
        <f t="shared" si="1"/>
        <v>0</v>
      </c>
      <c r="Q3" s="646">
        <f t="shared" si="1"/>
        <v>0</v>
      </c>
      <c r="R3" s="646">
        <f t="shared" si="1"/>
        <v>0</v>
      </c>
      <c r="S3" s="646">
        <f t="shared" si="1"/>
        <v>0</v>
      </c>
      <c r="T3" s="646">
        <f t="shared" si="1"/>
        <v>0</v>
      </c>
      <c r="U3" s="646">
        <f t="shared" si="1"/>
        <v>0</v>
      </c>
      <c r="V3" s="646">
        <f t="shared" si="1"/>
        <v>0</v>
      </c>
      <c r="W3" s="646">
        <f t="shared" si="1"/>
        <v>0</v>
      </c>
      <c r="X3" s="646">
        <f t="shared" si="1"/>
        <v>0</v>
      </c>
      <c r="Y3" s="646">
        <f t="shared" si="1"/>
        <v>0</v>
      </c>
      <c r="Z3" s="646">
        <f t="shared" si="1"/>
        <v>0</v>
      </c>
      <c r="AA3" s="646">
        <f t="shared" si="1"/>
        <v>0</v>
      </c>
      <c r="AB3" s="646">
        <f t="shared" si="1"/>
        <v>0</v>
      </c>
      <c r="AC3" s="646">
        <f t="shared" si="1"/>
        <v>0</v>
      </c>
      <c r="AD3" s="646">
        <f t="shared" si="1"/>
        <v>0</v>
      </c>
      <c r="AE3" s="646">
        <f t="shared" si="1"/>
        <v>0</v>
      </c>
      <c r="AF3" s="646">
        <f t="shared" si="1"/>
        <v>0</v>
      </c>
      <c r="AG3" s="646">
        <f t="shared" si="1"/>
        <v>0</v>
      </c>
      <c r="AH3" s="646">
        <f t="shared" si="1"/>
        <v>0</v>
      </c>
      <c r="AI3" s="646">
        <f t="shared" si="1"/>
        <v>0</v>
      </c>
      <c r="AJ3" s="646">
        <f t="shared" si="1"/>
        <v>0</v>
      </c>
      <c r="AK3" s="646">
        <f t="shared" si="1"/>
        <v>0</v>
      </c>
      <c r="AL3" s="646">
        <f t="shared" si="1"/>
        <v>0</v>
      </c>
      <c r="AM3" s="646">
        <f t="shared" si="1"/>
        <v>0</v>
      </c>
      <c r="AN3" s="646">
        <f t="shared" si="1"/>
        <v>0</v>
      </c>
      <c r="AO3" s="646">
        <f t="shared" si="1"/>
        <v>0</v>
      </c>
      <c r="AP3" s="646">
        <f t="shared" si="1"/>
        <v>0</v>
      </c>
      <c r="AQ3" s="646">
        <f t="shared" si="1"/>
        <v>0</v>
      </c>
      <c r="AR3" s="646">
        <f t="shared" si="1"/>
        <v>0</v>
      </c>
      <c r="AS3" s="646">
        <f t="shared" si="1"/>
        <v>0</v>
      </c>
      <c r="AT3" s="646">
        <f t="shared" si="1"/>
        <v>0</v>
      </c>
      <c r="AU3" s="646">
        <f t="shared" si="1"/>
        <v>0</v>
      </c>
      <c r="AV3" s="646">
        <f t="shared" si="1"/>
        <v>0</v>
      </c>
      <c r="AW3" s="646">
        <f t="shared" si="1"/>
        <v>0</v>
      </c>
      <c r="AX3" s="646">
        <f t="shared" si="1"/>
        <v>0</v>
      </c>
      <c r="AY3" s="646">
        <f t="shared" si="1"/>
        <v>0</v>
      </c>
      <c r="AZ3" s="646">
        <f t="shared" si="1"/>
        <v>0</v>
      </c>
      <c r="BA3" s="646">
        <f t="shared" si="1"/>
        <v>0</v>
      </c>
      <c r="BB3" s="646">
        <f t="shared" si="1"/>
        <v>0</v>
      </c>
      <c r="BC3" s="646">
        <f t="shared" si="1"/>
        <v>0</v>
      </c>
      <c r="BD3" s="646">
        <f t="shared" si="1"/>
        <v>0</v>
      </c>
    </row>
    <row r="4" spans="1:56" x14ac:dyDescent="0.3">
      <c r="D4" s="47" t="e">
        <f>BD!#REF!/1000-Modelo!D5</f>
        <v>#REF!</v>
      </c>
      <c r="E4" s="47" t="e">
        <f>BD!#REF!/1000-Modelo!E5</f>
        <v>#REF!</v>
      </c>
      <c r="F4" s="47" t="e">
        <f>BD!#REF!/1000-Modelo!F5</f>
        <v>#REF!</v>
      </c>
      <c r="G4" s="47" t="e">
        <f>BD!#REF!/1000-Modelo!G5</f>
        <v>#REF!</v>
      </c>
      <c r="H4" s="47" t="e">
        <f>BD!#REF!/1000-Modelo!H5</f>
        <v>#REF!</v>
      </c>
      <c r="I4" s="47" t="e">
        <f>BD!#REF!/1000-Modelo!I5</f>
        <v>#REF!</v>
      </c>
      <c r="J4" s="47" t="e">
        <f>BD!#REF!/1000-Modelo!J5</f>
        <v>#REF!</v>
      </c>
      <c r="K4" s="47" t="e">
        <f>BD!#REF!/1000-Modelo!K5</f>
        <v>#REF!</v>
      </c>
      <c r="L4" s="47" t="e">
        <f>BD!#REF!/1000-Modelo!L5</f>
        <v>#REF!</v>
      </c>
      <c r="M4" s="47">
        <f>BD!M85-M5</f>
        <v>0</v>
      </c>
    </row>
    <row r="5" spans="1:56" s="31" customFormat="1" x14ac:dyDescent="0.3">
      <c r="B5" s="246" t="s">
        <v>108</v>
      </c>
      <c r="C5" s="247" t="s">
        <v>109</v>
      </c>
      <c r="D5" s="248">
        <f>D7+D15+D20</f>
        <v>0</v>
      </c>
      <c r="E5" s="248">
        <f t="shared" ref="E5:BD5" si="2">E7+E15+E20</f>
        <v>0</v>
      </c>
      <c r="F5" s="248">
        <f t="shared" si="2"/>
        <v>0</v>
      </c>
      <c r="G5" s="248">
        <f t="shared" si="2"/>
        <v>2679.4</v>
      </c>
      <c r="H5" s="248">
        <f t="shared" si="2"/>
        <v>2468</v>
      </c>
      <c r="I5" s="248">
        <f t="shared" si="2"/>
        <v>2443</v>
      </c>
      <c r="J5" s="248">
        <f t="shared" si="2"/>
        <v>2468.5709999999999</v>
      </c>
      <c r="K5" s="248">
        <f t="shared" si="2"/>
        <v>2598.3360000000002</v>
      </c>
      <c r="L5" s="248">
        <f t="shared" si="2"/>
        <v>2629.6729999999998</v>
      </c>
      <c r="M5" s="248">
        <f t="shared" si="2"/>
        <v>2721.4179999999997</v>
      </c>
      <c r="N5" s="248">
        <f t="shared" ref="N5" si="3">N7+N15+N20</f>
        <v>2940.0959999999995</v>
      </c>
      <c r="O5" s="248">
        <f t="shared" si="2"/>
        <v>3010.6914641232293</v>
      </c>
      <c r="P5" s="248">
        <f t="shared" si="2"/>
        <v>3131.7185379663656</v>
      </c>
      <c r="Q5" s="248">
        <f t="shared" si="2"/>
        <v>3269.9417523374</v>
      </c>
      <c r="R5" s="248">
        <f t="shared" si="2"/>
        <v>3424.2854560690307</v>
      </c>
      <c r="S5" s="248">
        <f t="shared" si="2"/>
        <v>3608.9327005294022</v>
      </c>
      <c r="T5" s="248">
        <f t="shared" si="2"/>
        <v>3789.6593088853115</v>
      </c>
      <c r="U5" s="248">
        <f t="shared" si="2"/>
        <v>3904.7210115665312</v>
      </c>
      <c r="V5" s="248">
        <f t="shared" si="2"/>
        <v>4030.7197979286848</v>
      </c>
      <c r="W5" s="248">
        <f t="shared" si="2"/>
        <v>4166.2864544330441</v>
      </c>
      <c r="X5" s="248">
        <f t="shared" si="2"/>
        <v>4312.6872040881271</v>
      </c>
      <c r="Y5" s="248">
        <f t="shared" si="2"/>
        <v>4471.4751119232533</v>
      </c>
      <c r="Z5" s="248">
        <f t="shared" si="2"/>
        <v>4642.6063808255403</v>
      </c>
      <c r="AA5" s="248">
        <f t="shared" si="2"/>
        <v>4820.1107854929187</v>
      </c>
      <c r="AB5" s="248">
        <f t="shared" si="2"/>
        <v>5009.3323740591613</v>
      </c>
      <c r="AC5" s="248">
        <f t="shared" si="2"/>
        <v>5210.9292155221137</v>
      </c>
      <c r="AD5" s="248">
        <f t="shared" si="2"/>
        <v>5425.7430331057885</v>
      </c>
      <c r="AE5" s="248">
        <f t="shared" si="2"/>
        <v>5654.6180062768472</v>
      </c>
      <c r="AF5" s="248">
        <f t="shared" si="2"/>
        <v>5898.4064387086091</v>
      </c>
      <c r="AG5" s="248">
        <f t="shared" si="2"/>
        <v>6158.0861470652171</v>
      </c>
      <c r="AH5" s="248">
        <f t="shared" si="2"/>
        <v>6434.6774598492575</v>
      </c>
      <c r="AI5" s="248">
        <f t="shared" si="2"/>
        <v>6729.2663485396361</v>
      </c>
      <c r="AJ5" s="248">
        <f t="shared" si="2"/>
        <v>7043.0289107712342</v>
      </c>
      <c r="AK5" s="248">
        <f t="shared" si="2"/>
        <v>7377.2159470459246</v>
      </c>
      <c r="AL5" s="248">
        <f t="shared" si="2"/>
        <v>7733.1658380845056</v>
      </c>
      <c r="AM5" s="248">
        <f t="shared" si="2"/>
        <v>8112.3133485199796</v>
      </c>
      <c r="AN5" s="248">
        <f t="shared" si="2"/>
        <v>8516.1916049932406</v>
      </c>
      <c r="AO5" s="248">
        <f t="shared" si="2"/>
        <v>8946.4413775851208</v>
      </c>
      <c r="AP5" s="248">
        <f t="shared" si="2"/>
        <v>9404.8188358901716</v>
      </c>
      <c r="AQ5" s="248">
        <f t="shared" si="2"/>
        <v>9893.2027644231803</v>
      </c>
      <c r="AR5" s="248">
        <f t="shared" si="2"/>
        <v>10413.603938838045</v>
      </c>
      <c r="AS5" s="248">
        <f t="shared" si="2"/>
        <v>10968.174480293997</v>
      </c>
      <c r="AT5" s="248">
        <f t="shared" si="2"/>
        <v>11557.635063001841</v>
      </c>
      <c r="AU5" s="248">
        <f t="shared" si="2"/>
        <v>12149.09700660996</v>
      </c>
      <c r="AV5" s="248">
        <f t="shared" si="2"/>
        <v>12769.890640721616</v>
      </c>
      <c r="AW5" s="248">
        <f t="shared" si="2"/>
        <v>13420.338411738338</v>
      </c>
      <c r="AX5" s="248">
        <f t="shared" si="2"/>
        <v>14101.935124237787</v>
      </c>
      <c r="AY5" s="248">
        <f t="shared" si="2"/>
        <v>14816.252125729179</v>
      </c>
      <c r="AZ5" s="248">
        <f t="shared" si="2"/>
        <v>15564.920580709244</v>
      </c>
      <c r="BA5" s="248">
        <f t="shared" si="2"/>
        <v>16349.635140825687</v>
      </c>
      <c r="BB5" s="248">
        <f t="shared" si="2"/>
        <v>17172.158021286115</v>
      </c>
      <c r="BC5" s="248">
        <f t="shared" si="2"/>
        <v>18034.323139240194</v>
      </c>
      <c r="BD5" s="249">
        <f t="shared" si="2"/>
        <v>18938.040321191846</v>
      </c>
    </row>
    <row r="6" spans="1:56" s="31" customFormat="1" x14ac:dyDescent="0.3">
      <c r="B6" s="250"/>
      <c r="C6" s="3"/>
      <c r="D6" s="251">
        <f>BD!D56-D7</f>
        <v>0</v>
      </c>
      <c r="E6" s="251">
        <f>BD!E56-E7</f>
        <v>0</v>
      </c>
      <c r="F6" s="251">
        <f>BD!F56-F7</f>
        <v>0</v>
      </c>
      <c r="G6" s="251">
        <f>BD!G56-G7</f>
        <v>0</v>
      </c>
      <c r="H6" s="251">
        <f>BD!H56-H7</f>
        <v>0</v>
      </c>
      <c r="I6" s="251">
        <f>BD!I56-I7</f>
        <v>0</v>
      </c>
      <c r="J6" s="251">
        <f>BD!J56-J7</f>
        <v>0</v>
      </c>
      <c r="K6" s="251">
        <f>BD!K56-K7</f>
        <v>0</v>
      </c>
      <c r="L6" s="251">
        <f>BD!L56-L7</f>
        <v>0</v>
      </c>
      <c r="M6" s="251">
        <f>BD!M56-M7</f>
        <v>0</v>
      </c>
      <c r="N6" s="251">
        <f>BD!N56-N7</f>
        <v>0</v>
      </c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252"/>
      <c r="BA6" s="252"/>
      <c r="BB6" s="252"/>
      <c r="BC6" s="252"/>
      <c r="BD6" s="253"/>
    </row>
    <row r="7" spans="1:56" s="31" customFormat="1" ht="15.75" customHeight="1" x14ac:dyDescent="0.3">
      <c r="B7" s="254" t="s">
        <v>110</v>
      </c>
      <c r="C7" s="82" t="s">
        <v>111</v>
      </c>
      <c r="D7" s="141">
        <f t="shared" ref="D7:L7" si="4">SUM(D8:D13)</f>
        <v>0</v>
      </c>
      <c r="E7" s="141">
        <f t="shared" si="4"/>
        <v>0</v>
      </c>
      <c r="F7" s="141">
        <f t="shared" si="4"/>
        <v>0</v>
      </c>
      <c r="G7" s="141">
        <f t="shared" si="4"/>
        <v>1421.8000000000002</v>
      </c>
      <c r="H7" s="141">
        <f t="shared" si="4"/>
        <v>1265.8</v>
      </c>
      <c r="I7" s="141">
        <f t="shared" si="4"/>
        <v>1266.2</v>
      </c>
      <c r="J7" s="141">
        <f t="shared" si="4"/>
        <v>1360.2550000000001</v>
      </c>
      <c r="K7" s="141">
        <f t="shared" si="4"/>
        <v>1453.2260000000001</v>
      </c>
      <c r="L7" s="141">
        <f t="shared" si="4"/>
        <v>1360.4940000000001</v>
      </c>
      <c r="M7" s="141">
        <f>SUM(M8:M13)</f>
        <v>1344.5550000000001</v>
      </c>
      <c r="N7" s="141">
        <f>SUM(N8:N13)</f>
        <v>1450.8909999999998</v>
      </c>
      <c r="O7" s="141">
        <f t="shared" ref="O7:BD7" si="5">SUM(O8:O13)</f>
        <v>1520.5934531477369</v>
      </c>
      <c r="P7" s="141">
        <f t="shared" si="5"/>
        <v>1637.406634949072</v>
      </c>
      <c r="Q7" s="141">
        <f t="shared" si="5"/>
        <v>1767.7093162843084</v>
      </c>
      <c r="R7" s="141">
        <f t="shared" si="5"/>
        <v>1910.556282285211</v>
      </c>
      <c r="S7" s="141">
        <f t="shared" si="5"/>
        <v>2080.2837443510698</v>
      </c>
      <c r="T7" s="141">
        <f t="shared" si="5"/>
        <v>2242.6991458086409</v>
      </c>
      <c r="U7" s="141">
        <f t="shared" si="5"/>
        <v>2336.1021126098717</v>
      </c>
      <c r="V7" s="141">
        <f t="shared" si="5"/>
        <v>2437.1141197144375</v>
      </c>
      <c r="W7" s="141">
        <f t="shared" si="5"/>
        <v>2544.3402546005982</v>
      </c>
      <c r="X7" s="141">
        <f t="shared" si="5"/>
        <v>2659.0067257541773</v>
      </c>
      <c r="Y7" s="141">
        <f t="shared" si="5"/>
        <v>2782.6002627142066</v>
      </c>
      <c r="Z7" s="141">
        <f t="shared" si="5"/>
        <v>2914.9828346442123</v>
      </c>
      <c r="AA7" s="141">
        <f t="shared" si="5"/>
        <v>3051.2171549087761</v>
      </c>
      <c r="AB7" s="141">
        <f t="shared" si="5"/>
        <v>3196.597202999214</v>
      </c>
      <c r="AC7" s="141">
        <f t="shared" si="5"/>
        <v>3351.6413616184295</v>
      </c>
      <c r="AD7" s="141">
        <f t="shared" si="5"/>
        <v>3517.0399571832136</v>
      </c>
      <c r="AE7" s="141">
        <f t="shared" si="5"/>
        <v>3693.4725727317641</v>
      </c>
      <c r="AF7" s="141">
        <f t="shared" si="5"/>
        <v>3881.6132745406389</v>
      </c>
      <c r="AG7" s="141">
        <f t="shared" si="5"/>
        <v>4082.247467399362</v>
      </c>
      <c r="AH7" s="141">
        <f t="shared" si="5"/>
        <v>4296.1878729452264</v>
      </c>
      <c r="AI7" s="141">
        <f t="shared" si="5"/>
        <v>4524.2968454584188</v>
      </c>
      <c r="AJ7" s="141">
        <f t="shared" si="5"/>
        <v>4767.5098986407565</v>
      </c>
      <c r="AK7" s="141">
        <f t="shared" si="5"/>
        <v>5026.8191641596732</v>
      </c>
      <c r="AL7" s="141">
        <f t="shared" si="5"/>
        <v>5303.2851227238334</v>
      </c>
      <c r="AM7" s="141">
        <f t="shared" si="5"/>
        <v>5598.0441370253193</v>
      </c>
      <c r="AN7" s="141">
        <f t="shared" si="5"/>
        <v>5912.3090413507798</v>
      </c>
      <c r="AO7" s="141">
        <f t="shared" si="5"/>
        <v>6247.3769350636148</v>
      </c>
      <c r="AP7" s="141">
        <f t="shared" si="5"/>
        <v>6604.6353218500399</v>
      </c>
      <c r="AQ7" s="141">
        <f t="shared" si="5"/>
        <v>6985.5675778460891</v>
      </c>
      <c r="AR7" s="141">
        <f t="shared" si="5"/>
        <v>7391.7604452123724</v>
      </c>
      <c r="AS7" s="141">
        <f t="shared" si="5"/>
        <v>7824.9113540302951</v>
      </c>
      <c r="AT7" s="141">
        <f t="shared" si="5"/>
        <v>8285.5160796025139</v>
      </c>
      <c r="AU7" s="141">
        <f t="shared" si="5"/>
        <v>8746.2153669080453</v>
      </c>
      <c r="AV7" s="141">
        <f t="shared" si="5"/>
        <v>9233.8533276514499</v>
      </c>
      <c r="AW7" s="141">
        <f t="shared" si="5"/>
        <v>9748.2890477235542</v>
      </c>
      <c r="AX7" s="141">
        <f t="shared" si="5"/>
        <v>10290.572953433682</v>
      </c>
      <c r="AY7" s="141">
        <f t="shared" si="5"/>
        <v>10861.847486477265</v>
      </c>
      <c r="AZ7" s="141">
        <f t="shared" si="5"/>
        <v>11463.3271907861</v>
      </c>
      <c r="BA7" s="141">
        <f t="shared" si="5"/>
        <v>12096.29947970666</v>
      </c>
      <c r="BB7" s="141">
        <f t="shared" si="5"/>
        <v>12762.126059374517</v>
      </c>
      <c r="BC7" s="141">
        <f t="shared" si="5"/>
        <v>13462.244633440096</v>
      </c>
      <c r="BD7" s="142">
        <f t="shared" si="5"/>
        <v>14198.170868810852</v>
      </c>
    </row>
    <row r="8" spans="1:56" x14ac:dyDescent="0.3">
      <c r="B8" s="111" t="s">
        <v>33</v>
      </c>
      <c r="C8" s="19" t="s">
        <v>34</v>
      </c>
      <c r="D8" s="112">
        <f>BD!D57+BD!D58+BD!D59</f>
        <v>0</v>
      </c>
      <c r="E8" s="112">
        <f>BD!E57+BD!E58+BD!E59</f>
        <v>0</v>
      </c>
      <c r="F8" s="112">
        <f>BD!F57+BD!F58+BD!F59</f>
        <v>0</v>
      </c>
      <c r="G8" s="112">
        <f>BD!G57+BD!G58+BD!G59</f>
        <v>146.6</v>
      </c>
      <c r="H8" s="112">
        <f>BD!H57+BD!H58+BD!H59</f>
        <v>110.89999999999999</v>
      </c>
      <c r="I8" s="112">
        <f>BD!I57+BD!I58+BD!I59</f>
        <v>82.8</v>
      </c>
      <c r="J8" s="112">
        <f>BD!J57+BD!J58+BD!J59</f>
        <v>130.93</v>
      </c>
      <c r="K8" s="112">
        <f>BD!K57+BD!K58+BD!K59</f>
        <v>171.80700000000002</v>
      </c>
      <c r="L8" s="112">
        <f>BD!L57+BD!L58+BD!L59</f>
        <v>178.56800000000001</v>
      </c>
      <c r="M8" s="112">
        <f>BD!M57+BD!M58+BD!M59</f>
        <v>190.60500000000002</v>
      </c>
      <c r="N8" s="112">
        <f>BD!N57+BD!N58+BD!N59</f>
        <v>218.50200000000001</v>
      </c>
      <c r="O8" s="121">
        <f t="shared" ref="O8:BD8" si="6">N8+O131</f>
        <v>271.09758111268275</v>
      </c>
      <c r="P8" s="121">
        <f t="shared" si="6"/>
        <v>317.61090039474306</v>
      </c>
      <c r="Q8" s="121">
        <f t="shared" si="6"/>
        <v>371.80936104670843</v>
      </c>
      <c r="R8" s="121">
        <f t="shared" si="6"/>
        <v>455.22529866635085</v>
      </c>
      <c r="S8" s="121">
        <f t="shared" si="6"/>
        <v>544.51318788441154</v>
      </c>
      <c r="T8" s="121">
        <f t="shared" si="6"/>
        <v>625.16363175221295</v>
      </c>
      <c r="U8" s="121">
        <f t="shared" si="6"/>
        <v>634.91844900694559</v>
      </c>
      <c r="V8" s="121">
        <f t="shared" si="6"/>
        <v>642.70824708771192</v>
      </c>
      <c r="W8" s="121">
        <f t="shared" si="6"/>
        <v>651.94386927611743</v>
      </c>
      <c r="X8" s="121">
        <f t="shared" si="6"/>
        <v>662.45074420175627</v>
      </c>
      <c r="Y8" s="121">
        <f t="shared" si="6"/>
        <v>673.96437525209353</v>
      </c>
      <c r="Z8" s="121">
        <f t="shared" si="6"/>
        <v>687.08839106541438</v>
      </c>
      <c r="AA8" s="121">
        <f t="shared" si="6"/>
        <v>714.38080982795907</v>
      </c>
      <c r="AB8" s="121">
        <f t="shared" si="6"/>
        <v>745.38890036607199</v>
      </c>
      <c r="AC8" s="121">
        <f t="shared" si="6"/>
        <v>779.38850825851023</v>
      </c>
      <c r="AD8" s="121">
        <f t="shared" si="6"/>
        <v>816.49562658977823</v>
      </c>
      <c r="AE8" s="121">
        <f t="shared" si="6"/>
        <v>856.90211532245144</v>
      </c>
      <c r="AF8" s="121">
        <f t="shared" si="6"/>
        <v>900.82874350146881</v>
      </c>
      <c r="AG8" s="121">
        <f t="shared" si="6"/>
        <v>948.48103929506078</v>
      </c>
      <c r="AH8" s="121">
        <f t="shared" si="6"/>
        <v>1000.0922988559241</v>
      </c>
      <c r="AI8" s="121">
        <f t="shared" si="6"/>
        <v>1055.9107693738611</v>
      </c>
      <c r="AJ8" s="121">
        <f t="shared" si="6"/>
        <v>1116.1949777695386</v>
      </c>
      <c r="AK8" s="121">
        <f t="shared" si="6"/>
        <v>1181.2236349306036</v>
      </c>
      <c r="AL8" s="121">
        <f t="shared" si="6"/>
        <v>1251.2924201334699</v>
      </c>
      <c r="AM8" s="121">
        <f t="shared" si="6"/>
        <v>1326.7148955361363</v>
      </c>
      <c r="AN8" s="121">
        <f t="shared" si="6"/>
        <v>1407.8254186395766</v>
      </c>
      <c r="AO8" s="121">
        <f t="shared" si="6"/>
        <v>1494.9793017661709</v>
      </c>
      <c r="AP8" s="121">
        <f t="shared" si="6"/>
        <v>1588.5543691222263</v>
      </c>
      <c r="AQ8" s="121">
        <f t="shared" si="6"/>
        <v>1688.9527164101728</v>
      </c>
      <c r="AR8" s="121">
        <f t="shared" si="6"/>
        <v>1796.6020185339685</v>
      </c>
      <c r="AS8" s="121">
        <f t="shared" si="6"/>
        <v>1911.957300486825</v>
      </c>
      <c r="AT8" s="121">
        <f t="shared" si="6"/>
        <v>2038.403616744997</v>
      </c>
      <c r="AU8" s="121">
        <f t="shared" si="6"/>
        <v>2240.6629690469936</v>
      </c>
      <c r="AV8" s="121">
        <f t="shared" si="6"/>
        <v>2458.6759848304609</v>
      </c>
      <c r="AW8" s="121">
        <f t="shared" si="6"/>
        <v>2691.809558727999</v>
      </c>
      <c r="AX8" s="121">
        <f t="shared" si="6"/>
        <v>2940.600036027638</v>
      </c>
      <c r="AY8" s="121">
        <f t="shared" si="6"/>
        <v>3205.6529318022322</v>
      </c>
      <c r="AZ8" s="121">
        <f t="shared" si="6"/>
        <v>3487.6219985176754</v>
      </c>
      <c r="BA8" s="121">
        <f t="shared" si="6"/>
        <v>3787.2089173670925</v>
      </c>
      <c r="BB8" s="121">
        <f t="shared" si="6"/>
        <v>4105.163612599612</v>
      </c>
      <c r="BC8" s="121">
        <f t="shared" si="6"/>
        <v>4442.2847909906095</v>
      </c>
      <c r="BD8" s="121">
        <f t="shared" si="6"/>
        <v>4799.4206891504709</v>
      </c>
    </row>
    <row r="9" spans="1:56" x14ac:dyDescent="0.3">
      <c r="B9" s="111" t="s">
        <v>35</v>
      </c>
      <c r="C9" s="19" t="s">
        <v>36</v>
      </c>
      <c r="D9" s="112">
        <f>BD!D60</f>
        <v>0</v>
      </c>
      <c r="E9" s="112">
        <f>BD!E60</f>
        <v>0</v>
      </c>
      <c r="F9" s="112">
        <f>BD!F60</f>
        <v>0</v>
      </c>
      <c r="G9" s="112">
        <f>BD!G60</f>
        <v>448.3</v>
      </c>
      <c r="H9" s="112">
        <f>BD!H60</f>
        <v>451.7</v>
      </c>
      <c r="I9" s="112">
        <f>BD!I60</f>
        <v>513.29999999999995</v>
      </c>
      <c r="J9" s="112">
        <f>BD!J60</f>
        <v>522.48900000000003</v>
      </c>
      <c r="K9" s="112">
        <f>BD!K60</f>
        <v>508.82600000000002</v>
      </c>
      <c r="L9" s="112">
        <f>BD!L60</f>
        <v>493.20800000000003</v>
      </c>
      <c r="M9" s="112">
        <f>BD!M60</f>
        <v>497.64699999999999</v>
      </c>
      <c r="N9" s="112">
        <f>BD!N60</f>
        <v>551.14</v>
      </c>
      <c r="O9" s="121">
        <f t="shared" ref="O9:BD9" si="7">O60*ReceitaLíquida</f>
        <v>547.63625529574915</v>
      </c>
      <c r="P9" s="121">
        <f t="shared" si="7"/>
        <v>585.90278916899922</v>
      </c>
      <c r="Q9" s="121">
        <f t="shared" si="7"/>
        <v>624.09949750261853</v>
      </c>
      <c r="R9" s="121">
        <f t="shared" si="7"/>
        <v>650.29731551851239</v>
      </c>
      <c r="S9" s="121">
        <f t="shared" si="7"/>
        <v>690.48193088655523</v>
      </c>
      <c r="T9" s="121">
        <f t="shared" si="7"/>
        <v>730.07715967332854</v>
      </c>
      <c r="U9" s="121">
        <f t="shared" si="7"/>
        <v>770.0270690260038</v>
      </c>
      <c r="V9" s="121">
        <f t="shared" si="7"/>
        <v>815.45740590237722</v>
      </c>
      <c r="W9" s="121">
        <f t="shared" si="7"/>
        <v>862.80246110148869</v>
      </c>
      <c r="X9" s="121">
        <f t="shared" si="7"/>
        <v>913.09059837271593</v>
      </c>
      <c r="Y9" s="121">
        <f t="shared" si="7"/>
        <v>967.38454414296859</v>
      </c>
      <c r="Z9" s="121">
        <f t="shared" si="7"/>
        <v>1025.0423994064067</v>
      </c>
      <c r="AA9" s="121">
        <f t="shared" si="7"/>
        <v>1077.7214218229835</v>
      </c>
      <c r="AB9" s="121">
        <f t="shared" si="7"/>
        <v>1133.0592707520734</v>
      </c>
      <c r="AC9" s="121">
        <f t="shared" si="7"/>
        <v>1191.5975992167348</v>
      </c>
      <c r="AD9" s="121">
        <f t="shared" si="7"/>
        <v>1253.6480008728445</v>
      </c>
      <c r="AE9" s="121">
        <f t="shared" si="7"/>
        <v>1319.4445534672886</v>
      </c>
      <c r="AF9" s="121">
        <f t="shared" si="7"/>
        <v>1389.1953171614323</v>
      </c>
      <c r="AG9" s="121">
        <f t="shared" si="7"/>
        <v>1463.1892856940231</v>
      </c>
      <c r="AH9" s="121">
        <f t="shared" si="7"/>
        <v>1541.7048682468185</v>
      </c>
      <c r="AI9" s="121">
        <f t="shared" si="7"/>
        <v>1625.0372398492434</v>
      </c>
      <c r="AJ9" s="121">
        <f t="shared" si="7"/>
        <v>1713.5158282363993</v>
      </c>
      <c r="AK9" s="121">
        <f t="shared" si="7"/>
        <v>1807.4849908336869</v>
      </c>
      <c r="AL9" s="121">
        <f t="shared" si="7"/>
        <v>1907.314406387397</v>
      </c>
      <c r="AM9" s="121">
        <f t="shared" si="7"/>
        <v>2013.4024742632312</v>
      </c>
      <c r="AN9" s="121">
        <f t="shared" si="7"/>
        <v>2126.1738795125784</v>
      </c>
      <c r="AO9" s="121">
        <f t="shared" si="7"/>
        <v>2246.0841336749522</v>
      </c>
      <c r="AP9" s="121">
        <f t="shared" si="7"/>
        <v>2373.6216812881826</v>
      </c>
      <c r="AQ9" s="121">
        <f t="shared" si="7"/>
        <v>2509.3094556514616</v>
      </c>
      <c r="AR9" s="121">
        <f t="shared" si="7"/>
        <v>2653.7080790711552</v>
      </c>
      <c r="AS9" s="121">
        <f t="shared" si="7"/>
        <v>2807.4184896543566</v>
      </c>
      <c r="AT9" s="121">
        <f t="shared" si="7"/>
        <v>2969.0431958175291</v>
      </c>
      <c r="AU9" s="121">
        <f t="shared" si="7"/>
        <v>3094.0446239378161</v>
      </c>
      <c r="AV9" s="121">
        <f t="shared" si="7"/>
        <v>3224.4559850219784</v>
      </c>
      <c r="AW9" s="121">
        <f t="shared" si="7"/>
        <v>3360.5153375068021</v>
      </c>
      <c r="AX9" s="121">
        <f t="shared" si="7"/>
        <v>3502.4713318484473</v>
      </c>
      <c r="AY9" s="121">
        <f t="shared" si="7"/>
        <v>3650.583667253919</v>
      </c>
      <c r="AZ9" s="121">
        <f t="shared" si="7"/>
        <v>3805.1235849853801</v>
      </c>
      <c r="BA9" s="121">
        <f t="shared" si="7"/>
        <v>3966.3743905207375</v>
      </c>
      <c r="BB9" s="121">
        <f t="shared" si="7"/>
        <v>4134.6319886069905</v>
      </c>
      <c r="BC9" s="121">
        <f t="shared" si="7"/>
        <v>4310.2054471651536</v>
      </c>
      <c r="BD9" s="122">
        <f t="shared" si="7"/>
        <v>4493.4175869063401</v>
      </c>
    </row>
    <row r="10" spans="1:56" x14ac:dyDescent="0.3">
      <c r="B10" s="111" t="s">
        <v>37</v>
      </c>
      <c r="C10" s="19" t="s">
        <v>38</v>
      </c>
      <c r="D10" s="112">
        <f>BD!D61</f>
        <v>0</v>
      </c>
      <c r="E10" s="112">
        <f>BD!E61</f>
        <v>0</v>
      </c>
      <c r="F10" s="112">
        <f>BD!F61</f>
        <v>0</v>
      </c>
      <c r="G10" s="112">
        <f>BD!G61</f>
        <v>698.5</v>
      </c>
      <c r="H10" s="112">
        <f>BD!H61</f>
        <v>588.5</v>
      </c>
      <c r="I10" s="112">
        <f>BD!I61</f>
        <v>559</v>
      </c>
      <c r="J10" s="112">
        <f>BD!J61</f>
        <v>589.56600000000003</v>
      </c>
      <c r="K10" s="112">
        <f>BD!K61</f>
        <v>657.99199999999996</v>
      </c>
      <c r="L10" s="112">
        <f>BD!L61</f>
        <v>560.23500000000001</v>
      </c>
      <c r="M10" s="112">
        <f>BD!M61</f>
        <v>538.17499999999995</v>
      </c>
      <c r="N10" s="112">
        <f>BD!N61</f>
        <v>572.62099999999998</v>
      </c>
      <c r="O10" s="121">
        <f t="shared" ref="O10:BD10" si="8">O61*ReceitaLíquida</f>
        <v>593.23161673930508</v>
      </c>
      <c r="P10" s="121">
        <f t="shared" si="8"/>
        <v>625.26494538532984</v>
      </c>
      <c r="Q10" s="121">
        <f t="shared" si="8"/>
        <v>663.17245773498155</v>
      </c>
      <c r="R10" s="121">
        <f t="shared" si="8"/>
        <v>696.40566810034784</v>
      </c>
      <c r="S10" s="121">
        <f t="shared" si="8"/>
        <v>736.66062558010287</v>
      </c>
      <c r="T10" s="121">
        <f t="shared" si="8"/>
        <v>778.83035438309946</v>
      </c>
      <c r="U10" s="121">
        <f t="shared" si="8"/>
        <v>822.52859457692193</v>
      </c>
      <c r="V10" s="121">
        <f t="shared" si="8"/>
        <v>870.32046672434819</v>
      </c>
      <c r="W10" s="121">
        <f t="shared" si="8"/>
        <v>920.9659242229917</v>
      </c>
      <c r="X10" s="121">
        <f t="shared" si="8"/>
        <v>974.83738317970506</v>
      </c>
      <c r="Y10" s="121">
        <f t="shared" si="8"/>
        <v>1032.6233433191439</v>
      </c>
      <c r="Z10" s="121">
        <f t="shared" si="8"/>
        <v>1094.2240441723911</v>
      </c>
      <c r="AA10" s="121">
        <f t="shared" si="8"/>
        <v>1150.4869232578335</v>
      </c>
      <c r="AB10" s="121">
        <f t="shared" si="8"/>
        <v>1209.5210318810684</v>
      </c>
      <c r="AC10" s="121">
        <f t="shared" si="8"/>
        <v>1272.0272541431843</v>
      </c>
      <c r="AD10" s="121">
        <f t="shared" si="8"/>
        <v>1338.2683297205908</v>
      </c>
      <c r="AE10" s="121">
        <f t="shared" si="8"/>
        <v>1408.4979039420243</v>
      </c>
      <c r="AF10" s="121">
        <f t="shared" si="8"/>
        <v>1482.9612138777372</v>
      </c>
      <c r="AG10" s="121">
        <f t="shared" si="8"/>
        <v>1561.949142410278</v>
      </c>
      <c r="AH10" s="121">
        <f t="shared" si="8"/>
        <v>1645.7627058424832</v>
      </c>
      <c r="AI10" s="121">
        <f t="shared" si="8"/>
        <v>1734.720836235314</v>
      </c>
      <c r="AJ10" s="121">
        <f t="shared" si="8"/>
        <v>1829.1710926348176</v>
      </c>
      <c r="AK10" s="121">
        <f t="shared" si="8"/>
        <v>1929.4825383953823</v>
      </c>
      <c r="AL10" s="121">
        <f t="shared" si="8"/>
        <v>2036.0502962029655</v>
      </c>
      <c r="AM10" s="121">
        <f t="shared" si="8"/>
        <v>2149.2987672259519</v>
      </c>
      <c r="AN10" s="121">
        <f t="shared" si="8"/>
        <v>2269.6817431986246</v>
      </c>
      <c r="AO10" s="121">
        <f t="shared" si="8"/>
        <v>2397.6854996224911</v>
      </c>
      <c r="AP10" s="121">
        <f t="shared" si="8"/>
        <v>2533.8312714396307</v>
      </c>
      <c r="AQ10" s="121">
        <f t="shared" si="8"/>
        <v>2678.6774057844541</v>
      </c>
      <c r="AR10" s="121">
        <f t="shared" si="8"/>
        <v>2832.822347607248</v>
      </c>
      <c r="AS10" s="121">
        <f t="shared" si="8"/>
        <v>2996.9075638891127</v>
      </c>
      <c r="AT10" s="121">
        <f t="shared" si="8"/>
        <v>3169.441267039987</v>
      </c>
      <c r="AU10" s="121">
        <f t="shared" si="8"/>
        <v>3302.8797739232346</v>
      </c>
      <c r="AV10" s="121">
        <f t="shared" si="8"/>
        <v>3442.093357799009</v>
      </c>
      <c r="AW10" s="121">
        <f t="shared" si="8"/>
        <v>3587.3361514887529</v>
      </c>
      <c r="AX10" s="121">
        <f t="shared" si="8"/>
        <v>3738.8735855575956</v>
      </c>
      <c r="AY10" s="121">
        <f t="shared" si="8"/>
        <v>3896.9828874211125</v>
      </c>
      <c r="AZ10" s="121">
        <f t="shared" si="8"/>
        <v>4061.9536072830429</v>
      </c>
      <c r="BA10" s="121">
        <f t="shared" si="8"/>
        <v>4234.0881718188293</v>
      </c>
      <c r="BB10" s="121">
        <f t="shared" si="8"/>
        <v>4413.7024581679143</v>
      </c>
      <c r="BC10" s="121">
        <f t="shared" si="8"/>
        <v>4601.1263952843337</v>
      </c>
      <c r="BD10" s="122">
        <f t="shared" si="8"/>
        <v>4796.7045927540394</v>
      </c>
    </row>
    <row r="11" spans="1:56" x14ac:dyDescent="0.3">
      <c r="B11" s="255" t="s">
        <v>112</v>
      </c>
      <c r="C11" s="19" t="s">
        <v>116</v>
      </c>
      <c r="D11" s="112">
        <f>BD!D62</f>
        <v>0</v>
      </c>
      <c r="E11" s="112">
        <f>BD!E62</f>
        <v>0</v>
      </c>
      <c r="F11" s="112">
        <f>BD!F62</f>
        <v>0</v>
      </c>
      <c r="G11" s="112">
        <f>BD!G62</f>
        <v>67.7</v>
      </c>
      <c r="H11" s="112">
        <f>BD!H62</f>
        <v>57.4</v>
      </c>
      <c r="I11" s="112">
        <f>BD!I62</f>
        <v>50.7</v>
      </c>
      <c r="J11" s="112">
        <f>BD!J62</f>
        <v>46.667000000000002</v>
      </c>
      <c r="K11" s="112">
        <f>BD!K62</f>
        <v>39.478999999999999</v>
      </c>
      <c r="L11" s="112">
        <f>BD!L62</f>
        <v>35.630000000000003</v>
      </c>
      <c r="M11" s="112">
        <f>BD!M62</f>
        <v>37.158999999999999</v>
      </c>
      <c r="N11" s="112">
        <f>BD!N62</f>
        <v>37.511000000000003</v>
      </c>
      <c r="O11" s="113">
        <f t="shared" ref="O11:BD11" si="9">N11</f>
        <v>37.511000000000003</v>
      </c>
      <c r="P11" s="113">
        <f t="shared" si="9"/>
        <v>37.511000000000003</v>
      </c>
      <c r="Q11" s="113">
        <f t="shared" si="9"/>
        <v>37.511000000000003</v>
      </c>
      <c r="R11" s="113">
        <f t="shared" si="9"/>
        <v>37.511000000000003</v>
      </c>
      <c r="S11" s="113">
        <f t="shared" si="9"/>
        <v>37.511000000000003</v>
      </c>
      <c r="T11" s="113">
        <f t="shared" si="9"/>
        <v>37.511000000000003</v>
      </c>
      <c r="U11" s="113">
        <f t="shared" si="9"/>
        <v>37.511000000000003</v>
      </c>
      <c r="V11" s="113">
        <f t="shared" si="9"/>
        <v>37.511000000000003</v>
      </c>
      <c r="W11" s="113">
        <f t="shared" si="9"/>
        <v>37.511000000000003</v>
      </c>
      <c r="X11" s="113">
        <f t="shared" si="9"/>
        <v>37.511000000000003</v>
      </c>
      <c r="Y11" s="113">
        <f t="shared" si="9"/>
        <v>37.511000000000003</v>
      </c>
      <c r="Z11" s="113">
        <f t="shared" si="9"/>
        <v>37.511000000000003</v>
      </c>
      <c r="AA11" s="113">
        <f t="shared" si="9"/>
        <v>37.511000000000003</v>
      </c>
      <c r="AB11" s="113">
        <f t="shared" si="9"/>
        <v>37.511000000000003</v>
      </c>
      <c r="AC11" s="113">
        <f t="shared" si="9"/>
        <v>37.511000000000003</v>
      </c>
      <c r="AD11" s="113">
        <f t="shared" si="9"/>
        <v>37.511000000000003</v>
      </c>
      <c r="AE11" s="113">
        <f t="shared" si="9"/>
        <v>37.511000000000003</v>
      </c>
      <c r="AF11" s="113">
        <f t="shared" si="9"/>
        <v>37.511000000000003</v>
      </c>
      <c r="AG11" s="113">
        <f t="shared" si="9"/>
        <v>37.511000000000003</v>
      </c>
      <c r="AH11" s="113">
        <f t="shared" si="9"/>
        <v>37.511000000000003</v>
      </c>
      <c r="AI11" s="113">
        <f t="shared" si="9"/>
        <v>37.511000000000003</v>
      </c>
      <c r="AJ11" s="113">
        <f t="shared" si="9"/>
        <v>37.511000000000003</v>
      </c>
      <c r="AK11" s="113">
        <f t="shared" si="9"/>
        <v>37.511000000000003</v>
      </c>
      <c r="AL11" s="113">
        <f t="shared" si="9"/>
        <v>37.511000000000003</v>
      </c>
      <c r="AM11" s="113">
        <f t="shared" si="9"/>
        <v>37.511000000000003</v>
      </c>
      <c r="AN11" s="113">
        <f t="shared" si="9"/>
        <v>37.511000000000003</v>
      </c>
      <c r="AO11" s="113">
        <f t="shared" si="9"/>
        <v>37.511000000000003</v>
      </c>
      <c r="AP11" s="113">
        <f t="shared" si="9"/>
        <v>37.511000000000003</v>
      </c>
      <c r="AQ11" s="113">
        <f t="shared" si="9"/>
        <v>37.511000000000003</v>
      </c>
      <c r="AR11" s="113">
        <f t="shared" si="9"/>
        <v>37.511000000000003</v>
      </c>
      <c r="AS11" s="113">
        <f t="shared" si="9"/>
        <v>37.511000000000003</v>
      </c>
      <c r="AT11" s="113">
        <f t="shared" si="9"/>
        <v>37.511000000000003</v>
      </c>
      <c r="AU11" s="113">
        <f t="shared" si="9"/>
        <v>37.511000000000003</v>
      </c>
      <c r="AV11" s="113">
        <f t="shared" si="9"/>
        <v>37.511000000000003</v>
      </c>
      <c r="AW11" s="113">
        <f t="shared" si="9"/>
        <v>37.511000000000003</v>
      </c>
      <c r="AX11" s="113">
        <f t="shared" si="9"/>
        <v>37.511000000000003</v>
      </c>
      <c r="AY11" s="113">
        <f t="shared" si="9"/>
        <v>37.511000000000003</v>
      </c>
      <c r="AZ11" s="113">
        <f t="shared" si="9"/>
        <v>37.511000000000003</v>
      </c>
      <c r="BA11" s="113">
        <f t="shared" si="9"/>
        <v>37.511000000000003</v>
      </c>
      <c r="BB11" s="113">
        <f t="shared" si="9"/>
        <v>37.511000000000003</v>
      </c>
      <c r="BC11" s="113">
        <f t="shared" si="9"/>
        <v>37.511000000000003</v>
      </c>
      <c r="BD11" s="114">
        <f t="shared" si="9"/>
        <v>37.511000000000003</v>
      </c>
    </row>
    <row r="12" spans="1:56" x14ac:dyDescent="0.3">
      <c r="B12" s="111" t="s">
        <v>113</v>
      </c>
      <c r="C12" s="19" t="s">
        <v>39</v>
      </c>
      <c r="D12" s="112">
        <f>BD!D63+BD!D64+BD!D65+BD!D66</f>
        <v>0</v>
      </c>
      <c r="E12" s="112">
        <f>BD!E63+BD!E64+BD!E65+BD!E66</f>
        <v>0</v>
      </c>
      <c r="F12" s="112">
        <f>BD!F63+BD!F64+BD!F65+BD!F66</f>
        <v>0</v>
      </c>
      <c r="G12" s="112">
        <f>BD!G63+BD!G64+BD!G65+BD!G66</f>
        <v>60.7</v>
      </c>
      <c r="H12" s="112">
        <f>BD!H63+BD!H64+BD!H65+BD!H66</f>
        <v>57.300000000000004</v>
      </c>
      <c r="I12" s="112">
        <f>BD!I63+BD!I64+BD!I65+BD!I66</f>
        <v>60.4</v>
      </c>
      <c r="J12" s="112">
        <f>BD!J63+BD!J64+BD!J65+BD!J66</f>
        <v>70.602999999999994</v>
      </c>
      <c r="K12" s="112">
        <f>BD!K63+BD!K64+BD!K65+BD!K66</f>
        <v>75.122</v>
      </c>
      <c r="L12" s="112">
        <f>BD!L63+BD!L64+BD!L65+BD!L66</f>
        <v>92.853000000000009</v>
      </c>
      <c r="M12" s="112">
        <f>BD!M63+BD!M64+BD!M65+BD!M66</f>
        <v>80.968999999999994</v>
      </c>
      <c r="N12" s="112">
        <f>BD!N63+BD!N64+BD!N65+BD!N66</f>
        <v>71.117000000000004</v>
      </c>
      <c r="O12" s="113">
        <f t="shared" ref="O12:BD12" si="10">N12</f>
        <v>71.117000000000004</v>
      </c>
      <c r="P12" s="113">
        <f t="shared" si="10"/>
        <v>71.117000000000004</v>
      </c>
      <c r="Q12" s="113">
        <f t="shared" si="10"/>
        <v>71.117000000000004</v>
      </c>
      <c r="R12" s="113">
        <f t="shared" si="10"/>
        <v>71.117000000000004</v>
      </c>
      <c r="S12" s="113">
        <f t="shared" si="10"/>
        <v>71.117000000000004</v>
      </c>
      <c r="T12" s="113">
        <f t="shared" si="10"/>
        <v>71.117000000000004</v>
      </c>
      <c r="U12" s="113">
        <f t="shared" si="10"/>
        <v>71.117000000000004</v>
      </c>
      <c r="V12" s="113">
        <f t="shared" si="10"/>
        <v>71.117000000000004</v>
      </c>
      <c r="W12" s="113">
        <f t="shared" si="10"/>
        <v>71.117000000000004</v>
      </c>
      <c r="X12" s="113">
        <f t="shared" si="10"/>
        <v>71.117000000000004</v>
      </c>
      <c r="Y12" s="113">
        <f t="shared" si="10"/>
        <v>71.117000000000004</v>
      </c>
      <c r="Z12" s="113">
        <f t="shared" si="10"/>
        <v>71.117000000000004</v>
      </c>
      <c r="AA12" s="113">
        <f t="shared" si="10"/>
        <v>71.117000000000004</v>
      </c>
      <c r="AB12" s="113">
        <f t="shared" si="10"/>
        <v>71.117000000000004</v>
      </c>
      <c r="AC12" s="113">
        <f t="shared" si="10"/>
        <v>71.117000000000004</v>
      </c>
      <c r="AD12" s="113">
        <f t="shared" si="10"/>
        <v>71.117000000000004</v>
      </c>
      <c r="AE12" s="113">
        <f t="shared" si="10"/>
        <v>71.117000000000004</v>
      </c>
      <c r="AF12" s="113">
        <f t="shared" si="10"/>
        <v>71.117000000000004</v>
      </c>
      <c r="AG12" s="113">
        <f t="shared" si="10"/>
        <v>71.117000000000004</v>
      </c>
      <c r="AH12" s="113">
        <f t="shared" si="10"/>
        <v>71.117000000000004</v>
      </c>
      <c r="AI12" s="113">
        <f t="shared" si="10"/>
        <v>71.117000000000004</v>
      </c>
      <c r="AJ12" s="113">
        <f t="shared" si="10"/>
        <v>71.117000000000004</v>
      </c>
      <c r="AK12" s="113">
        <f t="shared" si="10"/>
        <v>71.117000000000004</v>
      </c>
      <c r="AL12" s="113">
        <f t="shared" si="10"/>
        <v>71.117000000000004</v>
      </c>
      <c r="AM12" s="113">
        <f t="shared" si="10"/>
        <v>71.117000000000004</v>
      </c>
      <c r="AN12" s="113">
        <f t="shared" si="10"/>
        <v>71.117000000000004</v>
      </c>
      <c r="AO12" s="113">
        <f t="shared" si="10"/>
        <v>71.117000000000004</v>
      </c>
      <c r="AP12" s="113">
        <f t="shared" si="10"/>
        <v>71.117000000000004</v>
      </c>
      <c r="AQ12" s="113">
        <f t="shared" si="10"/>
        <v>71.117000000000004</v>
      </c>
      <c r="AR12" s="113">
        <f t="shared" si="10"/>
        <v>71.117000000000004</v>
      </c>
      <c r="AS12" s="113">
        <f t="shared" si="10"/>
        <v>71.117000000000004</v>
      </c>
      <c r="AT12" s="113">
        <f t="shared" si="10"/>
        <v>71.117000000000004</v>
      </c>
      <c r="AU12" s="113">
        <f t="shared" si="10"/>
        <v>71.117000000000004</v>
      </c>
      <c r="AV12" s="113">
        <f t="shared" si="10"/>
        <v>71.117000000000004</v>
      </c>
      <c r="AW12" s="113">
        <f t="shared" si="10"/>
        <v>71.117000000000004</v>
      </c>
      <c r="AX12" s="113">
        <f t="shared" si="10"/>
        <v>71.117000000000004</v>
      </c>
      <c r="AY12" s="113">
        <f t="shared" si="10"/>
        <v>71.117000000000004</v>
      </c>
      <c r="AZ12" s="113">
        <f t="shared" si="10"/>
        <v>71.117000000000004</v>
      </c>
      <c r="BA12" s="113">
        <f t="shared" si="10"/>
        <v>71.117000000000004</v>
      </c>
      <c r="BB12" s="113">
        <f t="shared" si="10"/>
        <v>71.117000000000004</v>
      </c>
      <c r="BC12" s="113">
        <f t="shared" si="10"/>
        <v>71.117000000000004</v>
      </c>
      <c r="BD12" s="114">
        <f t="shared" si="10"/>
        <v>71.117000000000004</v>
      </c>
    </row>
    <row r="13" spans="1:56" x14ac:dyDescent="0.3">
      <c r="B13" s="255" t="s">
        <v>115</v>
      </c>
      <c r="C13" s="19" t="s">
        <v>121</v>
      </c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3">
        <f t="shared" ref="O13:BD13" si="11">N13</f>
        <v>0</v>
      </c>
      <c r="P13" s="113">
        <f t="shared" si="11"/>
        <v>0</v>
      </c>
      <c r="Q13" s="113">
        <f t="shared" si="11"/>
        <v>0</v>
      </c>
      <c r="R13" s="113">
        <f t="shared" si="11"/>
        <v>0</v>
      </c>
      <c r="S13" s="113">
        <f t="shared" si="11"/>
        <v>0</v>
      </c>
      <c r="T13" s="113">
        <f t="shared" si="11"/>
        <v>0</v>
      </c>
      <c r="U13" s="113">
        <f t="shared" si="11"/>
        <v>0</v>
      </c>
      <c r="V13" s="113">
        <f t="shared" si="11"/>
        <v>0</v>
      </c>
      <c r="W13" s="113">
        <f t="shared" si="11"/>
        <v>0</v>
      </c>
      <c r="X13" s="113">
        <f t="shared" si="11"/>
        <v>0</v>
      </c>
      <c r="Y13" s="113">
        <f t="shared" si="11"/>
        <v>0</v>
      </c>
      <c r="Z13" s="113">
        <f t="shared" si="11"/>
        <v>0</v>
      </c>
      <c r="AA13" s="113">
        <f t="shared" si="11"/>
        <v>0</v>
      </c>
      <c r="AB13" s="113">
        <f t="shared" si="11"/>
        <v>0</v>
      </c>
      <c r="AC13" s="113">
        <f t="shared" si="11"/>
        <v>0</v>
      </c>
      <c r="AD13" s="113">
        <f t="shared" si="11"/>
        <v>0</v>
      </c>
      <c r="AE13" s="113">
        <f t="shared" si="11"/>
        <v>0</v>
      </c>
      <c r="AF13" s="113">
        <f t="shared" si="11"/>
        <v>0</v>
      </c>
      <c r="AG13" s="113">
        <f t="shared" si="11"/>
        <v>0</v>
      </c>
      <c r="AH13" s="113">
        <f t="shared" si="11"/>
        <v>0</v>
      </c>
      <c r="AI13" s="113">
        <f t="shared" si="11"/>
        <v>0</v>
      </c>
      <c r="AJ13" s="113">
        <f t="shared" si="11"/>
        <v>0</v>
      </c>
      <c r="AK13" s="113">
        <f t="shared" si="11"/>
        <v>0</v>
      </c>
      <c r="AL13" s="113">
        <f t="shared" si="11"/>
        <v>0</v>
      </c>
      <c r="AM13" s="113">
        <f t="shared" si="11"/>
        <v>0</v>
      </c>
      <c r="AN13" s="113">
        <f t="shared" si="11"/>
        <v>0</v>
      </c>
      <c r="AO13" s="113">
        <f t="shared" si="11"/>
        <v>0</v>
      </c>
      <c r="AP13" s="113">
        <f t="shared" si="11"/>
        <v>0</v>
      </c>
      <c r="AQ13" s="113">
        <f t="shared" si="11"/>
        <v>0</v>
      </c>
      <c r="AR13" s="113">
        <f t="shared" si="11"/>
        <v>0</v>
      </c>
      <c r="AS13" s="113">
        <f t="shared" si="11"/>
        <v>0</v>
      </c>
      <c r="AT13" s="113">
        <f t="shared" si="11"/>
        <v>0</v>
      </c>
      <c r="AU13" s="113">
        <f t="shared" si="11"/>
        <v>0</v>
      </c>
      <c r="AV13" s="113">
        <f t="shared" si="11"/>
        <v>0</v>
      </c>
      <c r="AW13" s="113">
        <f t="shared" si="11"/>
        <v>0</v>
      </c>
      <c r="AX13" s="113">
        <f t="shared" si="11"/>
        <v>0</v>
      </c>
      <c r="AY13" s="113">
        <f t="shared" si="11"/>
        <v>0</v>
      </c>
      <c r="AZ13" s="113">
        <f t="shared" si="11"/>
        <v>0</v>
      </c>
      <c r="BA13" s="113">
        <f t="shared" si="11"/>
        <v>0</v>
      </c>
      <c r="BB13" s="113">
        <f t="shared" si="11"/>
        <v>0</v>
      </c>
      <c r="BC13" s="113">
        <f t="shared" si="11"/>
        <v>0</v>
      </c>
      <c r="BD13" s="114">
        <f t="shared" si="11"/>
        <v>0</v>
      </c>
    </row>
    <row r="14" spans="1:56" ht="8.25" customHeight="1" x14ac:dyDescent="0.3">
      <c r="B14" s="255"/>
      <c r="C14" s="19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39"/>
    </row>
    <row r="15" spans="1:56" s="31" customFormat="1" x14ac:dyDescent="0.3">
      <c r="B15" s="256" t="s">
        <v>114</v>
      </c>
      <c r="C15" s="136" t="s">
        <v>122</v>
      </c>
      <c r="D15" s="143">
        <f t="shared" ref="D15:L15" si="12">SUM(D16:D18)</f>
        <v>0</v>
      </c>
      <c r="E15" s="143">
        <f t="shared" si="12"/>
        <v>0</v>
      </c>
      <c r="F15" s="143">
        <f t="shared" si="12"/>
        <v>0</v>
      </c>
      <c r="G15" s="143">
        <f t="shared" si="12"/>
        <v>163.79999999999998</v>
      </c>
      <c r="H15" s="143">
        <f t="shared" si="12"/>
        <v>135</v>
      </c>
      <c r="I15" s="143">
        <f t="shared" si="12"/>
        <v>143.79999999999998</v>
      </c>
      <c r="J15" s="143">
        <f t="shared" si="12"/>
        <v>139.51399999999998</v>
      </c>
      <c r="K15" s="143">
        <f t="shared" si="12"/>
        <v>229.13800000000001</v>
      </c>
      <c r="L15" s="143">
        <f t="shared" si="12"/>
        <v>403.94600000000003</v>
      </c>
      <c r="M15" s="143">
        <f>SUM(M16:M18)</f>
        <v>381.73399999999998</v>
      </c>
      <c r="N15" s="143">
        <f>SUM(N16:N18)</f>
        <v>496.76400000000001</v>
      </c>
      <c r="O15" s="143">
        <f t="shared" ref="O15:BD15" si="13">SUM(O16:O18)</f>
        <v>496.76400000000001</v>
      </c>
      <c r="P15" s="143">
        <f t="shared" si="13"/>
        <v>496.76400000000001</v>
      </c>
      <c r="Q15" s="143">
        <f t="shared" si="13"/>
        <v>496.76400000000001</v>
      </c>
      <c r="R15" s="143">
        <f t="shared" si="13"/>
        <v>496.76400000000001</v>
      </c>
      <c r="S15" s="143">
        <f t="shared" si="13"/>
        <v>496.76400000000001</v>
      </c>
      <c r="T15" s="143">
        <f t="shared" si="13"/>
        <v>496.76400000000001</v>
      </c>
      <c r="U15" s="143">
        <f t="shared" si="13"/>
        <v>496.76400000000001</v>
      </c>
      <c r="V15" s="143">
        <f t="shared" si="13"/>
        <v>496.76400000000001</v>
      </c>
      <c r="W15" s="143">
        <f t="shared" si="13"/>
        <v>496.76400000000001</v>
      </c>
      <c r="X15" s="143">
        <f t="shared" si="13"/>
        <v>496.76400000000001</v>
      </c>
      <c r="Y15" s="143">
        <f t="shared" si="13"/>
        <v>496.76400000000001</v>
      </c>
      <c r="Z15" s="143">
        <f t="shared" si="13"/>
        <v>496.76400000000001</v>
      </c>
      <c r="AA15" s="143">
        <f t="shared" si="13"/>
        <v>496.76400000000001</v>
      </c>
      <c r="AB15" s="143">
        <f t="shared" si="13"/>
        <v>496.76400000000001</v>
      </c>
      <c r="AC15" s="143">
        <f t="shared" si="13"/>
        <v>496.76400000000001</v>
      </c>
      <c r="AD15" s="143">
        <f t="shared" si="13"/>
        <v>496.76400000000001</v>
      </c>
      <c r="AE15" s="143">
        <f t="shared" si="13"/>
        <v>496.76400000000001</v>
      </c>
      <c r="AF15" s="143">
        <f t="shared" si="13"/>
        <v>496.76400000000001</v>
      </c>
      <c r="AG15" s="143">
        <f t="shared" si="13"/>
        <v>496.76400000000001</v>
      </c>
      <c r="AH15" s="143">
        <f t="shared" si="13"/>
        <v>496.76400000000001</v>
      </c>
      <c r="AI15" s="143">
        <f t="shared" si="13"/>
        <v>496.76400000000001</v>
      </c>
      <c r="AJ15" s="143">
        <f t="shared" si="13"/>
        <v>496.76400000000001</v>
      </c>
      <c r="AK15" s="143">
        <f t="shared" si="13"/>
        <v>496.76400000000001</v>
      </c>
      <c r="AL15" s="143">
        <f t="shared" si="13"/>
        <v>496.76400000000001</v>
      </c>
      <c r="AM15" s="143">
        <f t="shared" si="13"/>
        <v>496.76400000000001</v>
      </c>
      <c r="AN15" s="143">
        <f t="shared" si="13"/>
        <v>496.76400000000001</v>
      </c>
      <c r="AO15" s="143">
        <f t="shared" si="13"/>
        <v>496.76400000000001</v>
      </c>
      <c r="AP15" s="143">
        <f t="shared" si="13"/>
        <v>496.76400000000001</v>
      </c>
      <c r="AQ15" s="143">
        <f t="shared" si="13"/>
        <v>496.76400000000001</v>
      </c>
      <c r="AR15" s="143">
        <f t="shared" si="13"/>
        <v>496.76400000000001</v>
      </c>
      <c r="AS15" s="143">
        <f t="shared" si="13"/>
        <v>496.76400000000001</v>
      </c>
      <c r="AT15" s="143">
        <f t="shared" si="13"/>
        <v>496.76400000000001</v>
      </c>
      <c r="AU15" s="143">
        <f t="shared" si="13"/>
        <v>496.76400000000001</v>
      </c>
      <c r="AV15" s="143">
        <f t="shared" si="13"/>
        <v>496.76400000000001</v>
      </c>
      <c r="AW15" s="143">
        <f t="shared" si="13"/>
        <v>496.76400000000001</v>
      </c>
      <c r="AX15" s="143">
        <f t="shared" si="13"/>
        <v>496.76400000000001</v>
      </c>
      <c r="AY15" s="143">
        <f t="shared" si="13"/>
        <v>496.76400000000001</v>
      </c>
      <c r="AZ15" s="143">
        <f t="shared" si="13"/>
        <v>496.76400000000001</v>
      </c>
      <c r="BA15" s="143">
        <f t="shared" si="13"/>
        <v>496.76400000000001</v>
      </c>
      <c r="BB15" s="143">
        <f t="shared" si="13"/>
        <v>496.76400000000001</v>
      </c>
      <c r="BC15" s="143">
        <f t="shared" si="13"/>
        <v>496.76400000000001</v>
      </c>
      <c r="BD15" s="144">
        <f t="shared" si="13"/>
        <v>496.76400000000001</v>
      </c>
    </row>
    <row r="16" spans="1:56" x14ac:dyDescent="0.3">
      <c r="B16" s="111" t="s">
        <v>33</v>
      </c>
      <c r="C16" s="19" t="s">
        <v>34</v>
      </c>
      <c r="D16" s="112">
        <f>BD!D70</f>
        <v>0</v>
      </c>
      <c r="E16" s="112">
        <f>BD!E70</f>
        <v>0</v>
      </c>
      <c r="F16" s="112">
        <f>BD!F70</f>
        <v>0</v>
      </c>
      <c r="G16" s="112">
        <f>BD!G70</f>
        <v>0</v>
      </c>
      <c r="H16" s="112">
        <f>BD!H70</f>
        <v>0</v>
      </c>
      <c r="I16" s="112">
        <f>BD!I70</f>
        <v>0</v>
      </c>
      <c r="J16" s="112">
        <f>BD!J70</f>
        <v>0</v>
      </c>
      <c r="K16" s="112">
        <f>BD!K70</f>
        <v>0</v>
      </c>
      <c r="L16" s="112">
        <f>BD!L70</f>
        <v>62.057000000000002</v>
      </c>
      <c r="M16" s="112">
        <f>BD!M70</f>
        <v>63.819000000000003</v>
      </c>
      <c r="N16" s="112">
        <f>BD!N70</f>
        <v>77.998000000000005</v>
      </c>
      <c r="O16" s="113">
        <f t="shared" ref="O16:BD16" si="14">N16</f>
        <v>77.998000000000005</v>
      </c>
      <c r="P16" s="113">
        <f t="shared" si="14"/>
        <v>77.998000000000005</v>
      </c>
      <c r="Q16" s="113">
        <f t="shared" si="14"/>
        <v>77.998000000000005</v>
      </c>
      <c r="R16" s="113">
        <f t="shared" si="14"/>
        <v>77.998000000000005</v>
      </c>
      <c r="S16" s="113">
        <f t="shared" si="14"/>
        <v>77.998000000000005</v>
      </c>
      <c r="T16" s="113">
        <f t="shared" si="14"/>
        <v>77.998000000000005</v>
      </c>
      <c r="U16" s="113">
        <f t="shared" si="14"/>
        <v>77.998000000000005</v>
      </c>
      <c r="V16" s="113">
        <f t="shared" si="14"/>
        <v>77.998000000000005</v>
      </c>
      <c r="W16" s="113">
        <f t="shared" si="14"/>
        <v>77.998000000000005</v>
      </c>
      <c r="X16" s="113">
        <f t="shared" si="14"/>
        <v>77.998000000000005</v>
      </c>
      <c r="Y16" s="113">
        <f t="shared" si="14"/>
        <v>77.998000000000005</v>
      </c>
      <c r="Z16" s="113">
        <f t="shared" si="14"/>
        <v>77.998000000000005</v>
      </c>
      <c r="AA16" s="113">
        <f t="shared" si="14"/>
        <v>77.998000000000005</v>
      </c>
      <c r="AB16" s="113">
        <f t="shared" si="14"/>
        <v>77.998000000000005</v>
      </c>
      <c r="AC16" s="113">
        <f t="shared" si="14"/>
        <v>77.998000000000005</v>
      </c>
      <c r="AD16" s="113">
        <f t="shared" si="14"/>
        <v>77.998000000000005</v>
      </c>
      <c r="AE16" s="113">
        <f t="shared" si="14"/>
        <v>77.998000000000005</v>
      </c>
      <c r="AF16" s="113">
        <f t="shared" si="14"/>
        <v>77.998000000000005</v>
      </c>
      <c r="AG16" s="113">
        <f t="shared" si="14"/>
        <v>77.998000000000005</v>
      </c>
      <c r="AH16" s="113">
        <f t="shared" si="14"/>
        <v>77.998000000000005</v>
      </c>
      <c r="AI16" s="113">
        <f t="shared" si="14"/>
        <v>77.998000000000005</v>
      </c>
      <c r="AJ16" s="113">
        <f t="shared" si="14"/>
        <v>77.998000000000005</v>
      </c>
      <c r="AK16" s="113">
        <f t="shared" si="14"/>
        <v>77.998000000000005</v>
      </c>
      <c r="AL16" s="113">
        <f t="shared" si="14"/>
        <v>77.998000000000005</v>
      </c>
      <c r="AM16" s="113">
        <f t="shared" si="14"/>
        <v>77.998000000000005</v>
      </c>
      <c r="AN16" s="113">
        <f t="shared" si="14"/>
        <v>77.998000000000005</v>
      </c>
      <c r="AO16" s="113">
        <f t="shared" si="14"/>
        <v>77.998000000000005</v>
      </c>
      <c r="AP16" s="113">
        <f t="shared" si="14"/>
        <v>77.998000000000005</v>
      </c>
      <c r="AQ16" s="113">
        <f t="shared" si="14"/>
        <v>77.998000000000005</v>
      </c>
      <c r="AR16" s="113">
        <f t="shared" si="14"/>
        <v>77.998000000000005</v>
      </c>
      <c r="AS16" s="113">
        <f t="shared" si="14"/>
        <v>77.998000000000005</v>
      </c>
      <c r="AT16" s="113">
        <f t="shared" si="14"/>
        <v>77.998000000000005</v>
      </c>
      <c r="AU16" s="113">
        <f t="shared" si="14"/>
        <v>77.998000000000005</v>
      </c>
      <c r="AV16" s="113">
        <f t="shared" si="14"/>
        <v>77.998000000000005</v>
      </c>
      <c r="AW16" s="113">
        <f t="shared" si="14"/>
        <v>77.998000000000005</v>
      </c>
      <c r="AX16" s="113">
        <f t="shared" si="14"/>
        <v>77.998000000000005</v>
      </c>
      <c r="AY16" s="113">
        <f t="shared" si="14"/>
        <v>77.998000000000005</v>
      </c>
      <c r="AZ16" s="113">
        <f t="shared" si="14"/>
        <v>77.998000000000005</v>
      </c>
      <c r="BA16" s="113">
        <f t="shared" si="14"/>
        <v>77.998000000000005</v>
      </c>
      <c r="BB16" s="113">
        <f t="shared" si="14"/>
        <v>77.998000000000005</v>
      </c>
      <c r="BC16" s="113">
        <f t="shared" si="14"/>
        <v>77.998000000000005</v>
      </c>
      <c r="BD16" s="114">
        <f t="shared" si="14"/>
        <v>77.998000000000005</v>
      </c>
    </row>
    <row r="17" spans="2:56" x14ac:dyDescent="0.3">
      <c r="B17" s="255" t="s">
        <v>117</v>
      </c>
      <c r="C17" s="19" t="s">
        <v>123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3">
        <f t="shared" ref="O17:BD17" si="15">N17</f>
        <v>0</v>
      </c>
      <c r="P17" s="113">
        <f t="shared" si="15"/>
        <v>0</v>
      </c>
      <c r="Q17" s="113">
        <f t="shared" si="15"/>
        <v>0</v>
      </c>
      <c r="R17" s="113">
        <f t="shared" si="15"/>
        <v>0</v>
      </c>
      <c r="S17" s="113">
        <f t="shared" si="15"/>
        <v>0</v>
      </c>
      <c r="T17" s="113">
        <f t="shared" si="15"/>
        <v>0</v>
      </c>
      <c r="U17" s="113">
        <f t="shared" si="15"/>
        <v>0</v>
      </c>
      <c r="V17" s="113">
        <f t="shared" si="15"/>
        <v>0</v>
      </c>
      <c r="W17" s="113">
        <f t="shared" si="15"/>
        <v>0</v>
      </c>
      <c r="X17" s="113">
        <f t="shared" si="15"/>
        <v>0</v>
      </c>
      <c r="Y17" s="113">
        <f t="shared" si="15"/>
        <v>0</v>
      </c>
      <c r="Z17" s="113">
        <f t="shared" si="15"/>
        <v>0</v>
      </c>
      <c r="AA17" s="113">
        <f t="shared" si="15"/>
        <v>0</v>
      </c>
      <c r="AB17" s="113">
        <f t="shared" si="15"/>
        <v>0</v>
      </c>
      <c r="AC17" s="113">
        <f t="shared" si="15"/>
        <v>0</v>
      </c>
      <c r="AD17" s="113">
        <f t="shared" si="15"/>
        <v>0</v>
      </c>
      <c r="AE17" s="113">
        <f t="shared" si="15"/>
        <v>0</v>
      </c>
      <c r="AF17" s="113">
        <f t="shared" si="15"/>
        <v>0</v>
      </c>
      <c r="AG17" s="113">
        <f t="shared" si="15"/>
        <v>0</v>
      </c>
      <c r="AH17" s="113">
        <f t="shared" si="15"/>
        <v>0</v>
      </c>
      <c r="AI17" s="113">
        <f t="shared" si="15"/>
        <v>0</v>
      </c>
      <c r="AJ17" s="113">
        <f t="shared" si="15"/>
        <v>0</v>
      </c>
      <c r="AK17" s="113">
        <f t="shared" si="15"/>
        <v>0</v>
      </c>
      <c r="AL17" s="113">
        <f t="shared" si="15"/>
        <v>0</v>
      </c>
      <c r="AM17" s="113">
        <f t="shared" si="15"/>
        <v>0</v>
      </c>
      <c r="AN17" s="113">
        <f t="shared" si="15"/>
        <v>0</v>
      </c>
      <c r="AO17" s="113">
        <f t="shared" si="15"/>
        <v>0</v>
      </c>
      <c r="AP17" s="113">
        <f t="shared" si="15"/>
        <v>0</v>
      </c>
      <c r="AQ17" s="113">
        <f t="shared" si="15"/>
        <v>0</v>
      </c>
      <c r="AR17" s="113">
        <f t="shared" si="15"/>
        <v>0</v>
      </c>
      <c r="AS17" s="113">
        <f t="shared" si="15"/>
        <v>0</v>
      </c>
      <c r="AT17" s="113">
        <f t="shared" si="15"/>
        <v>0</v>
      </c>
      <c r="AU17" s="113">
        <f t="shared" si="15"/>
        <v>0</v>
      </c>
      <c r="AV17" s="113">
        <f t="shared" si="15"/>
        <v>0</v>
      </c>
      <c r="AW17" s="113">
        <f t="shared" si="15"/>
        <v>0</v>
      </c>
      <c r="AX17" s="113">
        <f t="shared" si="15"/>
        <v>0</v>
      </c>
      <c r="AY17" s="113">
        <f t="shared" si="15"/>
        <v>0</v>
      </c>
      <c r="AZ17" s="113">
        <f t="shared" si="15"/>
        <v>0</v>
      </c>
      <c r="BA17" s="113">
        <f t="shared" si="15"/>
        <v>0</v>
      </c>
      <c r="BB17" s="113">
        <f t="shared" si="15"/>
        <v>0</v>
      </c>
      <c r="BC17" s="113">
        <f t="shared" si="15"/>
        <v>0</v>
      </c>
      <c r="BD17" s="114">
        <f t="shared" si="15"/>
        <v>0</v>
      </c>
    </row>
    <row r="18" spans="2:56" x14ac:dyDescent="0.3">
      <c r="B18" s="255" t="s">
        <v>118</v>
      </c>
      <c r="C18" s="19" t="s">
        <v>139</v>
      </c>
      <c r="D18" s="112">
        <f>BD!D69+SUM(BD!D71:D79)</f>
        <v>0</v>
      </c>
      <c r="E18" s="112">
        <f>BD!E69+SUM(BD!E71:E79)</f>
        <v>0</v>
      </c>
      <c r="F18" s="112">
        <f>BD!F69+SUM(BD!F71:F79)</f>
        <v>0</v>
      </c>
      <c r="G18" s="112">
        <f>BD!G69+SUM(BD!G71:G79)</f>
        <v>163.79999999999998</v>
      </c>
      <c r="H18" s="112">
        <f>BD!H69+SUM(BD!H71:H79)</f>
        <v>135</v>
      </c>
      <c r="I18" s="112">
        <f>BD!I69+SUM(BD!I71:I79)</f>
        <v>143.79999999999998</v>
      </c>
      <c r="J18" s="112">
        <f>BD!J69+SUM(BD!J71:J79)</f>
        <v>139.51399999999998</v>
      </c>
      <c r="K18" s="112">
        <f>BD!K69+SUM(BD!K71:K79)</f>
        <v>229.13800000000001</v>
      </c>
      <c r="L18" s="112">
        <f>BD!L69+SUM(BD!L71:L79)</f>
        <v>341.88900000000001</v>
      </c>
      <c r="M18" s="112">
        <f>BD!M69+SUM(BD!M71:M79)</f>
        <v>317.91499999999996</v>
      </c>
      <c r="N18" s="112">
        <f>BD!N69+SUM(BD!N71:N79)</f>
        <v>418.76600000000002</v>
      </c>
      <c r="O18" s="113">
        <f t="shared" ref="O18:BD18" si="16">N18</f>
        <v>418.76600000000002</v>
      </c>
      <c r="P18" s="113">
        <f t="shared" si="16"/>
        <v>418.76600000000002</v>
      </c>
      <c r="Q18" s="113">
        <f t="shared" si="16"/>
        <v>418.76600000000002</v>
      </c>
      <c r="R18" s="113">
        <f t="shared" si="16"/>
        <v>418.76600000000002</v>
      </c>
      <c r="S18" s="113">
        <f t="shared" si="16"/>
        <v>418.76600000000002</v>
      </c>
      <c r="T18" s="113">
        <f t="shared" si="16"/>
        <v>418.76600000000002</v>
      </c>
      <c r="U18" s="113">
        <f t="shared" si="16"/>
        <v>418.76600000000002</v>
      </c>
      <c r="V18" s="113">
        <f t="shared" si="16"/>
        <v>418.76600000000002</v>
      </c>
      <c r="W18" s="113">
        <f t="shared" si="16"/>
        <v>418.76600000000002</v>
      </c>
      <c r="X18" s="113">
        <f t="shared" si="16"/>
        <v>418.76600000000002</v>
      </c>
      <c r="Y18" s="113">
        <f t="shared" si="16"/>
        <v>418.76600000000002</v>
      </c>
      <c r="Z18" s="113">
        <f t="shared" si="16"/>
        <v>418.76600000000002</v>
      </c>
      <c r="AA18" s="113">
        <f t="shared" si="16"/>
        <v>418.76600000000002</v>
      </c>
      <c r="AB18" s="113">
        <f t="shared" si="16"/>
        <v>418.76600000000002</v>
      </c>
      <c r="AC18" s="113">
        <f t="shared" si="16"/>
        <v>418.76600000000002</v>
      </c>
      <c r="AD18" s="113">
        <f t="shared" si="16"/>
        <v>418.76600000000002</v>
      </c>
      <c r="AE18" s="113">
        <f t="shared" si="16"/>
        <v>418.76600000000002</v>
      </c>
      <c r="AF18" s="113">
        <f t="shared" si="16"/>
        <v>418.76600000000002</v>
      </c>
      <c r="AG18" s="113">
        <f t="shared" si="16"/>
        <v>418.76600000000002</v>
      </c>
      <c r="AH18" s="113">
        <f t="shared" si="16"/>
        <v>418.76600000000002</v>
      </c>
      <c r="AI18" s="113">
        <f t="shared" si="16"/>
        <v>418.76600000000002</v>
      </c>
      <c r="AJ18" s="113">
        <f t="shared" si="16"/>
        <v>418.76600000000002</v>
      </c>
      <c r="AK18" s="113">
        <f t="shared" si="16"/>
        <v>418.76600000000002</v>
      </c>
      <c r="AL18" s="113">
        <f t="shared" si="16"/>
        <v>418.76600000000002</v>
      </c>
      <c r="AM18" s="113">
        <f t="shared" si="16"/>
        <v>418.76600000000002</v>
      </c>
      <c r="AN18" s="113">
        <f t="shared" si="16"/>
        <v>418.76600000000002</v>
      </c>
      <c r="AO18" s="113">
        <f t="shared" si="16"/>
        <v>418.76600000000002</v>
      </c>
      <c r="AP18" s="113">
        <f t="shared" si="16"/>
        <v>418.76600000000002</v>
      </c>
      <c r="AQ18" s="113">
        <f t="shared" si="16"/>
        <v>418.76600000000002</v>
      </c>
      <c r="AR18" s="113">
        <f t="shared" si="16"/>
        <v>418.76600000000002</v>
      </c>
      <c r="AS18" s="113">
        <f t="shared" si="16"/>
        <v>418.76600000000002</v>
      </c>
      <c r="AT18" s="113">
        <f t="shared" si="16"/>
        <v>418.76600000000002</v>
      </c>
      <c r="AU18" s="113">
        <f t="shared" si="16"/>
        <v>418.76600000000002</v>
      </c>
      <c r="AV18" s="113">
        <f t="shared" si="16"/>
        <v>418.76600000000002</v>
      </c>
      <c r="AW18" s="113">
        <f t="shared" si="16"/>
        <v>418.76600000000002</v>
      </c>
      <c r="AX18" s="113">
        <f t="shared" si="16"/>
        <v>418.76600000000002</v>
      </c>
      <c r="AY18" s="113">
        <f t="shared" si="16"/>
        <v>418.76600000000002</v>
      </c>
      <c r="AZ18" s="113">
        <f t="shared" si="16"/>
        <v>418.76600000000002</v>
      </c>
      <c r="BA18" s="113">
        <f t="shared" si="16"/>
        <v>418.76600000000002</v>
      </c>
      <c r="BB18" s="113">
        <f t="shared" si="16"/>
        <v>418.76600000000002</v>
      </c>
      <c r="BC18" s="113">
        <f t="shared" si="16"/>
        <v>418.76600000000002</v>
      </c>
      <c r="BD18" s="114">
        <f t="shared" si="16"/>
        <v>418.76600000000002</v>
      </c>
    </row>
    <row r="19" spans="2:56" x14ac:dyDescent="0.3">
      <c r="B19" s="255"/>
      <c r="C19" s="19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39"/>
    </row>
    <row r="20" spans="2:56" s="31" customFormat="1" x14ac:dyDescent="0.3">
      <c r="B20" s="256" t="s">
        <v>119</v>
      </c>
      <c r="C20" s="82" t="s">
        <v>140</v>
      </c>
      <c r="D20" s="143">
        <f t="shared" ref="D20:L20" si="17">SUM(D21:D23)</f>
        <v>0</v>
      </c>
      <c r="E20" s="143">
        <f t="shared" si="17"/>
        <v>0</v>
      </c>
      <c r="F20" s="143">
        <f t="shared" si="17"/>
        <v>0</v>
      </c>
      <c r="G20" s="143">
        <f t="shared" si="17"/>
        <v>1093.8</v>
      </c>
      <c r="H20" s="143">
        <f t="shared" si="17"/>
        <v>1067.2</v>
      </c>
      <c r="I20" s="143">
        <f t="shared" si="17"/>
        <v>1033</v>
      </c>
      <c r="J20" s="143">
        <f t="shared" si="17"/>
        <v>968.80199999999991</v>
      </c>
      <c r="K20" s="143">
        <f t="shared" si="17"/>
        <v>915.97200000000009</v>
      </c>
      <c r="L20" s="143">
        <f t="shared" si="17"/>
        <v>865.23299999999995</v>
      </c>
      <c r="M20" s="143">
        <f>SUM(M21:M23)</f>
        <v>995.12899999999991</v>
      </c>
      <c r="N20" s="143">
        <f>SUM(N21:N23)</f>
        <v>992.44100000000003</v>
      </c>
      <c r="O20" s="143">
        <f t="shared" ref="O20:BD20" si="18">SUM(O21:O23)</f>
        <v>993.33401097549233</v>
      </c>
      <c r="P20" s="143">
        <f t="shared" si="18"/>
        <v>997.54790301729383</v>
      </c>
      <c r="Q20" s="143">
        <f t="shared" si="18"/>
        <v>1005.4684360530913</v>
      </c>
      <c r="R20" s="143">
        <f t="shared" si="18"/>
        <v>1016.96517378382</v>
      </c>
      <c r="S20" s="143">
        <f t="shared" si="18"/>
        <v>1031.8849561783322</v>
      </c>
      <c r="T20" s="143">
        <f t="shared" si="18"/>
        <v>1050.1961630766705</v>
      </c>
      <c r="U20" s="143">
        <f t="shared" si="18"/>
        <v>1071.8548989566596</v>
      </c>
      <c r="V20" s="143">
        <f t="shared" si="18"/>
        <v>1096.8416782142469</v>
      </c>
      <c r="W20" s="143">
        <f t="shared" si="18"/>
        <v>1125.1821998324456</v>
      </c>
      <c r="X20" s="143">
        <f t="shared" si="18"/>
        <v>1156.91647833395</v>
      </c>
      <c r="Y20" s="143">
        <f t="shared" si="18"/>
        <v>1192.1108492090464</v>
      </c>
      <c r="Z20" s="143">
        <f t="shared" si="18"/>
        <v>1230.8595461813284</v>
      </c>
      <c r="AA20" s="143">
        <f t="shared" si="18"/>
        <v>1272.1296305841424</v>
      </c>
      <c r="AB20" s="143">
        <f t="shared" si="18"/>
        <v>1315.9711710599472</v>
      </c>
      <c r="AC20" s="143">
        <f t="shared" si="18"/>
        <v>1362.5238539036841</v>
      </c>
      <c r="AD20" s="143">
        <f t="shared" si="18"/>
        <v>1411.9390759225751</v>
      </c>
      <c r="AE20" s="143">
        <f t="shared" si="18"/>
        <v>1464.3814335450829</v>
      </c>
      <c r="AF20" s="143">
        <f t="shared" si="18"/>
        <v>1520.029164167971</v>
      </c>
      <c r="AG20" s="143">
        <f t="shared" si="18"/>
        <v>1579.074679665855</v>
      </c>
      <c r="AH20" s="143">
        <f t="shared" si="18"/>
        <v>1641.7255869040309</v>
      </c>
      <c r="AI20" s="143">
        <f t="shared" si="18"/>
        <v>1708.2055030812171</v>
      </c>
      <c r="AJ20" s="143">
        <f t="shared" si="18"/>
        <v>1778.7550121304771</v>
      </c>
      <c r="AK20" s="143">
        <f t="shared" si="18"/>
        <v>1853.6327828862513</v>
      </c>
      <c r="AL20" s="143">
        <f t="shared" si="18"/>
        <v>1933.1167153606721</v>
      </c>
      <c r="AM20" s="143">
        <f t="shared" si="18"/>
        <v>2017.5052114946598</v>
      </c>
      <c r="AN20" s="143">
        <f t="shared" si="18"/>
        <v>2107.1185636424602</v>
      </c>
      <c r="AO20" s="143">
        <f t="shared" si="18"/>
        <v>2202.3004425215058</v>
      </c>
      <c r="AP20" s="143">
        <f t="shared" si="18"/>
        <v>2303.4195140401307</v>
      </c>
      <c r="AQ20" s="143">
        <f t="shared" si="18"/>
        <v>2410.8711865770915</v>
      </c>
      <c r="AR20" s="143">
        <f t="shared" si="18"/>
        <v>2525.0794936256734</v>
      </c>
      <c r="AS20" s="143">
        <f t="shared" si="18"/>
        <v>2646.4991262637031</v>
      </c>
      <c r="AT20" s="143">
        <f t="shared" si="18"/>
        <v>2775.354983399327</v>
      </c>
      <c r="AU20" s="143">
        <f t="shared" si="18"/>
        <v>2906.1176397019149</v>
      </c>
      <c r="AV20" s="143">
        <f t="shared" si="18"/>
        <v>3039.2733130701677</v>
      </c>
      <c r="AW20" s="143">
        <f t="shared" si="18"/>
        <v>3175.2853640147846</v>
      </c>
      <c r="AX20" s="143">
        <f t="shared" si="18"/>
        <v>3314.5981708041049</v>
      </c>
      <c r="AY20" s="143">
        <f t="shared" si="18"/>
        <v>3457.6406392519152</v>
      </c>
      <c r="AZ20" s="143">
        <f t="shared" si="18"/>
        <v>3604.8293899231448</v>
      </c>
      <c r="BA20" s="143">
        <f t="shared" si="18"/>
        <v>3756.5716611190269</v>
      </c>
      <c r="BB20" s="143">
        <f t="shared" si="18"/>
        <v>3913.2679619115975</v>
      </c>
      <c r="BC20" s="143">
        <f t="shared" si="18"/>
        <v>4075.3145058000996</v>
      </c>
      <c r="BD20" s="144">
        <f t="shared" si="18"/>
        <v>4243.1054523809944</v>
      </c>
    </row>
    <row r="21" spans="2:56" x14ac:dyDescent="0.3">
      <c r="B21" s="255" t="s">
        <v>1</v>
      </c>
      <c r="C21" s="19" t="s">
        <v>129</v>
      </c>
      <c r="D21" s="112">
        <f>BD!D81+BD!D82</f>
        <v>0</v>
      </c>
      <c r="E21" s="112">
        <f>BD!E81+BD!E82</f>
        <v>0</v>
      </c>
      <c r="F21" s="112">
        <f>BD!F81+BD!F82</f>
        <v>0</v>
      </c>
      <c r="G21" s="112">
        <f>BD!G81+BD!G82</f>
        <v>0</v>
      </c>
      <c r="H21" s="112">
        <f>BD!H81+BD!H82</f>
        <v>2.5</v>
      </c>
      <c r="I21" s="112">
        <f>BD!I81+BD!I82</f>
        <v>2.2000000000000002</v>
      </c>
      <c r="J21" s="112">
        <f>BD!J81+BD!J82</f>
        <v>1.968</v>
      </c>
      <c r="K21" s="112">
        <f>BD!K81+BD!K82</f>
        <v>3.8969999999999998</v>
      </c>
      <c r="L21" s="112">
        <f>BD!L81+BD!L82</f>
        <v>0</v>
      </c>
      <c r="M21" s="112">
        <f>BD!M81+BD!M82</f>
        <v>211.17599999999999</v>
      </c>
      <c r="N21" s="112">
        <f>BD!N81+BD!N82</f>
        <v>226.982</v>
      </c>
      <c r="O21" s="113">
        <f t="shared" ref="O21:BD21" si="19">N21</f>
        <v>226.982</v>
      </c>
      <c r="P21" s="113">
        <f t="shared" si="19"/>
        <v>226.982</v>
      </c>
      <c r="Q21" s="113">
        <f t="shared" si="19"/>
        <v>226.982</v>
      </c>
      <c r="R21" s="113">
        <f t="shared" si="19"/>
        <v>226.982</v>
      </c>
      <c r="S21" s="113">
        <f t="shared" si="19"/>
        <v>226.982</v>
      </c>
      <c r="T21" s="113">
        <f t="shared" si="19"/>
        <v>226.982</v>
      </c>
      <c r="U21" s="113">
        <f t="shared" si="19"/>
        <v>226.982</v>
      </c>
      <c r="V21" s="113">
        <f t="shared" si="19"/>
        <v>226.982</v>
      </c>
      <c r="W21" s="113">
        <f t="shared" si="19"/>
        <v>226.982</v>
      </c>
      <c r="X21" s="113">
        <f t="shared" si="19"/>
        <v>226.982</v>
      </c>
      <c r="Y21" s="113">
        <f t="shared" si="19"/>
        <v>226.982</v>
      </c>
      <c r="Z21" s="113">
        <f t="shared" si="19"/>
        <v>226.982</v>
      </c>
      <c r="AA21" s="113">
        <f t="shared" si="19"/>
        <v>226.982</v>
      </c>
      <c r="AB21" s="113">
        <f t="shared" si="19"/>
        <v>226.982</v>
      </c>
      <c r="AC21" s="113">
        <f t="shared" si="19"/>
        <v>226.982</v>
      </c>
      <c r="AD21" s="113">
        <f t="shared" si="19"/>
        <v>226.982</v>
      </c>
      <c r="AE21" s="113">
        <f t="shared" si="19"/>
        <v>226.982</v>
      </c>
      <c r="AF21" s="113">
        <f t="shared" si="19"/>
        <v>226.982</v>
      </c>
      <c r="AG21" s="113">
        <f t="shared" si="19"/>
        <v>226.982</v>
      </c>
      <c r="AH21" s="113">
        <f t="shared" si="19"/>
        <v>226.982</v>
      </c>
      <c r="AI21" s="113">
        <f t="shared" si="19"/>
        <v>226.982</v>
      </c>
      <c r="AJ21" s="113">
        <f t="shared" si="19"/>
        <v>226.982</v>
      </c>
      <c r="AK21" s="113">
        <f t="shared" si="19"/>
        <v>226.982</v>
      </c>
      <c r="AL21" s="113">
        <f t="shared" si="19"/>
        <v>226.982</v>
      </c>
      <c r="AM21" s="113">
        <f t="shared" si="19"/>
        <v>226.982</v>
      </c>
      <c r="AN21" s="113">
        <f t="shared" si="19"/>
        <v>226.982</v>
      </c>
      <c r="AO21" s="113">
        <f t="shared" si="19"/>
        <v>226.982</v>
      </c>
      <c r="AP21" s="113">
        <f t="shared" si="19"/>
        <v>226.982</v>
      </c>
      <c r="AQ21" s="113">
        <f t="shared" si="19"/>
        <v>226.982</v>
      </c>
      <c r="AR21" s="113">
        <f t="shared" si="19"/>
        <v>226.982</v>
      </c>
      <c r="AS21" s="113">
        <f t="shared" si="19"/>
        <v>226.982</v>
      </c>
      <c r="AT21" s="113">
        <f t="shared" si="19"/>
        <v>226.982</v>
      </c>
      <c r="AU21" s="113">
        <f t="shared" si="19"/>
        <v>226.982</v>
      </c>
      <c r="AV21" s="113">
        <f t="shared" si="19"/>
        <v>226.982</v>
      </c>
      <c r="AW21" s="113">
        <f t="shared" si="19"/>
        <v>226.982</v>
      </c>
      <c r="AX21" s="113">
        <f t="shared" si="19"/>
        <v>226.982</v>
      </c>
      <c r="AY21" s="113">
        <f t="shared" si="19"/>
        <v>226.982</v>
      </c>
      <c r="AZ21" s="113">
        <f t="shared" si="19"/>
        <v>226.982</v>
      </c>
      <c r="BA21" s="113">
        <f t="shared" si="19"/>
        <v>226.982</v>
      </c>
      <c r="BB21" s="113">
        <f t="shared" si="19"/>
        <v>226.982</v>
      </c>
      <c r="BC21" s="113">
        <f t="shared" si="19"/>
        <v>226.982</v>
      </c>
      <c r="BD21" s="114">
        <f t="shared" si="19"/>
        <v>226.982</v>
      </c>
    </row>
    <row r="22" spans="2:56" x14ac:dyDescent="0.3">
      <c r="B22" s="255" t="s">
        <v>120</v>
      </c>
      <c r="C22" s="19" t="s">
        <v>40</v>
      </c>
      <c r="D22" s="112">
        <f>BD!D83</f>
        <v>0</v>
      </c>
      <c r="E22" s="112">
        <f>BD!E83</f>
        <v>0</v>
      </c>
      <c r="F22" s="112">
        <f>BD!F83</f>
        <v>0</v>
      </c>
      <c r="G22" s="112">
        <f>BD!G83</f>
        <v>980</v>
      </c>
      <c r="H22" s="112">
        <f>BD!H83</f>
        <v>950.7</v>
      </c>
      <c r="I22" s="112">
        <f>BD!I83</f>
        <v>911.1</v>
      </c>
      <c r="J22" s="112">
        <f>BD!J83</f>
        <v>847.26</v>
      </c>
      <c r="K22" s="112">
        <f>BD!K83</f>
        <v>784.89300000000003</v>
      </c>
      <c r="L22" s="112">
        <f>BD!L83</f>
        <v>749.26599999999996</v>
      </c>
      <c r="M22" s="112">
        <f>BD!M83</f>
        <v>669.16499999999996</v>
      </c>
      <c r="N22" s="112">
        <f>BD!N83</f>
        <v>646.85</v>
      </c>
      <c r="O22" s="121">
        <f t="shared" ref="O22:BD22" si="20">N22+CAPEX-Depreciação</f>
        <v>647.74301097549233</v>
      </c>
      <c r="P22" s="121">
        <f t="shared" si="20"/>
        <v>651.95690301729383</v>
      </c>
      <c r="Q22" s="121">
        <f t="shared" si="20"/>
        <v>659.87743605309129</v>
      </c>
      <c r="R22" s="121">
        <f t="shared" si="20"/>
        <v>671.37417378381997</v>
      </c>
      <c r="S22" s="121">
        <f t="shared" si="20"/>
        <v>686.29395617833234</v>
      </c>
      <c r="T22" s="121">
        <f t="shared" si="20"/>
        <v>704.60516307667046</v>
      </c>
      <c r="U22" s="121">
        <f t="shared" si="20"/>
        <v>726.26389895665966</v>
      </c>
      <c r="V22" s="121">
        <f t="shared" si="20"/>
        <v>751.25067821424705</v>
      </c>
      <c r="W22" s="121">
        <f t="shared" si="20"/>
        <v>779.59119983244557</v>
      </c>
      <c r="X22" s="121">
        <f t="shared" si="20"/>
        <v>811.32547833395006</v>
      </c>
      <c r="Y22" s="121">
        <f t="shared" si="20"/>
        <v>846.51984920904647</v>
      </c>
      <c r="Z22" s="121">
        <f t="shared" si="20"/>
        <v>885.26854618132836</v>
      </c>
      <c r="AA22" s="121">
        <f t="shared" si="20"/>
        <v>926.53863058414242</v>
      </c>
      <c r="AB22" s="121">
        <f t="shared" si="20"/>
        <v>970.38017105994732</v>
      </c>
      <c r="AC22" s="121">
        <f t="shared" si="20"/>
        <v>1016.9328539036841</v>
      </c>
      <c r="AD22" s="121">
        <f t="shared" si="20"/>
        <v>1066.3480759225752</v>
      </c>
      <c r="AE22" s="121">
        <f t="shared" si="20"/>
        <v>1118.790433545083</v>
      </c>
      <c r="AF22" s="121">
        <f t="shared" si="20"/>
        <v>1174.4381641679711</v>
      </c>
      <c r="AG22" s="121">
        <f t="shared" si="20"/>
        <v>1233.4836796658551</v>
      </c>
      <c r="AH22" s="121">
        <f t="shared" si="20"/>
        <v>1296.134586904031</v>
      </c>
      <c r="AI22" s="121">
        <f t="shared" si="20"/>
        <v>1362.6145030812172</v>
      </c>
      <c r="AJ22" s="121">
        <f t="shared" si="20"/>
        <v>1433.1640121304772</v>
      </c>
      <c r="AK22" s="121">
        <f t="shared" si="20"/>
        <v>1508.0417828862514</v>
      </c>
      <c r="AL22" s="121">
        <f t="shared" si="20"/>
        <v>1587.5257153606722</v>
      </c>
      <c r="AM22" s="121">
        <f t="shared" si="20"/>
        <v>1671.9142114946599</v>
      </c>
      <c r="AN22" s="121">
        <f t="shared" si="20"/>
        <v>1761.5275636424601</v>
      </c>
      <c r="AO22" s="121">
        <f t="shared" si="20"/>
        <v>1856.7094425215059</v>
      </c>
      <c r="AP22" s="121">
        <f t="shared" si="20"/>
        <v>1957.8285140401308</v>
      </c>
      <c r="AQ22" s="121">
        <f t="shared" si="20"/>
        <v>2065.2801865770916</v>
      </c>
      <c r="AR22" s="121">
        <f t="shared" si="20"/>
        <v>2179.4884936256735</v>
      </c>
      <c r="AS22" s="121">
        <f t="shared" si="20"/>
        <v>2300.9081262637033</v>
      </c>
      <c r="AT22" s="121">
        <f t="shared" si="20"/>
        <v>2429.7639833993271</v>
      </c>
      <c r="AU22" s="121">
        <f t="shared" si="20"/>
        <v>2560.526639701915</v>
      </c>
      <c r="AV22" s="121">
        <f t="shared" si="20"/>
        <v>2693.6823130701678</v>
      </c>
      <c r="AW22" s="121">
        <f t="shared" si="20"/>
        <v>2829.6943640147847</v>
      </c>
      <c r="AX22" s="121">
        <f t="shared" si="20"/>
        <v>2969.007170804105</v>
      </c>
      <c r="AY22" s="121">
        <f t="shared" si="20"/>
        <v>3112.0496392519153</v>
      </c>
      <c r="AZ22" s="121">
        <f t="shared" si="20"/>
        <v>3259.238389923145</v>
      </c>
      <c r="BA22" s="121">
        <f t="shared" si="20"/>
        <v>3410.980661119027</v>
      </c>
      <c r="BB22" s="121">
        <f t="shared" si="20"/>
        <v>3567.6769619115976</v>
      </c>
      <c r="BC22" s="121">
        <f t="shared" si="20"/>
        <v>3729.7235058000997</v>
      </c>
      <c r="BD22" s="122">
        <f t="shared" si="20"/>
        <v>3897.5144523809936</v>
      </c>
    </row>
    <row r="23" spans="2:56" x14ac:dyDescent="0.3">
      <c r="B23" s="257" t="s">
        <v>41</v>
      </c>
      <c r="C23" s="127" t="s">
        <v>130</v>
      </c>
      <c r="D23" s="117">
        <f>BD!D84</f>
        <v>0</v>
      </c>
      <c r="E23" s="117">
        <f>BD!E84</f>
        <v>0</v>
      </c>
      <c r="F23" s="117">
        <f>BD!F84</f>
        <v>0</v>
      </c>
      <c r="G23" s="117">
        <f>BD!G84</f>
        <v>113.8</v>
      </c>
      <c r="H23" s="117">
        <f>BD!H84</f>
        <v>114</v>
      </c>
      <c r="I23" s="117">
        <f>BD!I84</f>
        <v>119.7</v>
      </c>
      <c r="J23" s="117">
        <f>BD!J84</f>
        <v>119.574</v>
      </c>
      <c r="K23" s="117">
        <f>BD!K84</f>
        <v>127.182</v>
      </c>
      <c r="L23" s="117">
        <f>BD!L84</f>
        <v>115.967</v>
      </c>
      <c r="M23" s="117">
        <f>BD!M84</f>
        <v>114.788</v>
      </c>
      <c r="N23" s="117">
        <f>BD!N84</f>
        <v>118.60899999999999</v>
      </c>
      <c r="O23" s="118">
        <f t="shared" ref="O23:BD23" si="21">N23-Amortização</f>
        <v>118.60899999999999</v>
      </c>
      <c r="P23" s="118">
        <f t="shared" si="21"/>
        <v>118.60899999999999</v>
      </c>
      <c r="Q23" s="118">
        <f t="shared" si="21"/>
        <v>118.60899999999999</v>
      </c>
      <c r="R23" s="118">
        <f t="shared" si="21"/>
        <v>118.60899999999999</v>
      </c>
      <c r="S23" s="118">
        <f t="shared" si="21"/>
        <v>118.60899999999999</v>
      </c>
      <c r="T23" s="118">
        <f t="shared" si="21"/>
        <v>118.60899999999999</v>
      </c>
      <c r="U23" s="118">
        <f t="shared" si="21"/>
        <v>118.60899999999999</v>
      </c>
      <c r="V23" s="118">
        <f t="shared" si="21"/>
        <v>118.60899999999999</v>
      </c>
      <c r="W23" s="118">
        <f t="shared" si="21"/>
        <v>118.60899999999999</v>
      </c>
      <c r="X23" s="118">
        <f t="shared" si="21"/>
        <v>118.60899999999999</v>
      </c>
      <c r="Y23" s="118">
        <f t="shared" si="21"/>
        <v>118.60899999999999</v>
      </c>
      <c r="Z23" s="118">
        <f t="shared" si="21"/>
        <v>118.60899999999999</v>
      </c>
      <c r="AA23" s="118">
        <f t="shared" si="21"/>
        <v>118.60899999999999</v>
      </c>
      <c r="AB23" s="118">
        <f t="shared" si="21"/>
        <v>118.60899999999999</v>
      </c>
      <c r="AC23" s="118">
        <f t="shared" si="21"/>
        <v>118.60899999999999</v>
      </c>
      <c r="AD23" s="118">
        <f t="shared" si="21"/>
        <v>118.60899999999999</v>
      </c>
      <c r="AE23" s="118">
        <f t="shared" si="21"/>
        <v>118.60899999999999</v>
      </c>
      <c r="AF23" s="118">
        <f t="shared" si="21"/>
        <v>118.60899999999999</v>
      </c>
      <c r="AG23" s="118">
        <f t="shared" si="21"/>
        <v>118.60899999999999</v>
      </c>
      <c r="AH23" s="118">
        <f t="shared" si="21"/>
        <v>118.60899999999999</v>
      </c>
      <c r="AI23" s="118">
        <f t="shared" si="21"/>
        <v>118.60899999999999</v>
      </c>
      <c r="AJ23" s="118">
        <f t="shared" si="21"/>
        <v>118.60899999999999</v>
      </c>
      <c r="AK23" s="118">
        <f t="shared" si="21"/>
        <v>118.60899999999999</v>
      </c>
      <c r="AL23" s="118">
        <f t="shared" si="21"/>
        <v>118.60899999999999</v>
      </c>
      <c r="AM23" s="118">
        <f t="shared" si="21"/>
        <v>118.60899999999999</v>
      </c>
      <c r="AN23" s="118">
        <f t="shared" si="21"/>
        <v>118.60899999999999</v>
      </c>
      <c r="AO23" s="118">
        <f t="shared" si="21"/>
        <v>118.60899999999999</v>
      </c>
      <c r="AP23" s="118">
        <f t="shared" si="21"/>
        <v>118.60899999999999</v>
      </c>
      <c r="AQ23" s="118">
        <f t="shared" si="21"/>
        <v>118.60899999999999</v>
      </c>
      <c r="AR23" s="118">
        <f t="shared" si="21"/>
        <v>118.60899999999999</v>
      </c>
      <c r="AS23" s="118">
        <f t="shared" si="21"/>
        <v>118.60899999999999</v>
      </c>
      <c r="AT23" s="118">
        <f t="shared" si="21"/>
        <v>118.60899999999999</v>
      </c>
      <c r="AU23" s="118">
        <f t="shared" si="21"/>
        <v>118.60899999999999</v>
      </c>
      <c r="AV23" s="118">
        <f t="shared" si="21"/>
        <v>118.60899999999999</v>
      </c>
      <c r="AW23" s="118">
        <f t="shared" si="21"/>
        <v>118.60899999999999</v>
      </c>
      <c r="AX23" s="118">
        <f t="shared" si="21"/>
        <v>118.60899999999999</v>
      </c>
      <c r="AY23" s="118">
        <f t="shared" si="21"/>
        <v>118.60899999999999</v>
      </c>
      <c r="AZ23" s="118">
        <f t="shared" si="21"/>
        <v>118.60899999999999</v>
      </c>
      <c r="BA23" s="118">
        <f t="shared" si="21"/>
        <v>118.60899999999999</v>
      </c>
      <c r="BB23" s="118">
        <f t="shared" si="21"/>
        <v>118.60899999999999</v>
      </c>
      <c r="BC23" s="118">
        <f t="shared" si="21"/>
        <v>118.60899999999999</v>
      </c>
      <c r="BD23" s="118">
        <f t="shared" si="21"/>
        <v>118.60899999999999</v>
      </c>
    </row>
    <row r="24" spans="2:56" x14ac:dyDescent="0.3">
      <c r="B24" s="17"/>
      <c r="C24" s="17"/>
      <c r="D24" s="85">
        <f>BD!D89+BD!D101-D25</f>
        <v>0</v>
      </c>
      <c r="E24" s="85">
        <f>BD!E89+BD!E101-E25</f>
        <v>0</v>
      </c>
      <c r="F24" s="85">
        <f>BD!F89+BD!F101-F25</f>
        <v>0</v>
      </c>
      <c r="G24" s="85">
        <f>BD!G89+BD!G101-G25</f>
        <v>0</v>
      </c>
      <c r="H24" s="85">
        <f>BD!H89+BD!H101-H25</f>
        <v>0</v>
      </c>
      <c r="I24" s="85">
        <f>BD!I89+BD!I101-I25</f>
        <v>0</v>
      </c>
      <c r="J24" s="85">
        <f>BD!J89+BD!J101-J25</f>
        <v>0</v>
      </c>
      <c r="K24" s="85">
        <f>BD!K89+BD!K101-K25</f>
        <v>0</v>
      </c>
      <c r="L24" s="85">
        <f>BD!L89+BD!L101-L25</f>
        <v>0</v>
      </c>
      <c r="M24" s="85">
        <f>BD!M89+BD!M101-M25</f>
        <v>0</v>
      </c>
      <c r="N24" s="85">
        <f>BD!N89+BD!N101-N25</f>
        <v>0</v>
      </c>
    </row>
    <row r="25" spans="2:56" s="31" customFormat="1" x14ac:dyDescent="0.3">
      <c r="B25" s="130" t="s">
        <v>42</v>
      </c>
      <c r="C25" s="131" t="s">
        <v>43</v>
      </c>
      <c r="D25" s="132">
        <f t="shared" ref="D25:L25" si="22">D27+D38</f>
        <v>0</v>
      </c>
      <c r="E25" s="132">
        <f t="shared" si="22"/>
        <v>0</v>
      </c>
      <c r="F25" s="132">
        <f t="shared" si="22"/>
        <v>0</v>
      </c>
      <c r="G25" s="132">
        <f t="shared" si="22"/>
        <v>1472.8999999999996</v>
      </c>
      <c r="H25" s="132">
        <f t="shared" si="22"/>
        <v>1250.441</v>
      </c>
      <c r="I25" s="132">
        <f t="shared" si="22"/>
        <v>1291.1000000000001</v>
      </c>
      <c r="J25" s="132">
        <f t="shared" si="22"/>
        <v>1382.8</v>
      </c>
      <c r="K25" s="132">
        <f t="shared" si="22"/>
        <v>1519.3679999999999</v>
      </c>
      <c r="L25" s="132">
        <f t="shared" si="22"/>
        <v>1601.8689999999999</v>
      </c>
      <c r="M25" s="132">
        <f t="shared" ref="M25:BD25" si="23">M27+M38</f>
        <v>1571.9110000000001</v>
      </c>
      <c r="N25" s="132">
        <f t="shared" ref="N25" si="24">N27+N38</f>
        <v>1779.5039999999999</v>
      </c>
      <c r="O25" s="132">
        <f t="shared" si="23"/>
        <v>1762.5855200705755</v>
      </c>
      <c r="P25" s="132">
        <f t="shared" si="23"/>
        <v>1781.2435461947134</v>
      </c>
      <c r="Q25" s="132">
        <f t="shared" si="23"/>
        <v>1795.907684475651</v>
      </c>
      <c r="R25" s="132">
        <f t="shared" si="23"/>
        <v>1801.3346688382142</v>
      </c>
      <c r="S25" s="132">
        <f t="shared" si="23"/>
        <v>1816.5871787633175</v>
      </c>
      <c r="T25" s="132">
        <f t="shared" si="23"/>
        <v>1913.6427916694038</v>
      </c>
      <c r="U25" s="132">
        <f t="shared" si="23"/>
        <v>1935.7267705942331</v>
      </c>
      <c r="V25" s="132">
        <f t="shared" si="23"/>
        <v>1960.1153086600505</v>
      </c>
      <c r="W25" s="132">
        <f t="shared" si="23"/>
        <v>1985.0299771005311</v>
      </c>
      <c r="X25" s="132">
        <f t="shared" si="23"/>
        <v>2011.311148702589</v>
      </c>
      <c r="Y25" s="132">
        <f t="shared" si="23"/>
        <v>2039.8428944808857</v>
      </c>
      <c r="Z25" s="132">
        <f t="shared" si="23"/>
        <v>2069.9717562966412</v>
      </c>
      <c r="AA25" s="132">
        <f t="shared" si="23"/>
        <v>2097.0836277040939</v>
      </c>
      <c r="AB25" s="132">
        <f t="shared" si="23"/>
        <v>2125.8281836112733</v>
      </c>
      <c r="AC25" s="132">
        <f t="shared" si="23"/>
        <v>2156.2389893752793</v>
      </c>
      <c r="AD25" s="132">
        <f t="shared" si="23"/>
        <v>2188.499833836463</v>
      </c>
      <c r="AE25" s="132">
        <f t="shared" si="23"/>
        <v>2222.7418844465165</v>
      </c>
      <c r="AF25" s="132">
        <f t="shared" si="23"/>
        <v>2259.06240041411</v>
      </c>
      <c r="AG25" s="132">
        <f t="shared" si="23"/>
        <v>2297.6271354588757</v>
      </c>
      <c r="AH25" s="132">
        <f t="shared" si="23"/>
        <v>2338.5858345343463</v>
      </c>
      <c r="AI25" s="132">
        <f t="shared" si="23"/>
        <v>2382.0946693867409</v>
      </c>
      <c r="AJ25" s="132">
        <f t="shared" si="23"/>
        <v>2428.3335825233953</v>
      </c>
      <c r="AK25" s="132">
        <f t="shared" si="23"/>
        <v>2477.4873986808639</v>
      </c>
      <c r="AL25" s="132">
        <f t="shared" si="23"/>
        <v>2529.7544102502516</v>
      </c>
      <c r="AM25" s="132">
        <f t="shared" si="23"/>
        <v>2585.3493221960325</v>
      </c>
      <c r="AN25" s="132">
        <f t="shared" si="23"/>
        <v>2644.5000303004394</v>
      </c>
      <c r="AO25" s="132">
        <f t="shared" si="23"/>
        <v>2707.4509958258054</v>
      </c>
      <c r="AP25" s="132">
        <f t="shared" si="23"/>
        <v>2774.4644479943549</v>
      </c>
      <c r="AQ25" s="132">
        <f t="shared" si="23"/>
        <v>2845.8208194066888</v>
      </c>
      <c r="AR25" s="132">
        <f t="shared" si="23"/>
        <v>2921.8207223713525</v>
      </c>
      <c r="AS25" s="132">
        <f t="shared" si="23"/>
        <v>3002.7863288841891</v>
      </c>
      <c r="AT25" s="132">
        <f t="shared" si="23"/>
        <v>3087.9276896785263</v>
      </c>
      <c r="AU25" s="132">
        <f t="shared" si="23"/>
        <v>3152.5461478794082</v>
      </c>
      <c r="AV25" s="132">
        <f t="shared" si="23"/>
        <v>3221.4792175641801</v>
      </c>
      <c r="AW25" s="132">
        <f t="shared" si="23"/>
        <v>3293.6817951518037</v>
      </c>
      <c r="AX25" s="132">
        <f t="shared" si="23"/>
        <v>3369.2593753271835</v>
      </c>
      <c r="AY25" s="132">
        <f t="shared" si="23"/>
        <v>3448.3467038411441</v>
      </c>
      <c r="AZ25" s="132">
        <f t="shared" si="23"/>
        <v>3531.0867318593332</v>
      </c>
      <c r="BA25" s="132">
        <f t="shared" si="23"/>
        <v>3617.6303803022288</v>
      </c>
      <c r="BB25" s="132">
        <f t="shared" si="23"/>
        <v>3708.1367143120519</v>
      </c>
      <c r="BC25" s="132">
        <f t="shared" si="23"/>
        <v>3802.7731566242142</v>
      </c>
      <c r="BD25" s="133">
        <f t="shared" si="23"/>
        <v>3901.7157282343628</v>
      </c>
    </row>
    <row r="26" spans="2:56" ht="8.25" customHeight="1" x14ac:dyDescent="0.3">
      <c r="B26" s="119"/>
      <c r="C26" s="8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120"/>
    </row>
    <row r="27" spans="2:56" x14ac:dyDescent="0.3">
      <c r="B27" s="139" t="s">
        <v>54</v>
      </c>
      <c r="C27" s="140" t="s">
        <v>55</v>
      </c>
      <c r="D27" s="141">
        <f t="shared" ref="D27:L27" si="25">D28+D29+D33+D34+D35+D36+D37</f>
        <v>0</v>
      </c>
      <c r="E27" s="141">
        <f t="shared" si="25"/>
        <v>0</v>
      </c>
      <c r="F27" s="141">
        <f t="shared" si="25"/>
        <v>0</v>
      </c>
      <c r="G27" s="141">
        <f t="shared" si="25"/>
        <v>739.59999999999991</v>
      </c>
      <c r="H27" s="141">
        <f t="shared" si="25"/>
        <v>727.72500000000002</v>
      </c>
      <c r="I27" s="141">
        <f t="shared" si="25"/>
        <v>854.80000000000007</v>
      </c>
      <c r="J27" s="141">
        <f t="shared" si="25"/>
        <v>716.2</v>
      </c>
      <c r="K27" s="141">
        <f t="shared" si="25"/>
        <v>850.69600000000003</v>
      </c>
      <c r="L27" s="141">
        <f t="shared" si="25"/>
        <v>816.55099999999993</v>
      </c>
      <c r="M27" s="141">
        <f>M28+M29+M33+M34+M35+M36+M37</f>
        <v>762.88099999999997</v>
      </c>
      <c r="N27" s="141">
        <f>N28+N29+N33+N34+N35+N36+N37</f>
        <v>840.83699999999999</v>
      </c>
      <c r="O27" s="141">
        <f t="shared" ref="O27:BD27" si="26">O28+O29+O33+O34+O35+O36+O37</f>
        <v>823.91852007057548</v>
      </c>
      <c r="P27" s="141">
        <f t="shared" si="26"/>
        <v>842.57654619471339</v>
      </c>
      <c r="Q27" s="141">
        <f t="shared" si="26"/>
        <v>857.24068447565105</v>
      </c>
      <c r="R27" s="141">
        <f t="shared" si="26"/>
        <v>862.66766883821413</v>
      </c>
      <c r="S27" s="141">
        <f t="shared" si="26"/>
        <v>877.92017876331749</v>
      </c>
      <c r="T27" s="141">
        <f t="shared" si="26"/>
        <v>974.97579166940363</v>
      </c>
      <c r="U27" s="141">
        <f t="shared" si="26"/>
        <v>997.0597705942331</v>
      </c>
      <c r="V27" s="141">
        <f t="shared" si="26"/>
        <v>1021.4483086600504</v>
      </c>
      <c r="W27" s="141">
        <f t="shared" si="26"/>
        <v>1046.3629771005312</v>
      </c>
      <c r="X27" s="141">
        <f t="shared" si="26"/>
        <v>1072.6441487025891</v>
      </c>
      <c r="Y27" s="141">
        <f t="shared" si="26"/>
        <v>1101.1758944808857</v>
      </c>
      <c r="Z27" s="141">
        <f t="shared" si="26"/>
        <v>1131.304756296641</v>
      </c>
      <c r="AA27" s="141">
        <f t="shared" si="26"/>
        <v>1158.4166277040938</v>
      </c>
      <c r="AB27" s="141">
        <f t="shared" si="26"/>
        <v>1187.1611836112731</v>
      </c>
      <c r="AC27" s="141">
        <f t="shared" si="26"/>
        <v>1217.5719893752794</v>
      </c>
      <c r="AD27" s="141">
        <f t="shared" si="26"/>
        <v>1249.8328338364631</v>
      </c>
      <c r="AE27" s="141">
        <f t="shared" si="26"/>
        <v>1284.0748844465165</v>
      </c>
      <c r="AF27" s="141">
        <f t="shared" si="26"/>
        <v>1320.3954004141101</v>
      </c>
      <c r="AG27" s="141">
        <f t="shared" si="26"/>
        <v>1358.9601354588758</v>
      </c>
      <c r="AH27" s="141">
        <f t="shared" si="26"/>
        <v>1399.9188345343464</v>
      </c>
      <c r="AI27" s="141">
        <f t="shared" si="26"/>
        <v>1443.4276693867409</v>
      </c>
      <c r="AJ27" s="141">
        <f t="shared" si="26"/>
        <v>1489.6665825233954</v>
      </c>
      <c r="AK27" s="141">
        <f t="shared" si="26"/>
        <v>1538.8203986808637</v>
      </c>
      <c r="AL27" s="141">
        <f t="shared" si="26"/>
        <v>1591.0874102502517</v>
      </c>
      <c r="AM27" s="141">
        <f t="shared" si="26"/>
        <v>1646.6823221960324</v>
      </c>
      <c r="AN27" s="141">
        <f t="shared" si="26"/>
        <v>1705.8330303004395</v>
      </c>
      <c r="AO27" s="141">
        <f t="shared" si="26"/>
        <v>1768.7839958258055</v>
      </c>
      <c r="AP27" s="141">
        <f t="shared" si="26"/>
        <v>1835.7974479943548</v>
      </c>
      <c r="AQ27" s="141">
        <f t="shared" si="26"/>
        <v>1907.1538194066886</v>
      </c>
      <c r="AR27" s="141">
        <f t="shared" si="26"/>
        <v>1983.1537223713526</v>
      </c>
      <c r="AS27" s="141">
        <f t="shared" si="26"/>
        <v>2064.1193288841891</v>
      </c>
      <c r="AT27" s="141">
        <f t="shared" si="26"/>
        <v>2149.2606896785264</v>
      </c>
      <c r="AU27" s="141">
        <f t="shared" si="26"/>
        <v>2213.8791478794083</v>
      </c>
      <c r="AV27" s="141">
        <f t="shared" si="26"/>
        <v>2282.8122175641802</v>
      </c>
      <c r="AW27" s="141">
        <f t="shared" si="26"/>
        <v>2355.0147951518038</v>
      </c>
      <c r="AX27" s="141">
        <f t="shared" si="26"/>
        <v>2430.5923753271836</v>
      </c>
      <c r="AY27" s="141">
        <f t="shared" si="26"/>
        <v>2509.6797038411441</v>
      </c>
      <c r="AZ27" s="141">
        <f t="shared" si="26"/>
        <v>2592.4197318593333</v>
      </c>
      <c r="BA27" s="141">
        <f t="shared" si="26"/>
        <v>2678.9633803022289</v>
      </c>
      <c r="BB27" s="141">
        <f t="shared" si="26"/>
        <v>2769.469714312052</v>
      </c>
      <c r="BC27" s="141">
        <f t="shared" si="26"/>
        <v>2864.1061566242142</v>
      </c>
      <c r="BD27" s="142">
        <f t="shared" si="26"/>
        <v>2963.0487282343629</v>
      </c>
    </row>
    <row r="28" spans="2:56" x14ac:dyDescent="0.3">
      <c r="B28" s="111" t="s">
        <v>44</v>
      </c>
      <c r="C28" s="19" t="s">
        <v>45</v>
      </c>
      <c r="D28" s="112">
        <f>BD!D93+BD!D96</f>
        <v>0</v>
      </c>
      <c r="E28" s="112">
        <f>BD!E93+BD!E96</f>
        <v>0</v>
      </c>
      <c r="F28" s="112">
        <f>BD!F93+BD!F96</f>
        <v>0</v>
      </c>
      <c r="G28" s="112">
        <f>BD!G93+BD!G96</f>
        <v>231</v>
      </c>
      <c r="H28" s="112">
        <f>BD!H93+BD!H96</f>
        <v>186.488</v>
      </c>
      <c r="I28" s="112">
        <f>BD!I93+BD!I96</f>
        <v>194</v>
      </c>
      <c r="J28" s="112">
        <f>BD!J93+BD!J96</f>
        <v>167.1</v>
      </c>
      <c r="K28" s="112">
        <f>BD!K93+BD!K96</f>
        <v>152.15600000000001</v>
      </c>
      <c r="L28" s="112">
        <f>BD!L93+BD!L96</f>
        <v>144.04</v>
      </c>
      <c r="M28" s="112">
        <f>BD!M93+BD!M96</f>
        <v>163.26499999999999</v>
      </c>
      <c r="N28" s="112">
        <f>BD!N93+BD!N96</f>
        <v>195.72</v>
      </c>
      <c r="O28" s="121">
        <f t="shared" ref="O28:BD28" si="27">O62*ReceitaLíquida</f>
        <v>178.80152007057541</v>
      </c>
      <c r="P28" s="121">
        <f t="shared" si="27"/>
        <v>197.45954619471334</v>
      </c>
      <c r="Q28" s="121">
        <f t="shared" si="27"/>
        <v>212.12368447565103</v>
      </c>
      <c r="R28" s="121">
        <f t="shared" si="27"/>
        <v>217.55066883821414</v>
      </c>
      <c r="S28" s="121">
        <f t="shared" si="27"/>
        <v>232.8031787633175</v>
      </c>
      <c r="T28" s="121">
        <f t="shared" si="27"/>
        <v>246.18779621958026</v>
      </c>
      <c r="U28" s="121">
        <f t="shared" si="27"/>
        <v>258.96504683784298</v>
      </c>
      <c r="V28" s="121">
        <f t="shared" si="27"/>
        <v>274.72106036371434</v>
      </c>
      <c r="W28" s="121">
        <f t="shared" si="27"/>
        <v>290.59398903665317</v>
      </c>
      <c r="X28" s="121">
        <f t="shared" si="27"/>
        <v>307.40757064956262</v>
      </c>
      <c r="Y28" s="121">
        <f t="shared" si="27"/>
        <v>325.80273242405752</v>
      </c>
      <c r="Z28" s="121">
        <f t="shared" si="27"/>
        <v>345.18534921010786</v>
      </c>
      <c r="AA28" s="121">
        <f t="shared" si="27"/>
        <v>362.90709444416825</v>
      </c>
      <c r="AB28" s="121">
        <f t="shared" si="27"/>
        <v>381.56715095221</v>
      </c>
      <c r="AC28" s="121">
        <f t="shared" si="27"/>
        <v>401.26895367633301</v>
      </c>
      <c r="AD28" s="121">
        <f t="shared" si="27"/>
        <v>422.16286071397167</v>
      </c>
      <c r="AE28" s="121">
        <f t="shared" si="27"/>
        <v>444.32496188551096</v>
      </c>
      <c r="AF28" s="121">
        <f t="shared" si="27"/>
        <v>467.81048394994144</v>
      </c>
      <c r="AG28" s="121">
        <f t="shared" si="27"/>
        <v>492.7281621470338</v>
      </c>
      <c r="AH28" s="121">
        <f t="shared" si="27"/>
        <v>519.16922082577719</v>
      </c>
      <c r="AI28" s="121">
        <f t="shared" si="27"/>
        <v>547.23061554875642</v>
      </c>
      <c r="AJ28" s="121">
        <f t="shared" si="27"/>
        <v>577.02593342845319</v>
      </c>
      <c r="AK28" s="121">
        <f t="shared" si="27"/>
        <v>608.67017856363987</v>
      </c>
      <c r="AL28" s="121">
        <f t="shared" si="27"/>
        <v>642.28753078105933</v>
      </c>
      <c r="AM28" s="121">
        <f t="shared" si="27"/>
        <v>678.01272370633797</v>
      </c>
      <c r="AN28" s="121">
        <f t="shared" si="27"/>
        <v>715.98848193158619</v>
      </c>
      <c r="AO28" s="121">
        <f t="shared" si="27"/>
        <v>756.36818875929089</v>
      </c>
      <c r="AP28" s="121">
        <f t="shared" si="27"/>
        <v>799.3164418578541</v>
      </c>
      <c r="AQ28" s="121">
        <f t="shared" si="27"/>
        <v>845.0092622860127</v>
      </c>
      <c r="AR28" s="121">
        <f t="shared" si="27"/>
        <v>893.635450921151</v>
      </c>
      <c r="AS28" s="121">
        <f t="shared" si="27"/>
        <v>945.39739394107346</v>
      </c>
      <c r="AT28" s="121">
        <f t="shared" si="27"/>
        <v>999.82446776502138</v>
      </c>
      <c r="AU28" s="121">
        <f t="shared" si="27"/>
        <v>1041.9186624721699</v>
      </c>
      <c r="AV28" s="121">
        <f t="shared" si="27"/>
        <v>1085.8346531372943</v>
      </c>
      <c r="AW28" s="121">
        <f t="shared" si="27"/>
        <v>1131.6526017227056</v>
      </c>
      <c r="AX28" s="121">
        <f t="shared" si="27"/>
        <v>1179.4562430031162</v>
      </c>
      <c r="AY28" s="121">
        <f t="shared" si="27"/>
        <v>1229.3330308637112</v>
      </c>
      <c r="AZ28" s="121">
        <f t="shared" si="27"/>
        <v>1281.3743048974579</v>
      </c>
      <c r="BA28" s="121">
        <f t="shared" si="27"/>
        <v>1335.6754686286827</v>
      </c>
      <c r="BB28" s="121">
        <f t="shared" si="27"/>
        <v>1392.3361678614456</v>
      </c>
      <c r="BC28" s="121">
        <f t="shared" si="27"/>
        <v>1451.4604809822947</v>
      </c>
      <c r="BD28" s="122">
        <f t="shared" si="27"/>
        <v>1513.1571178928648</v>
      </c>
    </row>
    <row r="29" spans="2:56" x14ac:dyDescent="0.3">
      <c r="B29" s="111" t="s">
        <v>46</v>
      </c>
      <c r="C29" s="19" t="s">
        <v>47</v>
      </c>
      <c r="D29" s="112">
        <f>BD!D90+D32</f>
        <v>0</v>
      </c>
      <c r="E29" s="112">
        <f>BD!E90+E32</f>
        <v>0</v>
      </c>
      <c r="F29" s="112">
        <f>BD!F90+F32</f>
        <v>0</v>
      </c>
      <c r="G29" s="112">
        <f>BD!G90+G32</f>
        <v>363.09999999999997</v>
      </c>
      <c r="H29" s="112">
        <f>BD!H90+H32</f>
        <v>387.69</v>
      </c>
      <c r="I29" s="112">
        <f>BD!I90+I32</f>
        <v>497</v>
      </c>
      <c r="J29" s="112">
        <f>BD!J90+J32</f>
        <v>405.4</v>
      </c>
      <c r="K29" s="112">
        <f>BD!K90+K32</f>
        <v>531.23099999999999</v>
      </c>
      <c r="L29" s="112">
        <f>BD!L90+L32</f>
        <v>518.58100000000002</v>
      </c>
      <c r="M29" s="112">
        <f>BD!M90+M32</f>
        <v>456.81299999999999</v>
      </c>
      <c r="N29" s="112">
        <f>BD!N90+N32</f>
        <v>459.94800000000004</v>
      </c>
      <c r="O29" s="55">
        <f t="shared" ref="O29:BD29" si="28">SUM(O30:O32)</f>
        <v>459.94800000000004</v>
      </c>
      <c r="P29" s="55">
        <f t="shared" si="28"/>
        <v>459.94800000000004</v>
      </c>
      <c r="Q29" s="55">
        <f t="shared" si="28"/>
        <v>459.94800000000004</v>
      </c>
      <c r="R29" s="55">
        <f t="shared" si="28"/>
        <v>459.94800000000004</v>
      </c>
      <c r="S29" s="55">
        <f t="shared" si="28"/>
        <v>459.94800000000004</v>
      </c>
      <c r="T29" s="55">
        <f t="shared" si="28"/>
        <v>459.94800000000004</v>
      </c>
      <c r="U29" s="55">
        <f t="shared" si="28"/>
        <v>459.94800000000004</v>
      </c>
      <c r="V29" s="55">
        <f t="shared" si="28"/>
        <v>459.94800000000004</v>
      </c>
      <c r="W29" s="55">
        <f t="shared" si="28"/>
        <v>459.94800000000004</v>
      </c>
      <c r="X29" s="55">
        <f t="shared" si="28"/>
        <v>459.94800000000004</v>
      </c>
      <c r="Y29" s="55">
        <f t="shared" si="28"/>
        <v>459.94800000000004</v>
      </c>
      <c r="Z29" s="55">
        <f t="shared" si="28"/>
        <v>459.94800000000004</v>
      </c>
      <c r="AA29" s="55">
        <f t="shared" si="28"/>
        <v>459.94800000000004</v>
      </c>
      <c r="AB29" s="55">
        <f t="shared" si="28"/>
        <v>459.94800000000004</v>
      </c>
      <c r="AC29" s="55">
        <f t="shared" si="28"/>
        <v>459.94800000000004</v>
      </c>
      <c r="AD29" s="55">
        <f t="shared" si="28"/>
        <v>459.94800000000004</v>
      </c>
      <c r="AE29" s="55">
        <f t="shared" si="28"/>
        <v>459.94800000000004</v>
      </c>
      <c r="AF29" s="55">
        <f t="shared" si="28"/>
        <v>459.94800000000004</v>
      </c>
      <c r="AG29" s="55">
        <f t="shared" si="28"/>
        <v>459.94800000000004</v>
      </c>
      <c r="AH29" s="55">
        <f t="shared" si="28"/>
        <v>459.94800000000004</v>
      </c>
      <c r="AI29" s="55">
        <f t="shared" si="28"/>
        <v>459.94800000000004</v>
      </c>
      <c r="AJ29" s="55">
        <f t="shared" si="28"/>
        <v>459.94800000000004</v>
      </c>
      <c r="AK29" s="55">
        <f t="shared" si="28"/>
        <v>459.94800000000004</v>
      </c>
      <c r="AL29" s="55">
        <f t="shared" si="28"/>
        <v>459.94800000000004</v>
      </c>
      <c r="AM29" s="55">
        <f t="shared" si="28"/>
        <v>459.94800000000004</v>
      </c>
      <c r="AN29" s="55">
        <f t="shared" si="28"/>
        <v>459.94800000000004</v>
      </c>
      <c r="AO29" s="55">
        <f t="shared" si="28"/>
        <v>459.94800000000004</v>
      </c>
      <c r="AP29" s="55">
        <f t="shared" si="28"/>
        <v>459.94800000000004</v>
      </c>
      <c r="AQ29" s="55">
        <f t="shared" si="28"/>
        <v>459.94800000000004</v>
      </c>
      <c r="AR29" s="55">
        <f t="shared" si="28"/>
        <v>459.94800000000004</v>
      </c>
      <c r="AS29" s="55">
        <f t="shared" si="28"/>
        <v>459.94800000000004</v>
      </c>
      <c r="AT29" s="55">
        <f t="shared" si="28"/>
        <v>459.94800000000004</v>
      </c>
      <c r="AU29" s="55">
        <f t="shared" si="28"/>
        <v>459.94800000000004</v>
      </c>
      <c r="AV29" s="55">
        <f t="shared" si="28"/>
        <v>459.94800000000004</v>
      </c>
      <c r="AW29" s="55">
        <f t="shared" si="28"/>
        <v>459.94800000000004</v>
      </c>
      <c r="AX29" s="55">
        <f t="shared" si="28"/>
        <v>459.94800000000004</v>
      </c>
      <c r="AY29" s="55">
        <f t="shared" si="28"/>
        <v>459.94800000000004</v>
      </c>
      <c r="AZ29" s="55">
        <f t="shared" si="28"/>
        <v>459.94800000000004</v>
      </c>
      <c r="BA29" s="55">
        <f t="shared" si="28"/>
        <v>459.94800000000004</v>
      </c>
      <c r="BB29" s="55">
        <f t="shared" si="28"/>
        <v>459.94800000000004</v>
      </c>
      <c r="BC29" s="55">
        <f t="shared" si="28"/>
        <v>459.94800000000004</v>
      </c>
      <c r="BD29" s="123">
        <f t="shared" si="28"/>
        <v>459.94800000000004</v>
      </c>
    </row>
    <row r="30" spans="2:56" x14ac:dyDescent="0.3">
      <c r="B30" s="124" t="s">
        <v>133</v>
      </c>
      <c r="C30" s="80" t="s">
        <v>134</v>
      </c>
      <c r="D30" s="101">
        <f t="shared" ref="D30:L30" si="29">D29-D31-D32</f>
        <v>0</v>
      </c>
      <c r="E30" s="101">
        <f t="shared" si="29"/>
        <v>0</v>
      </c>
      <c r="F30" s="101">
        <f t="shared" si="29"/>
        <v>0</v>
      </c>
      <c r="G30" s="101">
        <f t="shared" si="29"/>
        <v>203.35299999999998</v>
      </c>
      <c r="H30" s="101">
        <f t="shared" si="29"/>
        <v>232.3527</v>
      </c>
      <c r="I30" s="101">
        <f t="shared" si="29"/>
        <v>313.11</v>
      </c>
      <c r="J30" s="101">
        <f t="shared" si="29"/>
        <v>253.702</v>
      </c>
      <c r="K30" s="101">
        <f t="shared" si="29"/>
        <v>200.19152999999997</v>
      </c>
      <c r="L30" s="101">
        <f t="shared" si="29"/>
        <v>191.71303000000006</v>
      </c>
      <c r="M30" s="101">
        <f>M29-M31-M32</f>
        <v>275.84019000000001</v>
      </c>
      <c r="N30" s="101">
        <f>N29-N31-N32</f>
        <v>222.44324</v>
      </c>
      <c r="O30" s="55">
        <f t="shared" ref="O30:BD30" si="30">N30</f>
        <v>222.44324</v>
      </c>
      <c r="P30" s="55">
        <f t="shared" si="30"/>
        <v>222.44324</v>
      </c>
      <c r="Q30" s="55">
        <f t="shared" si="30"/>
        <v>222.44324</v>
      </c>
      <c r="R30" s="55">
        <f t="shared" si="30"/>
        <v>222.44324</v>
      </c>
      <c r="S30" s="55">
        <f t="shared" si="30"/>
        <v>222.44324</v>
      </c>
      <c r="T30" s="55">
        <f t="shared" si="30"/>
        <v>222.44324</v>
      </c>
      <c r="U30" s="55">
        <f t="shared" si="30"/>
        <v>222.44324</v>
      </c>
      <c r="V30" s="55">
        <f t="shared" si="30"/>
        <v>222.44324</v>
      </c>
      <c r="W30" s="55">
        <f t="shared" si="30"/>
        <v>222.44324</v>
      </c>
      <c r="X30" s="55">
        <f t="shared" si="30"/>
        <v>222.44324</v>
      </c>
      <c r="Y30" s="55">
        <f t="shared" si="30"/>
        <v>222.44324</v>
      </c>
      <c r="Z30" s="55">
        <f t="shared" si="30"/>
        <v>222.44324</v>
      </c>
      <c r="AA30" s="55">
        <f t="shared" si="30"/>
        <v>222.44324</v>
      </c>
      <c r="AB30" s="55">
        <f t="shared" si="30"/>
        <v>222.44324</v>
      </c>
      <c r="AC30" s="55">
        <f t="shared" si="30"/>
        <v>222.44324</v>
      </c>
      <c r="AD30" s="55">
        <f t="shared" si="30"/>
        <v>222.44324</v>
      </c>
      <c r="AE30" s="55">
        <f t="shared" si="30"/>
        <v>222.44324</v>
      </c>
      <c r="AF30" s="55">
        <f t="shared" si="30"/>
        <v>222.44324</v>
      </c>
      <c r="AG30" s="55">
        <f t="shared" si="30"/>
        <v>222.44324</v>
      </c>
      <c r="AH30" s="55">
        <f t="shared" si="30"/>
        <v>222.44324</v>
      </c>
      <c r="AI30" s="55">
        <f t="shared" si="30"/>
        <v>222.44324</v>
      </c>
      <c r="AJ30" s="55">
        <f t="shared" si="30"/>
        <v>222.44324</v>
      </c>
      <c r="AK30" s="55">
        <f t="shared" si="30"/>
        <v>222.44324</v>
      </c>
      <c r="AL30" s="55">
        <f t="shared" si="30"/>
        <v>222.44324</v>
      </c>
      <c r="AM30" s="55">
        <f t="shared" si="30"/>
        <v>222.44324</v>
      </c>
      <c r="AN30" s="55">
        <f t="shared" si="30"/>
        <v>222.44324</v>
      </c>
      <c r="AO30" s="55">
        <f t="shared" si="30"/>
        <v>222.44324</v>
      </c>
      <c r="AP30" s="55">
        <f t="shared" si="30"/>
        <v>222.44324</v>
      </c>
      <c r="AQ30" s="55">
        <f t="shared" si="30"/>
        <v>222.44324</v>
      </c>
      <c r="AR30" s="55">
        <f t="shared" si="30"/>
        <v>222.44324</v>
      </c>
      <c r="AS30" s="55">
        <f t="shared" si="30"/>
        <v>222.44324</v>
      </c>
      <c r="AT30" s="55">
        <f t="shared" si="30"/>
        <v>222.44324</v>
      </c>
      <c r="AU30" s="55">
        <f t="shared" si="30"/>
        <v>222.44324</v>
      </c>
      <c r="AV30" s="55">
        <f t="shared" si="30"/>
        <v>222.44324</v>
      </c>
      <c r="AW30" s="55">
        <f t="shared" si="30"/>
        <v>222.44324</v>
      </c>
      <c r="AX30" s="55">
        <f t="shared" si="30"/>
        <v>222.44324</v>
      </c>
      <c r="AY30" s="55">
        <f t="shared" si="30"/>
        <v>222.44324</v>
      </c>
      <c r="AZ30" s="55">
        <f t="shared" si="30"/>
        <v>222.44324</v>
      </c>
      <c r="BA30" s="55">
        <f t="shared" si="30"/>
        <v>222.44324</v>
      </c>
      <c r="BB30" s="55">
        <f t="shared" si="30"/>
        <v>222.44324</v>
      </c>
      <c r="BC30" s="55">
        <f t="shared" si="30"/>
        <v>222.44324</v>
      </c>
      <c r="BD30" s="123">
        <f t="shared" si="30"/>
        <v>222.44324</v>
      </c>
    </row>
    <row r="31" spans="2:56" x14ac:dyDescent="0.3">
      <c r="B31" s="124" t="s">
        <v>132</v>
      </c>
      <c r="C31" s="80" t="s">
        <v>135</v>
      </c>
      <c r="D31" s="112">
        <f t="shared" ref="D31:L31" si="31">D29*D64</f>
        <v>0</v>
      </c>
      <c r="E31" s="112">
        <f t="shared" si="31"/>
        <v>0</v>
      </c>
      <c r="F31" s="112">
        <f t="shared" si="31"/>
        <v>0</v>
      </c>
      <c r="G31" s="112">
        <f t="shared" si="31"/>
        <v>134.34699999999998</v>
      </c>
      <c r="H31" s="112">
        <f t="shared" si="31"/>
        <v>143.4453</v>
      </c>
      <c r="I31" s="112">
        <f t="shared" si="31"/>
        <v>183.89</v>
      </c>
      <c r="J31" s="112">
        <f t="shared" si="31"/>
        <v>149.99799999999999</v>
      </c>
      <c r="K31" s="112">
        <f t="shared" si="31"/>
        <v>196.55546999999999</v>
      </c>
      <c r="L31" s="112">
        <f t="shared" si="31"/>
        <v>191.87496999999999</v>
      </c>
      <c r="M31" s="112">
        <f>M29*M64</f>
        <v>169.02080999999998</v>
      </c>
      <c r="N31" s="112">
        <f>N29*N64</f>
        <v>170.18076000000002</v>
      </c>
      <c r="O31" s="55">
        <f t="shared" ref="O31:BD31" si="32">N31</f>
        <v>170.18076000000002</v>
      </c>
      <c r="P31" s="55">
        <f t="shared" si="32"/>
        <v>170.18076000000002</v>
      </c>
      <c r="Q31" s="55">
        <f t="shared" si="32"/>
        <v>170.18076000000002</v>
      </c>
      <c r="R31" s="55">
        <f t="shared" si="32"/>
        <v>170.18076000000002</v>
      </c>
      <c r="S31" s="55">
        <f t="shared" si="32"/>
        <v>170.18076000000002</v>
      </c>
      <c r="T31" s="55">
        <f t="shared" si="32"/>
        <v>170.18076000000002</v>
      </c>
      <c r="U31" s="55">
        <f t="shared" si="32"/>
        <v>170.18076000000002</v>
      </c>
      <c r="V31" s="55">
        <f t="shared" si="32"/>
        <v>170.18076000000002</v>
      </c>
      <c r="W31" s="55">
        <f t="shared" si="32"/>
        <v>170.18076000000002</v>
      </c>
      <c r="X31" s="55">
        <f t="shared" si="32"/>
        <v>170.18076000000002</v>
      </c>
      <c r="Y31" s="55">
        <f t="shared" si="32"/>
        <v>170.18076000000002</v>
      </c>
      <c r="Z31" s="55">
        <f t="shared" si="32"/>
        <v>170.18076000000002</v>
      </c>
      <c r="AA31" s="55">
        <f t="shared" si="32"/>
        <v>170.18076000000002</v>
      </c>
      <c r="AB31" s="55">
        <f t="shared" si="32"/>
        <v>170.18076000000002</v>
      </c>
      <c r="AC31" s="55">
        <f t="shared" si="32"/>
        <v>170.18076000000002</v>
      </c>
      <c r="AD31" s="55">
        <f t="shared" si="32"/>
        <v>170.18076000000002</v>
      </c>
      <c r="AE31" s="55">
        <f t="shared" si="32"/>
        <v>170.18076000000002</v>
      </c>
      <c r="AF31" s="55">
        <f t="shared" si="32"/>
        <v>170.18076000000002</v>
      </c>
      <c r="AG31" s="55">
        <f t="shared" si="32"/>
        <v>170.18076000000002</v>
      </c>
      <c r="AH31" s="55">
        <f t="shared" si="32"/>
        <v>170.18076000000002</v>
      </c>
      <c r="AI31" s="55">
        <f t="shared" si="32"/>
        <v>170.18076000000002</v>
      </c>
      <c r="AJ31" s="55">
        <f t="shared" si="32"/>
        <v>170.18076000000002</v>
      </c>
      <c r="AK31" s="55">
        <f t="shared" si="32"/>
        <v>170.18076000000002</v>
      </c>
      <c r="AL31" s="55">
        <f t="shared" si="32"/>
        <v>170.18076000000002</v>
      </c>
      <c r="AM31" s="55">
        <f t="shared" si="32"/>
        <v>170.18076000000002</v>
      </c>
      <c r="AN31" s="55">
        <f t="shared" si="32"/>
        <v>170.18076000000002</v>
      </c>
      <c r="AO31" s="55">
        <f t="shared" si="32"/>
        <v>170.18076000000002</v>
      </c>
      <c r="AP31" s="55">
        <f t="shared" si="32"/>
        <v>170.18076000000002</v>
      </c>
      <c r="AQ31" s="55">
        <f t="shared" si="32"/>
        <v>170.18076000000002</v>
      </c>
      <c r="AR31" s="55">
        <f t="shared" si="32"/>
        <v>170.18076000000002</v>
      </c>
      <c r="AS31" s="55">
        <f t="shared" si="32"/>
        <v>170.18076000000002</v>
      </c>
      <c r="AT31" s="55">
        <f t="shared" si="32"/>
        <v>170.18076000000002</v>
      </c>
      <c r="AU31" s="55">
        <f t="shared" si="32"/>
        <v>170.18076000000002</v>
      </c>
      <c r="AV31" s="55">
        <f t="shared" si="32"/>
        <v>170.18076000000002</v>
      </c>
      <c r="AW31" s="55">
        <f t="shared" si="32"/>
        <v>170.18076000000002</v>
      </c>
      <c r="AX31" s="55">
        <f t="shared" si="32"/>
        <v>170.18076000000002</v>
      </c>
      <c r="AY31" s="55">
        <f t="shared" si="32"/>
        <v>170.18076000000002</v>
      </c>
      <c r="AZ31" s="55">
        <f t="shared" si="32"/>
        <v>170.18076000000002</v>
      </c>
      <c r="BA31" s="55">
        <f t="shared" si="32"/>
        <v>170.18076000000002</v>
      </c>
      <c r="BB31" s="55">
        <f t="shared" si="32"/>
        <v>170.18076000000002</v>
      </c>
      <c r="BC31" s="55">
        <f t="shared" si="32"/>
        <v>170.18076000000002</v>
      </c>
      <c r="BD31" s="123">
        <f t="shared" si="32"/>
        <v>170.18076000000002</v>
      </c>
    </row>
    <row r="32" spans="2:56" x14ac:dyDescent="0.3">
      <c r="B32" s="124" t="s">
        <v>48</v>
      </c>
      <c r="C32" s="80" t="s">
        <v>49</v>
      </c>
      <c r="D32" s="112">
        <f>BD!D91</f>
        <v>0</v>
      </c>
      <c r="E32" s="112">
        <f>BD!E91</f>
        <v>0</v>
      </c>
      <c r="F32" s="112">
        <f>BD!F91</f>
        <v>0</v>
      </c>
      <c r="G32" s="112">
        <f>BD!G91</f>
        <v>25.4</v>
      </c>
      <c r="H32" s="112">
        <f>BD!H91</f>
        <v>11.891999999999999</v>
      </c>
      <c r="I32" s="112">
        <f>BD!I91</f>
        <v>0</v>
      </c>
      <c r="J32" s="112">
        <f>BD!J91</f>
        <v>1.7</v>
      </c>
      <c r="K32" s="112">
        <f>BD!K91</f>
        <v>134.48400000000001</v>
      </c>
      <c r="L32" s="112">
        <f>BD!L91</f>
        <v>134.99299999999999</v>
      </c>
      <c r="M32" s="112">
        <f>BD!M91</f>
        <v>11.952</v>
      </c>
      <c r="N32" s="112">
        <f>BD!N91</f>
        <v>67.323999999999998</v>
      </c>
      <c r="O32" s="55">
        <f t="shared" ref="O32:BD32" si="33">N32</f>
        <v>67.323999999999998</v>
      </c>
      <c r="P32" s="55">
        <f t="shared" si="33"/>
        <v>67.323999999999998</v>
      </c>
      <c r="Q32" s="55">
        <f t="shared" si="33"/>
        <v>67.323999999999998</v>
      </c>
      <c r="R32" s="55">
        <f t="shared" si="33"/>
        <v>67.323999999999998</v>
      </c>
      <c r="S32" s="55">
        <f t="shared" si="33"/>
        <v>67.323999999999998</v>
      </c>
      <c r="T32" s="55">
        <f t="shared" si="33"/>
        <v>67.323999999999998</v>
      </c>
      <c r="U32" s="55">
        <f t="shared" si="33"/>
        <v>67.323999999999998</v>
      </c>
      <c r="V32" s="55">
        <f t="shared" si="33"/>
        <v>67.323999999999998</v>
      </c>
      <c r="W32" s="55">
        <f t="shared" si="33"/>
        <v>67.323999999999998</v>
      </c>
      <c r="X32" s="55">
        <f t="shared" si="33"/>
        <v>67.323999999999998</v>
      </c>
      <c r="Y32" s="55">
        <f t="shared" si="33"/>
        <v>67.323999999999998</v>
      </c>
      <c r="Z32" s="55">
        <f t="shared" si="33"/>
        <v>67.323999999999998</v>
      </c>
      <c r="AA32" s="55">
        <f t="shared" si="33"/>
        <v>67.323999999999998</v>
      </c>
      <c r="AB32" s="55">
        <f t="shared" si="33"/>
        <v>67.323999999999998</v>
      </c>
      <c r="AC32" s="55">
        <f t="shared" si="33"/>
        <v>67.323999999999998</v>
      </c>
      <c r="AD32" s="55">
        <f t="shared" si="33"/>
        <v>67.323999999999998</v>
      </c>
      <c r="AE32" s="55">
        <f t="shared" si="33"/>
        <v>67.323999999999998</v>
      </c>
      <c r="AF32" s="55">
        <f t="shared" si="33"/>
        <v>67.323999999999998</v>
      </c>
      <c r="AG32" s="55">
        <f t="shared" si="33"/>
        <v>67.323999999999998</v>
      </c>
      <c r="AH32" s="55">
        <f t="shared" si="33"/>
        <v>67.323999999999998</v>
      </c>
      <c r="AI32" s="55">
        <f t="shared" si="33"/>
        <v>67.323999999999998</v>
      </c>
      <c r="AJ32" s="55">
        <f t="shared" si="33"/>
        <v>67.323999999999998</v>
      </c>
      <c r="AK32" s="55">
        <f t="shared" si="33"/>
        <v>67.323999999999998</v>
      </c>
      <c r="AL32" s="55">
        <f t="shared" si="33"/>
        <v>67.323999999999998</v>
      </c>
      <c r="AM32" s="55">
        <f t="shared" si="33"/>
        <v>67.323999999999998</v>
      </c>
      <c r="AN32" s="55">
        <f t="shared" si="33"/>
        <v>67.323999999999998</v>
      </c>
      <c r="AO32" s="55">
        <f t="shared" si="33"/>
        <v>67.323999999999998</v>
      </c>
      <c r="AP32" s="55">
        <f t="shared" si="33"/>
        <v>67.323999999999998</v>
      </c>
      <c r="AQ32" s="55">
        <f t="shared" si="33"/>
        <v>67.323999999999998</v>
      </c>
      <c r="AR32" s="55">
        <f t="shared" si="33"/>
        <v>67.323999999999998</v>
      </c>
      <c r="AS32" s="55">
        <f t="shared" si="33"/>
        <v>67.323999999999998</v>
      </c>
      <c r="AT32" s="55">
        <f t="shared" si="33"/>
        <v>67.323999999999998</v>
      </c>
      <c r="AU32" s="55">
        <f t="shared" si="33"/>
        <v>67.323999999999998</v>
      </c>
      <c r="AV32" s="55">
        <f t="shared" si="33"/>
        <v>67.323999999999998</v>
      </c>
      <c r="AW32" s="55">
        <f t="shared" si="33"/>
        <v>67.323999999999998</v>
      </c>
      <c r="AX32" s="55">
        <f t="shared" si="33"/>
        <v>67.323999999999998</v>
      </c>
      <c r="AY32" s="55">
        <f t="shared" si="33"/>
        <v>67.323999999999998</v>
      </c>
      <c r="AZ32" s="55">
        <f t="shared" si="33"/>
        <v>67.323999999999998</v>
      </c>
      <c r="BA32" s="55">
        <f t="shared" si="33"/>
        <v>67.323999999999998</v>
      </c>
      <c r="BB32" s="55">
        <f t="shared" si="33"/>
        <v>67.323999999999998</v>
      </c>
      <c r="BC32" s="55">
        <f t="shared" si="33"/>
        <v>67.323999999999998</v>
      </c>
      <c r="BD32" s="123">
        <f t="shared" si="33"/>
        <v>67.323999999999998</v>
      </c>
    </row>
    <row r="33" spans="2:56" x14ac:dyDescent="0.3">
      <c r="B33" s="111" t="s">
        <v>136</v>
      </c>
      <c r="C33" s="19" t="s">
        <v>131</v>
      </c>
      <c r="D33" s="112">
        <f>BD!D94+BD!D95</f>
        <v>0</v>
      </c>
      <c r="E33" s="112">
        <f>BD!E94+BD!E95</f>
        <v>0</v>
      </c>
      <c r="F33" s="112">
        <f>BD!F94+BD!F95</f>
        <v>0</v>
      </c>
      <c r="G33" s="112">
        <f>BD!G94+BD!G95</f>
        <v>63.8</v>
      </c>
      <c r="H33" s="112">
        <f>BD!H94+BD!H95</f>
        <v>59.1</v>
      </c>
      <c r="I33" s="112">
        <f>BD!I94+BD!I95</f>
        <v>65.2</v>
      </c>
      <c r="J33" s="112">
        <f>BD!J94+BD!J95</f>
        <v>63.7</v>
      </c>
      <c r="K33" s="112">
        <f>BD!K94+BD!K95</f>
        <v>72.382000000000005</v>
      </c>
      <c r="L33" s="112">
        <f>BD!L94+BD!L95</f>
        <v>68.388999999999996</v>
      </c>
      <c r="M33" s="112">
        <f>BD!M94+BD!M95</f>
        <v>73.244</v>
      </c>
      <c r="N33" s="112">
        <f>BD!N94+BD!N95</f>
        <v>99.275000000000006</v>
      </c>
      <c r="O33" s="55">
        <f t="shared" ref="O33:BD33" si="34">N33</f>
        <v>99.275000000000006</v>
      </c>
      <c r="P33" s="55">
        <f t="shared" si="34"/>
        <v>99.275000000000006</v>
      </c>
      <c r="Q33" s="55">
        <f t="shared" si="34"/>
        <v>99.275000000000006</v>
      </c>
      <c r="R33" s="55">
        <f t="shared" si="34"/>
        <v>99.275000000000006</v>
      </c>
      <c r="S33" s="55">
        <f t="shared" si="34"/>
        <v>99.275000000000006</v>
      </c>
      <c r="T33" s="55">
        <f t="shared" si="34"/>
        <v>99.275000000000006</v>
      </c>
      <c r="U33" s="55">
        <f t="shared" si="34"/>
        <v>99.275000000000006</v>
      </c>
      <c r="V33" s="55">
        <f t="shared" si="34"/>
        <v>99.275000000000006</v>
      </c>
      <c r="W33" s="55">
        <f t="shared" si="34"/>
        <v>99.275000000000006</v>
      </c>
      <c r="X33" s="55">
        <f t="shared" si="34"/>
        <v>99.275000000000006</v>
      </c>
      <c r="Y33" s="55">
        <f t="shared" si="34"/>
        <v>99.275000000000006</v>
      </c>
      <c r="Z33" s="55">
        <f t="shared" si="34"/>
        <v>99.275000000000006</v>
      </c>
      <c r="AA33" s="55">
        <f t="shared" si="34"/>
        <v>99.275000000000006</v>
      </c>
      <c r="AB33" s="55">
        <f t="shared" si="34"/>
        <v>99.275000000000006</v>
      </c>
      <c r="AC33" s="55">
        <f t="shared" si="34"/>
        <v>99.275000000000006</v>
      </c>
      <c r="AD33" s="55">
        <f t="shared" si="34"/>
        <v>99.275000000000006</v>
      </c>
      <c r="AE33" s="55">
        <f t="shared" si="34"/>
        <v>99.275000000000006</v>
      </c>
      <c r="AF33" s="55">
        <f t="shared" si="34"/>
        <v>99.275000000000006</v>
      </c>
      <c r="AG33" s="55">
        <f t="shared" si="34"/>
        <v>99.275000000000006</v>
      </c>
      <c r="AH33" s="55">
        <f t="shared" si="34"/>
        <v>99.275000000000006</v>
      </c>
      <c r="AI33" s="55">
        <f t="shared" si="34"/>
        <v>99.275000000000006</v>
      </c>
      <c r="AJ33" s="55">
        <f t="shared" si="34"/>
        <v>99.275000000000006</v>
      </c>
      <c r="AK33" s="55">
        <f t="shared" si="34"/>
        <v>99.275000000000006</v>
      </c>
      <c r="AL33" s="55">
        <f t="shared" si="34"/>
        <v>99.275000000000006</v>
      </c>
      <c r="AM33" s="55">
        <f t="shared" si="34"/>
        <v>99.275000000000006</v>
      </c>
      <c r="AN33" s="55">
        <f t="shared" si="34"/>
        <v>99.275000000000006</v>
      </c>
      <c r="AO33" s="55">
        <f t="shared" si="34"/>
        <v>99.275000000000006</v>
      </c>
      <c r="AP33" s="55">
        <f t="shared" si="34"/>
        <v>99.275000000000006</v>
      </c>
      <c r="AQ33" s="55">
        <f t="shared" si="34"/>
        <v>99.275000000000006</v>
      </c>
      <c r="AR33" s="55">
        <f t="shared" si="34"/>
        <v>99.275000000000006</v>
      </c>
      <c r="AS33" s="55">
        <f t="shared" si="34"/>
        <v>99.275000000000006</v>
      </c>
      <c r="AT33" s="55">
        <f t="shared" si="34"/>
        <v>99.275000000000006</v>
      </c>
      <c r="AU33" s="55">
        <f t="shared" si="34"/>
        <v>99.275000000000006</v>
      </c>
      <c r="AV33" s="55">
        <f t="shared" si="34"/>
        <v>99.275000000000006</v>
      </c>
      <c r="AW33" s="55">
        <f t="shared" si="34"/>
        <v>99.275000000000006</v>
      </c>
      <c r="AX33" s="55">
        <f t="shared" si="34"/>
        <v>99.275000000000006</v>
      </c>
      <c r="AY33" s="55">
        <f t="shared" si="34"/>
        <v>99.275000000000006</v>
      </c>
      <c r="AZ33" s="55">
        <f t="shared" si="34"/>
        <v>99.275000000000006</v>
      </c>
      <c r="BA33" s="55">
        <f t="shared" si="34"/>
        <v>99.275000000000006</v>
      </c>
      <c r="BB33" s="55">
        <f t="shared" si="34"/>
        <v>99.275000000000006</v>
      </c>
      <c r="BC33" s="55">
        <f t="shared" si="34"/>
        <v>99.275000000000006</v>
      </c>
      <c r="BD33" s="123">
        <f t="shared" si="34"/>
        <v>99.275000000000006</v>
      </c>
    </row>
    <row r="34" spans="2:56" x14ac:dyDescent="0.3">
      <c r="B34" s="111" t="s">
        <v>50</v>
      </c>
      <c r="C34" s="19" t="s">
        <v>51</v>
      </c>
      <c r="D34" s="112">
        <f>BD!D97</f>
        <v>0</v>
      </c>
      <c r="E34" s="112">
        <f>BD!E97</f>
        <v>0</v>
      </c>
      <c r="F34" s="112">
        <f>BD!F97</f>
        <v>0</v>
      </c>
      <c r="G34" s="112">
        <f>BD!G97</f>
        <v>20</v>
      </c>
      <c r="H34" s="112">
        <f>BD!H97</f>
        <v>0</v>
      </c>
      <c r="I34" s="112">
        <f>BD!I97</f>
        <v>0</v>
      </c>
      <c r="J34" s="112">
        <f>BD!J97</f>
        <v>0</v>
      </c>
      <c r="K34" s="112">
        <f>BD!K97</f>
        <v>0</v>
      </c>
      <c r="L34" s="112">
        <f>BD!L97</f>
        <v>0</v>
      </c>
      <c r="M34" s="112">
        <f>BD!M97</f>
        <v>0</v>
      </c>
      <c r="N34" s="112">
        <f>BD!N97</f>
        <v>0</v>
      </c>
      <c r="O34" s="55">
        <f t="shared" ref="O34:BD34" si="35">N34</f>
        <v>0</v>
      </c>
      <c r="P34" s="55">
        <f t="shared" si="35"/>
        <v>0</v>
      </c>
      <c r="Q34" s="55">
        <f t="shared" si="35"/>
        <v>0</v>
      </c>
      <c r="R34" s="55">
        <f t="shared" si="35"/>
        <v>0</v>
      </c>
      <c r="S34" s="55">
        <f t="shared" si="35"/>
        <v>0</v>
      </c>
      <c r="T34" s="55">
        <f t="shared" si="35"/>
        <v>0</v>
      </c>
      <c r="U34" s="55">
        <f t="shared" si="35"/>
        <v>0</v>
      </c>
      <c r="V34" s="55">
        <f t="shared" si="35"/>
        <v>0</v>
      </c>
      <c r="W34" s="55">
        <f t="shared" si="35"/>
        <v>0</v>
      </c>
      <c r="X34" s="55">
        <f t="shared" si="35"/>
        <v>0</v>
      </c>
      <c r="Y34" s="55">
        <f t="shared" si="35"/>
        <v>0</v>
      </c>
      <c r="Z34" s="55">
        <f t="shared" si="35"/>
        <v>0</v>
      </c>
      <c r="AA34" s="55">
        <f t="shared" si="35"/>
        <v>0</v>
      </c>
      <c r="AB34" s="55">
        <f t="shared" si="35"/>
        <v>0</v>
      </c>
      <c r="AC34" s="55">
        <f t="shared" si="35"/>
        <v>0</v>
      </c>
      <c r="AD34" s="55">
        <f t="shared" si="35"/>
        <v>0</v>
      </c>
      <c r="AE34" s="55">
        <f t="shared" si="35"/>
        <v>0</v>
      </c>
      <c r="AF34" s="55">
        <f t="shared" si="35"/>
        <v>0</v>
      </c>
      <c r="AG34" s="55">
        <f t="shared" si="35"/>
        <v>0</v>
      </c>
      <c r="AH34" s="55">
        <f t="shared" si="35"/>
        <v>0</v>
      </c>
      <c r="AI34" s="55">
        <f t="shared" si="35"/>
        <v>0</v>
      </c>
      <c r="AJ34" s="55">
        <f t="shared" si="35"/>
        <v>0</v>
      </c>
      <c r="AK34" s="55">
        <f t="shared" si="35"/>
        <v>0</v>
      </c>
      <c r="AL34" s="55">
        <f t="shared" si="35"/>
        <v>0</v>
      </c>
      <c r="AM34" s="55">
        <f t="shared" si="35"/>
        <v>0</v>
      </c>
      <c r="AN34" s="55">
        <f t="shared" si="35"/>
        <v>0</v>
      </c>
      <c r="AO34" s="55">
        <f t="shared" si="35"/>
        <v>0</v>
      </c>
      <c r="AP34" s="55">
        <f t="shared" si="35"/>
        <v>0</v>
      </c>
      <c r="AQ34" s="55">
        <f t="shared" si="35"/>
        <v>0</v>
      </c>
      <c r="AR34" s="55">
        <f t="shared" si="35"/>
        <v>0</v>
      </c>
      <c r="AS34" s="55">
        <f t="shared" si="35"/>
        <v>0</v>
      </c>
      <c r="AT34" s="55">
        <f t="shared" si="35"/>
        <v>0</v>
      </c>
      <c r="AU34" s="55">
        <f t="shared" si="35"/>
        <v>0</v>
      </c>
      <c r="AV34" s="55">
        <f t="shared" si="35"/>
        <v>0</v>
      </c>
      <c r="AW34" s="55">
        <f t="shared" si="35"/>
        <v>0</v>
      </c>
      <c r="AX34" s="55">
        <f t="shared" si="35"/>
        <v>0</v>
      </c>
      <c r="AY34" s="55">
        <f t="shared" si="35"/>
        <v>0</v>
      </c>
      <c r="AZ34" s="55">
        <f t="shared" si="35"/>
        <v>0</v>
      </c>
      <c r="BA34" s="55">
        <f t="shared" si="35"/>
        <v>0</v>
      </c>
      <c r="BB34" s="55">
        <f t="shared" si="35"/>
        <v>0</v>
      </c>
      <c r="BC34" s="55">
        <f t="shared" si="35"/>
        <v>0</v>
      </c>
      <c r="BD34" s="123">
        <f t="shared" si="35"/>
        <v>0</v>
      </c>
    </row>
    <row r="35" spans="2:56" x14ac:dyDescent="0.3">
      <c r="B35" s="111" t="s">
        <v>52</v>
      </c>
      <c r="C35" s="19" t="s">
        <v>53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21">
        <f t="shared" ref="O35:BD35" si="36">N35+Dividendos+O130</f>
        <v>0</v>
      </c>
      <c r="P35" s="121">
        <f t="shared" si="36"/>
        <v>0</v>
      </c>
      <c r="Q35" s="121">
        <f t="shared" si="36"/>
        <v>0</v>
      </c>
      <c r="R35" s="121">
        <f t="shared" si="36"/>
        <v>0</v>
      </c>
      <c r="S35" s="121">
        <f t="shared" si="36"/>
        <v>0</v>
      </c>
      <c r="T35" s="121">
        <f t="shared" si="36"/>
        <v>83.670995449823351</v>
      </c>
      <c r="U35" s="121">
        <f t="shared" si="36"/>
        <v>92.977723756390077</v>
      </c>
      <c r="V35" s="121">
        <f t="shared" si="36"/>
        <v>101.61024829633604</v>
      </c>
      <c r="W35" s="121">
        <f t="shared" si="36"/>
        <v>110.65198806387806</v>
      </c>
      <c r="X35" s="121">
        <f t="shared" si="36"/>
        <v>120.11957805302632</v>
      </c>
      <c r="Y35" s="121">
        <f t="shared" si="36"/>
        <v>130.25616205682829</v>
      </c>
      <c r="Z35" s="121">
        <f t="shared" si="36"/>
        <v>141.00240708653305</v>
      </c>
      <c r="AA35" s="121">
        <f t="shared" si="36"/>
        <v>150.39253325992536</v>
      </c>
      <c r="AB35" s="121">
        <f t="shared" si="36"/>
        <v>160.47703265906313</v>
      </c>
      <c r="AC35" s="121">
        <f t="shared" si="36"/>
        <v>171.18603569894623</v>
      </c>
      <c r="AD35" s="121">
        <f t="shared" si="36"/>
        <v>182.55297312249138</v>
      </c>
      <c r="AE35" s="121">
        <f t="shared" si="36"/>
        <v>194.6329225610055</v>
      </c>
      <c r="AF35" s="121">
        <f t="shared" si="36"/>
        <v>207.46791646416858</v>
      </c>
      <c r="AG35" s="121">
        <f t="shared" si="36"/>
        <v>221.11497331184182</v>
      </c>
      <c r="AH35" s="121">
        <f t="shared" si="36"/>
        <v>235.63261370856921</v>
      </c>
      <c r="AI35" s="121">
        <f t="shared" si="36"/>
        <v>251.08005383798439</v>
      </c>
      <c r="AJ35" s="121">
        <f t="shared" si="36"/>
        <v>267.52364909494219</v>
      </c>
      <c r="AK35" s="121">
        <f t="shared" si="36"/>
        <v>285.03322011722355</v>
      </c>
      <c r="AL35" s="121">
        <f t="shared" si="36"/>
        <v>303.68287946919219</v>
      </c>
      <c r="AM35" s="121">
        <f t="shared" si="36"/>
        <v>323.55259848969411</v>
      </c>
      <c r="AN35" s="121">
        <f t="shared" si="36"/>
        <v>344.72754836885315</v>
      </c>
      <c r="AO35" s="121">
        <f t="shared" si="36"/>
        <v>367.29880706651443</v>
      </c>
      <c r="AP35" s="121">
        <f t="shared" si="36"/>
        <v>391.36400613650073</v>
      </c>
      <c r="AQ35" s="121">
        <f t="shared" si="36"/>
        <v>417.02755712067585</v>
      </c>
      <c r="AR35" s="121">
        <f t="shared" si="36"/>
        <v>444.40127145020142</v>
      </c>
      <c r="AS35" s="121">
        <f t="shared" si="36"/>
        <v>473.6049349431155</v>
      </c>
      <c r="AT35" s="121">
        <f t="shared" si="36"/>
        <v>504.31922191350526</v>
      </c>
      <c r="AU35" s="121">
        <f t="shared" si="36"/>
        <v>526.84348540723806</v>
      </c>
      <c r="AV35" s="121">
        <f t="shared" si="36"/>
        <v>551.8605644268855</v>
      </c>
      <c r="AW35" s="121">
        <f t="shared" si="36"/>
        <v>578.24519342909798</v>
      </c>
      <c r="AX35" s="121">
        <f t="shared" si="36"/>
        <v>606.01913232406707</v>
      </c>
      <c r="AY35" s="121">
        <f t="shared" si="36"/>
        <v>635.2296729774323</v>
      </c>
      <c r="AZ35" s="121">
        <f t="shared" si="36"/>
        <v>665.92842696187495</v>
      </c>
      <c r="BA35" s="121">
        <f t="shared" si="36"/>
        <v>698.17091167354624</v>
      </c>
      <c r="BB35" s="121">
        <f t="shared" si="36"/>
        <v>732.0165464506058</v>
      </c>
      <c r="BC35" s="121">
        <f t="shared" si="36"/>
        <v>767.52867564191911</v>
      </c>
      <c r="BD35" s="121">
        <f t="shared" si="36"/>
        <v>804.77461034149815</v>
      </c>
    </row>
    <row r="36" spans="2:56" x14ac:dyDescent="0.3">
      <c r="B36" s="111" t="s">
        <v>137</v>
      </c>
      <c r="C36" s="19" t="s">
        <v>138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55">
        <f t="shared" ref="O36:BD36" si="37">N36</f>
        <v>0</v>
      </c>
      <c r="P36" s="55">
        <f t="shared" si="37"/>
        <v>0</v>
      </c>
      <c r="Q36" s="55">
        <f t="shared" si="37"/>
        <v>0</v>
      </c>
      <c r="R36" s="55">
        <f t="shared" si="37"/>
        <v>0</v>
      </c>
      <c r="S36" s="55">
        <f t="shared" si="37"/>
        <v>0</v>
      </c>
      <c r="T36" s="55">
        <f t="shared" si="37"/>
        <v>0</v>
      </c>
      <c r="U36" s="55">
        <f t="shared" si="37"/>
        <v>0</v>
      </c>
      <c r="V36" s="55">
        <f t="shared" si="37"/>
        <v>0</v>
      </c>
      <c r="W36" s="55">
        <f t="shared" si="37"/>
        <v>0</v>
      </c>
      <c r="X36" s="55">
        <f t="shared" si="37"/>
        <v>0</v>
      </c>
      <c r="Y36" s="55">
        <f t="shared" si="37"/>
        <v>0</v>
      </c>
      <c r="Z36" s="55">
        <f t="shared" si="37"/>
        <v>0</v>
      </c>
      <c r="AA36" s="55">
        <f t="shared" si="37"/>
        <v>0</v>
      </c>
      <c r="AB36" s="55">
        <f t="shared" si="37"/>
        <v>0</v>
      </c>
      <c r="AC36" s="55">
        <f t="shared" si="37"/>
        <v>0</v>
      </c>
      <c r="AD36" s="55">
        <f t="shared" si="37"/>
        <v>0</v>
      </c>
      <c r="AE36" s="55">
        <f t="shared" si="37"/>
        <v>0</v>
      </c>
      <c r="AF36" s="55">
        <f t="shared" si="37"/>
        <v>0</v>
      </c>
      <c r="AG36" s="55">
        <f t="shared" si="37"/>
        <v>0</v>
      </c>
      <c r="AH36" s="55">
        <f t="shared" si="37"/>
        <v>0</v>
      </c>
      <c r="AI36" s="55">
        <f t="shared" si="37"/>
        <v>0</v>
      </c>
      <c r="AJ36" s="55">
        <f t="shared" si="37"/>
        <v>0</v>
      </c>
      <c r="AK36" s="55">
        <f t="shared" si="37"/>
        <v>0</v>
      </c>
      <c r="AL36" s="55">
        <f t="shared" si="37"/>
        <v>0</v>
      </c>
      <c r="AM36" s="55">
        <f t="shared" si="37"/>
        <v>0</v>
      </c>
      <c r="AN36" s="55">
        <f t="shared" si="37"/>
        <v>0</v>
      </c>
      <c r="AO36" s="55">
        <f t="shared" si="37"/>
        <v>0</v>
      </c>
      <c r="AP36" s="55">
        <f t="shared" si="37"/>
        <v>0</v>
      </c>
      <c r="AQ36" s="55">
        <f t="shared" si="37"/>
        <v>0</v>
      </c>
      <c r="AR36" s="55">
        <f t="shared" si="37"/>
        <v>0</v>
      </c>
      <c r="AS36" s="55">
        <f t="shared" si="37"/>
        <v>0</v>
      </c>
      <c r="AT36" s="55">
        <f t="shared" si="37"/>
        <v>0</v>
      </c>
      <c r="AU36" s="55">
        <f t="shared" si="37"/>
        <v>0</v>
      </c>
      <c r="AV36" s="55">
        <f t="shared" si="37"/>
        <v>0</v>
      </c>
      <c r="AW36" s="55">
        <f t="shared" si="37"/>
        <v>0</v>
      </c>
      <c r="AX36" s="55">
        <f t="shared" si="37"/>
        <v>0</v>
      </c>
      <c r="AY36" s="55">
        <f t="shared" si="37"/>
        <v>0</v>
      </c>
      <c r="AZ36" s="55">
        <f t="shared" si="37"/>
        <v>0</v>
      </c>
      <c r="BA36" s="55">
        <f t="shared" si="37"/>
        <v>0</v>
      </c>
      <c r="BB36" s="55">
        <f t="shared" si="37"/>
        <v>0</v>
      </c>
      <c r="BC36" s="55">
        <f t="shared" si="37"/>
        <v>0</v>
      </c>
      <c r="BD36" s="123">
        <f t="shared" si="37"/>
        <v>0</v>
      </c>
    </row>
    <row r="37" spans="2:56" x14ac:dyDescent="0.3">
      <c r="B37" s="111" t="s">
        <v>143</v>
      </c>
      <c r="C37" s="19" t="s">
        <v>144</v>
      </c>
      <c r="D37" s="112">
        <f>BD!D98+BD!D99+BD!D100</f>
        <v>0</v>
      </c>
      <c r="E37" s="112">
        <f>BD!E98+BD!E99+BD!E100</f>
        <v>0</v>
      </c>
      <c r="F37" s="112">
        <f>BD!F98+BD!F99+BD!F100</f>
        <v>0</v>
      </c>
      <c r="G37" s="112">
        <f>BD!G98+BD!G99+BD!G100</f>
        <v>61.699999999999996</v>
      </c>
      <c r="H37" s="112">
        <f>BD!H98+BD!H99+BD!H100</f>
        <v>94.447000000000003</v>
      </c>
      <c r="I37" s="112">
        <f>BD!I98+BD!I99+BD!I100</f>
        <v>98.6</v>
      </c>
      <c r="J37" s="112">
        <f>BD!J98+BD!J99+BD!J100</f>
        <v>80</v>
      </c>
      <c r="K37" s="112">
        <f>BD!K98+BD!K99+BD!K100</f>
        <v>94.926999999999992</v>
      </c>
      <c r="L37" s="112">
        <f>BD!L98+BD!L99+BD!L100</f>
        <v>85.540999999999997</v>
      </c>
      <c r="M37" s="112">
        <f>BD!M98+BD!M99+BD!M100</f>
        <v>69.558999999999997</v>
      </c>
      <c r="N37" s="112">
        <f>BD!N98+BD!N99+BD!N100</f>
        <v>85.894000000000005</v>
      </c>
      <c r="O37" s="55">
        <f t="shared" ref="O37:BD37" si="38">N37</f>
        <v>85.894000000000005</v>
      </c>
      <c r="P37" s="55">
        <f t="shared" si="38"/>
        <v>85.894000000000005</v>
      </c>
      <c r="Q37" s="55">
        <f t="shared" si="38"/>
        <v>85.894000000000005</v>
      </c>
      <c r="R37" s="55">
        <f t="shared" si="38"/>
        <v>85.894000000000005</v>
      </c>
      <c r="S37" s="55">
        <f t="shared" si="38"/>
        <v>85.894000000000005</v>
      </c>
      <c r="T37" s="55">
        <f t="shared" si="38"/>
        <v>85.894000000000005</v>
      </c>
      <c r="U37" s="55">
        <f t="shared" si="38"/>
        <v>85.894000000000005</v>
      </c>
      <c r="V37" s="55">
        <f t="shared" si="38"/>
        <v>85.894000000000005</v>
      </c>
      <c r="W37" s="55">
        <f t="shared" si="38"/>
        <v>85.894000000000005</v>
      </c>
      <c r="X37" s="55">
        <f t="shared" si="38"/>
        <v>85.894000000000005</v>
      </c>
      <c r="Y37" s="55">
        <f t="shared" si="38"/>
        <v>85.894000000000005</v>
      </c>
      <c r="Z37" s="55">
        <f t="shared" si="38"/>
        <v>85.894000000000005</v>
      </c>
      <c r="AA37" s="55">
        <f t="shared" si="38"/>
        <v>85.894000000000005</v>
      </c>
      <c r="AB37" s="55">
        <f t="shared" si="38"/>
        <v>85.894000000000005</v>
      </c>
      <c r="AC37" s="55">
        <f t="shared" si="38"/>
        <v>85.894000000000005</v>
      </c>
      <c r="AD37" s="55">
        <f t="shared" si="38"/>
        <v>85.894000000000005</v>
      </c>
      <c r="AE37" s="55">
        <f t="shared" si="38"/>
        <v>85.894000000000005</v>
      </c>
      <c r="AF37" s="55">
        <f t="shared" si="38"/>
        <v>85.894000000000005</v>
      </c>
      <c r="AG37" s="55">
        <f t="shared" si="38"/>
        <v>85.894000000000005</v>
      </c>
      <c r="AH37" s="55">
        <f t="shared" si="38"/>
        <v>85.894000000000005</v>
      </c>
      <c r="AI37" s="55">
        <f t="shared" si="38"/>
        <v>85.894000000000005</v>
      </c>
      <c r="AJ37" s="55">
        <f t="shared" si="38"/>
        <v>85.894000000000005</v>
      </c>
      <c r="AK37" s="55">
        <f t="shared" si="38"/>
        <v>85.894000000000005</v>
      </c>
      <c r="AL37" s="55">
        <f t="shared" si="38"/>
        <v>85.894000000000005</v>
      </c>
      <c r="AM37" s="55">
        <f t="shared" si="38"/>
        <v>85.894000000000005</v>
      </c>
      <c r="AN37" s="55">
        <f t="shared" si="38"/>
        <v>85.894000000000005</v>
      </c>
      <c r="AO37" s="55">
        <f t="shared" si="38"/>
        <v>85.894000000000005</v>
      </c>
      <c r="AP37" s="55">
        <f t="shared" si="38"/>
        <v>85.894000000000005</v>
      </c>
      <c r="AQ37" s="55">
        <f t="shared" si="38"/>
        <v>85.894000000000005</v>
      </c>
      <c r="AR37" s="55">
        <f t="shared" si="38"/>
        <v>85.894000000000005</v>
      </c>
      <c r="AS37" s="55">
        <f t="shared" si="38"/>
        <v>85.894000000000005</v>
      </c>
      <c r="AT37" s="55">
        <f t="shared" si="38"/>
        <v>85.894000000000005</v>
      </c>
      <c r="AU37" s="55">
        <f t="shared" si="38"/>
        <v>85.894000000000005</v>
      </c>
      <c r="AV37" s="55">
        <f t="shared" si="38"/>
        <v>85.894000000000005</v>
      </c>
      <c r="AW37" s="55">
        <f t="shared" si="38"/>
        <v>85.894000000000005</v>
      </c>
      <c r="AX37" s="55">
        <f t="shared" si="38"/>
        <v>85.894000000000005</v>
      </c>
      <c r="AY37" s="55">
        <f t="shared" si="38"/>
        <v>85.894000000000005</v>
      </c>
      <c r="AZ37" s="55">
        <f t="shared" si="38"/>
        <v>85.894000000000005</v>
      </c>
      <c r="BA37" s="55">
        <f t="shared" si="38"/>
        <v>85.894000000000005</v>
      </c>
      <c r="BB37" s="55">
        <f t="shared" si="38"/>
        <v>85.894000000000005</v>
      </c>
      <c r="BC37" s="55">
        <f t="shared" si="38"/>
        <v>85.894000000000005</v>
      </c>
      <c r="BD37" s="123">
        <f t="shared" si="38"/>
        <v>85.894000000000005</v>
      </c>
    </row>
    <row r="38" spans="2:56" x14ac:dyDescent="0.3">
      <c r="B38" s="137" t="s">
        <v>60</v>
      </c>
      <c r="C38" s="138" t="s">
        <v>61</v>
      </c>
      <c r="D38" s="143">
        <f t="shared" ref="D38:L38" si="39">D39+D43+D44+D45</f>
        <v>0</v>
      </c>
      <c r="E38" s="143">
        <f t="shared" si="39"/>
        <v>0</v>
      </c>
      <c r="F38" s="143">
        <f t="shared" si="39"/>
        <v>0</v>
      </c>
      <c r="G38" s="143">
        <f t="shared" si="39"/>
        <v>733.29999999999984</v>
      </c>
      <c r="H38" s="143">
        <f t="shared" si="39"/>
        <v>522.71600000000001</v>
      </c>
      <c r="I38" s="143">
        <f t="shared" si="39"/>
        <v>436.3</v>
      </c>
      <c r="J38" s="143">
        <f t="shared" si="39"/>
        <v>666.59999999999991</v>
      </c>
      <c r="K38" s="143">
        <f t="shared" si="39"/>
        <v>668.67200000000003</v>
      </c>
      <c r="L38" s="143">
        <f t="shared" si="39"/>
        <v>785.31799999999998</v>
      </c>
      <c r="M38" s="143">
        <f>M39+M43+M44+M45</f>
        <v>809.03</v>
      </c>
      <c r="N38" s="143">
        <f>N39+N43+N44+N45</f>
        <v>938.66700000000003</v>
      </c>
      <c r="O38" s="143">
        <f t="shared" ref="O38:BD38" si="40">O39+O43+O44+O45</f>
        <v>938.66700000000003</v>
      </c>
      <c r="P38" s="143">
        <f t="shared" si="40"/>
        <v>938.66700000000003</v>
      </c>
      <c r="Q38" s="143">
        <f t="shared" si="40"/>
        <v>938.66700000000003</v>
      </c>
      <c r="R38" s="143">
        <f t="shared" si="40"/>
        <v>938.66700000000003</v>
      </c>
      <c r="S38" s="143">
        <f t="shared" si="40"/>
        <v>938.66700000000003</v>
      </c>
      <c r="T38" s="143">
        <f t="shared" si="40"/>
        <v>938.66700000000003</v>
      </c>
      <c r="U38" s="143">
        <f t="shared" si="40"/>
        <v>938.66700000000003</v>
      </c>
      <c r="V38" s="143">
        <f t="shared" si="40"/>
        <v>938.66700000000003</v>
      </c>
      <c r="W38" s="143">
        <f t="shared" si="40"/>
        <v>938.66700000000003</v>
      </c>
      <c r="X38" s="143">
        <f t="shared" si="40"/>
        <v>938.66700000000003</v>
      </c>
      <c r="Y38" s="143">
        <f t="shared" si="40"/>
        <v>938.66700000000003</v>
      </c>
      <c r="Z38" s="143">
        <f t="shared" si="40"/>
        <v>938.66700000000003</v>
      </c>
      <c r="AA38" s="143">
        <f t="shared" si="40"/>
        <v>938.66700000000003</v>
      </c>
      <c r="AB38" s="143">
        <f t="shared" si="40"/>
        <v>938.66700000000003</v>
      </c>
      <c r="AC38" s="143">
        <f t="shared" si="40"/>
        <v>938.66700000000003</v>
      </c>
      <c r="AD38" s="143">
        <f t="shared" si="40"/>
        <v>938.66700000000003</v>
      </c>
      <c r="AE38" s="143">
        <f t="shared" si="40"/>
        <v>938.66700000000003</v>
      </c>
      <c r="AF38" s="143">
        <f t="shared" si="40"/>
        <v>938.66700000000003</v>
      </c>
      <c r="AG38" s="143">
        <f t="shared" si="40"/>
        <v>938.66700000000003</v>
      </c>
      <c r="AH38" s="143">
        <f t="shared" si="40"/>
        <v>938.66700000000003</v>
      </c>
      <c r="AI38" s="143">
        <f t="shared" si="40"/>
        <v>938.66700000000003</v>
      </c>
      <c r="AJ38" s="143">
        <f t="shared" si="40"/>
        <v>938.66700000000003</v>
      </c>
      <c r="AK38" s="143">
        <f t="shared" si="40"/>
        <v>938.66700000000003</v>
      </c>
      <c r="AL38" s="143">
        <f t="shared" si="40"/>
        <v>938.66700000000003</v>
      </c>
      <c r="AM38" s="143">
        <f t="shared" si="40"/>
        <v>938.66700000000003</v>
      </c>
      <c r="AN38" s="143">
        <f t="shared" si="40"/>
        <v>938.66700000000003</v>
      </c>
      <c r="AO38" s="143">
        <f t="shared" si="40"/>
        <v>938.66700000000003</v>
      </c>
      <c r="AP38" s="143">
        <f t="shared" si="40"/>
        <v>938.66700000000003</v>
      </c>
      <c r="AQ38" s="143">
        <f t="shared" si="40"/>
        <v>938.66700000000003</v>
      </c>
      <c r="AR38" s="143">
        <f t="shared" si="40"/>
        <v>938.66700000000003</v>
      </c>
      <c r="AS38" s="143">
        <f t="shared" si="40"/>
        <v>938.66700000000003</v>
      </c>
      <c r="AT38" s="143">
        <f t="shared" si="40"/>
        <v>938.66700000000003</v>
      </c>
      <c r="AU38" s="143">
        <f t="shared" si="40"/>
        <v>938.66700000000003</v>
      </c>
      <c r="AV38" s="143">
        <f t="shared" si="40"/>
        <v>938.66700000000003</v>
      </c>
      <c r="AW38" s="143">
        <f t="shared" si="40"/>
        <v>938.66700000000003</v>
      </c>
      <c r="AX38" s="143">
        <f t="shared" si="40"/>
        <v>938.66700000000003</v>
      </c>
      <c r="AY38" s="143">
        <f t="shared" si="40"/>
        <v>938.66700000000003</v>
      </c>
      <c r="AZ38" s="143">
        <f t="shared" si="40"/>
        <v>938.66700000000003</v>
      </c>
      <c r="BA38" s="143">
        <f t="shared" si="40"/>
        <v>938.66700000000003</v>
      </c>
      <c r="BB38" s="143">
        <f t="shared" si="40"/>
        <v>938.66700000000003</v>
      </c>
      <c r="BC38" s="143">
        <f t="shared" si="40"/>
        <v>938.66700000000003</v>
      </c>
      <c r="BD38" s="144">
        <f t="shared" si="40"/>
        <v>938.66700000000003</v>
      </c>
    </row>
    <row r="39" spans="2:56" x14ac:dyDescent="0.3">
      <c r="B39" s="111" t="s">
        <v>46</v>
      </c>
      <c r="C39" s="19" t="s">
        <v>47</v>
      </c>
      <c r="D39" s="112">
        <f>BD!D102+D42</f>
        <v>0</v>
      </c>
      <c r="E39" s="112">
        <f>BD!E102+E42</f>
        <v>0</v>
      </c>
      <c r="F39" s="112">
        <f>BD!F102+F42</f>
        <v>0</v>
      </c>
      <c r="G39" s="112">
        <f>BD!G102+G42</f>
        <v>525.19999999999993</v>
      </c>
      <c r="H39" s="112">
        <f>BD!H102+H42</f>
        <v>328.01600000000002</v>
      </c>
      <c r="I39" s="112">
        <f>BD!I102+I42</f>
        <v>251.6</v>
      </c>
      <c r="J39" s="112">
        <f>BD!J102+J42</f>
        <v>455.2</v>
      </c>
      <c r="K39" s="112">
        <f>BD!K102+K42</f>
        <v>426.82300000000004</v>
      </c>
      <c r="L39" s="112">
        <f>BD!L102+L42</f>
        <v>580.69299999999998</v>
      </c>
      <c r="M39" s="112">
        <f>BD!M102+M42</f>
        <v>618.82299999999998</v>
      </c>
      <c r="N39" s="112">
        <f>BD!N102+N42</f>
        <v>727.399</v>
      </c>
      <c r="O39" s="55">
        <f t="shared" ref="O39:BD39" si="41">O40+O41+O42</f>
        <v>727.399</v>
      </c>
      <c r="P39" s="55">
        <f t="shared" si="41"/>
        <v>727.399</v>
      </c>
      <c r="Q39" s="55">
        <f t="shared" si="41"/>
        <v>727.399</v>
      </c>
      <c r="R39" s="55">
        <f t="shared" si="41"/>
        <v>727.399</v>
      </c>
      <c r="S39" s="55">
        <f t="shared" si="41"/>
        <v>727.399</v>
      </c>
      <c r="T39" s="55">
        <f t="shared" si="41"/>
        <v>727.399</v>
      </c>
      <c r="U39" s="55">
        <f t="shared" si="41"/>
        <v>727.399</v>
      </c>
      <c r="V39" s="55">
        <f t="shared" si="41"/>
        <v>727.399</v>
      </c>
      <c r="W39" s="55">
        <f t="shared" si="41"/>
        <v>727.399</v>
      </c>
      <c r="X39" s="55">
        <f t="shared" si="41"/>
        <v>727.399</v>
      </c>
      <c r="Y39" s="55">
        <f t="shared" si="41"/>
        <v>727.399</v>
      </c>
      <c r="Z39" s="55">
        <f t="shared" si="41"/>
        <v>727.399</v>
      </c>
      <c r="AA39" s="55">
        <f t="shared" si="41"/>
        <v>727.399</v>
      </c>
      <c r="AB39" s="55">
        <f t="shared" si="41"/>
        <v>727.399</v>
      </c>
      <c r="AC39" s="55">
        <f t="shared" si="41"/>
        <v>727.399</v>
      </c>
      <c r="AD39" s="55">
        <f t="shared" si="41"/>
        <v>727.399</v>
      </c>
      <c r="AE39" s="55">
        <f t="shared" si="41"/>
        <v>727.399</v>
      </c>
      <c r="AF39" s="55">
        <f t="shared" si="41"/>
        <v>727.399</v>
      </c>
      <c r="AG39" s="55">
        <f t="shared" si="41"/>
        <v>727.399</v>
      </c>
      <c r="AH39" s="55">
        <f t="shared" si="41"/>
        <v>727.399</v>
      </c>
      <c r="AI39" s="55">
        <f t="shared" si="41"/>
        <v>727.399</v>
      </c>
      <c r="AJ39" s="55">
        <f t="shared" si="41"/>
        <v>727.399</v>
      </c>
      <c r="AK39" s="55">
        <f t="shared" si="41"/>
        <v>727.399</v>
      </c>
      <c r="AL39" s="55">
        <f t="shared" si="41"/>
        <v>727.399</v>
      </c>
      <c r="AM39" s="55">
        <f t="shared" si="41"/>
        <v>727.399</v>
      </c>
      <c r="AN39" s="55">
        <f t="shared" si="41"/>
        <v>727.399</v>
      </c>
      <c r="AO39" s="55">
        <f t="shared" si="41"/>
        <v>727.399</v>
      </c>
      <c r="AP39" s="55">
        <f t="shared" si="41"/>
        <v>727.399</v>
      </c>
      <c r="AQ39" s="55">
        <f t="shared" si="41"/>
        <v>727.399</v>
      </c>
      <c r="AR39" s="55">
        <f t="shared" si="41"/>
        <v>727.399</v>
      </c>
      <c r="AS39" s="55">
        <f t="shared" si="41"/>
        <v>727.399</v>
      </c>
      <c r="AT39" s="55">
        <f t="shared" si="41"/>
        <v>727.399</v>
      </c>
      <c r="AU39" s="55">
        <f t="shared" si="41"/>
        <v>727.399</v>
      </c>
      <c r="AV39" s="55">
        <f t="shared" si="41"/>
        <v>727.399</v>
      </c>
      <c r="AW39" s="55">
        <f t="shared" si="41"/>
        <v>727.399</v>
      </c>
      <c r="AX39" s="55">
        <f t="shared" si="41"/>
        <v>727.399</v>
      </c>
      <c r="AY39" s="55">
        <f t="shared" si="41"/>
        <v>727.399</v>
      </c>
      <c r="AZ39" s="55">
        <f t="shared" si="41"/>
        <v>727.399</v>
      </c>
      <c r="BA39" s="55">
        <f t="shared" si="41"/>
        <v>727.399</v>
      </c>
      <c r="BB39" s="55">
        <f t="shared" si="41"/>
        <v>727.399</v>
      </c>
      <c r="BC39" s="55">
        <f t="shared" si="41"/>
        <v>727.399</v>
      </c>
      <c r="BD39" s="123">
        <f t="shared" si="41"/>
        <v>727.399</v>
      </c>
    </row>
    <row r="40" spans="2:56" x14ac:dyDescent="0.3">
      <c r="B40" s="124" t="s">
        <v>133</v>
      </c>
      <c r="C40" s="80" t="s">
        <v>134</v>
      </c>
      <c r="D40" s="112">
        <f t="shared" ref="D40:L40" si="42">D39-D41-D42</f>
        <v>0</v>
      </c>
      <c r="E40" s="112">
        <f t="shared" si="42"/>
        <v>0</v>
      </c>
      <c r="F40" s="112">
        <f t="shared" si="42"/>
        <v>0</v>
      </c>
      <c r="G40" s="112">
        <f t="shared" si="42"/>
        <v>325.57599999999996</v>
      </c>
      <c r="H40" s="112">
        <f t="shared" si="42"/>
        <v>206.65008</v>
      </c>
      <c r="I40" s="112">
        <f t="shared" si="42"/>
        <v>158.50799999999998</v>
      </c>
      <c r="J40" s="112">
        <f t="shared" si="42"/>
        <v>23.075999999999965</v>
      </c>
      <c r="K40" s="112">
        <f t="shared" si="42"/>
        <v>135.05049000000002</v>
      </c>
      <c r="L40" s="112">
        <f t="shared" si="42"/>
        <v>365.83659</v>
      </c>
      <c r="M40" s="112">
        <f>M39-M41-M42</f>
        <v>353.21548999999993</v>
      </c>
      <c r="N40" s="112">
        <f>N39-N41-N42</f>
        <v>351.65537</v>
      </c>
      <c r="O40" s="55">
        <f t="shared" ref="O40:BD44" si="43">N40</f>
        <v>351.65537</v>
      </c>
      <c r="P40" s="55">
        <f t="shared" si="43"/>
        <v>351.65537</v>
      </c>
      <c r="Q40" s="55">
        <f t="shared" si="43"/>
        <v>351.65537</v>
      </c>
      <c r="R40" s="55">
        <f t="shared" si="43"/>
        <v>351.65537</v>
      </c>
      <c r="S40" s="55">
        <f t="shared" si="43"/>
        <v>351.65537</v>
      </c>
      <c r="T40" s="55">
        <f t="shared" si="43"/>
        <v>351.65537</v>
      </c>
      <c r="U40" s="55">
        <f t="shared" si="43"/>
        <v>351.65537</v>
      </c>
      <c r="V40" s="55">
        <f t="shared" si="43"/>
        <v>351.65537</v>
      </c>
      <c r="W40" s="55">
        <f t="shared" si="43"/>
        <v>351.65537</v>
      </c>
      <c r="X40" s="55">
        <f t="shared" si="43"/>
        <v>351.65537</v>
      </c>
      <c r="Y40" s="55">
        <f t="shared" si="43"/>
        <v>351.65537</v>
      </c>
      <c r="Z40" s="55">
        <f t="shared" si="43"/>
        <v>351.65537</v>
      </c>
      <c r="AA40" s="55">
        <f t="shared" si="43"/>
        <v>351.65537</v>
      </c>
      <c r="AB40" s="55">
        <f t="shared" si="43"/>
        <v>351.65537</v>
      </c>
      <c r="AC40" s="55">
        <f t="shared" si="43"/>
        <v>351.65537</v>
      </c>
      <c r="AD40" s="55">
        <f t="shared" si="43"/>
        <v>351.65537</v>
      </c>
      <c r="AE40" s="55">
        <f t="shared" si="43"/>
        <v>351.65537</v>
      </c>
      <c r="AF40" s="55">
        <f t="shared" si="43"/>
        <v>351.65537</v>
      </c>
      <c r="AG40" s="55">
        <f t="shared" si="43"/>
        <v>351.65537</v>
      </c>
      <c r="AH40" s="55">
        <f t="shared" si="43"/>
        <v>351.65537</v>
      </c>
      <c r="AI40" s="55">
        <f t="shared" si="43"/>
        <v>351.65537</v>
      </c>
      <c r="AJ40" s="55">
        <f t="shared" si="43"/>
        <v>351.65537</v>
      </c>
      <c r="AK40" s="55">
        <f t="shared" si="43"/>
        <v>351.65537</v>
      </c>
      <c r="AL40" s="55">
        <f t="shared" si="43"/>
        <v>351.65537</v>
      </c>
      <c r="AM40" s="55">
        <f t="shared" si="43"/>
        <v>351.65537</v>
      </c>
      <c r="AN40" s="55">
        <f t="shared" si="43"/>
        <v>351.65537</v>
      </c>
      <c r="AO40" s="55">
        <f t="shared" si="43"/>
        <v>351.65537</v>
      </c>
      <c r="AP40" s="55">
        <f t="shared" si="43"/>
        <v>351.65537</v>
      </c>
      <c r="AQ40" s="55">
        <f t="shared" si="43"/>
        <v>351.65537</v>
      </c>
      <c r="AR40" s="55">
        <f t="shared" si="43"/>
        <v>351.65537</v>
      </c>
      <c r="AS40" s="55">
        <f t="shared" si="43"/>
        <v>351.65537</v>
      </c>
      <c r="AT40" s="55">
        <f t="shared" si="43"/>
        <v>351.65537</v>
      </c>
      <c r="AU40" s="55">
        <f t="shared" si="43"/>
        <v>351.65537</v>
      </c>
      <c r="AV40" s="55">
        <f t="shared" si="43"/>
        <v>351.65537</v>
      </c>
      <c r="AW40" s="55">
        <f t="shared" si="43"/>
        <v>351.65537</v>
      </c>
      <c r="AX40" s="55">
        <f t="shared" si="43"/>
        <v>351.65537</v>
      </c>
      <c r="AY40" s="55">
        <f t="shared" si="43"/>
        <v>351.65537</v>
      </c>
      <c r="AZ40" s="55">
        <f t="shared" si="43"/>
        <v>351.65537</v>
      </c>
      <c r="BA40" s="55">
        <f t="shared" si="43"/>
        <v>351.65537</v>
      </c>
      <c r="BB40" s="55">
        <f t="shared" si="43"/>
        <v>351.65537</v>
      </c>
      <c r="BC40" s="55">
        <f t="shared" si="43"/>
        <v>351.65537</v>
      </c>
      <c r="BD40" s="123">
        <f t="shared" si="43"/>
        <v>351.65537</v>
      </c>
    </row>
    <row r="41" spans="2:56" x14ac:dyDescent="0.3">
      <c r="B41" s="124" t="s">
        <v>132</v>
      </c>
      <c r="C41" s="80" t="s">
        <v>135</v>
      </c>
      <c r="D41" s="112">
        <f t="shared" ref="D41:L41" si="44">D39*D64</f>
        <v>0</v>
      </c>
      <c r="E41" s="112">
        <f t="shared" si="44"/>
        <v>0</v>
      </c>
      <c r="F41" s="112">
        <f t="shared" si="44"/>
        <v>0</v>
      </c>
      <c r="G41" s="112">
        <f t="shared" si="44"/>
        <v>194.32399999999998</v>
      </c>
      <c r="H41" s="112">
        <f t="shared" si="44"/>
        <v>121.36592</v>
      </c>
      <c r="I41" s="112">
        <f t="shared" si="44"/>
        <v>93.091999999999999</v>
      </c>
      <c r="J41" s="112">
        <f t="shared" si="44"/>
        <v>168.42400000000001</v>
      </c>
      <c r="K41" s="112">
        <f t="shared" si="44"/>
        <v>157.92451</v>
      </c>
      <c r="L41" s="112">
        <f t="shared" si="44"/>
        <v>214.85640999999998</v>
      </c>
      <c r="M41" s="112">
        <f>M39*M64</f>
        <v>228.96450999999999</v>
      </c>
      <c r="N41" s="112">
        <f>N39*N64</f>
        <v>269.13763</v>
      </c>
      <c r="O41" s="55">
        <f t="shared" si="43"/>
        <v>269.13763</v>
      </c>
      <c r="P41" s="55">
        <f t="shared" si="43"/>
        <v>269.13763</v>
      </c>
      <c r="Q41" s="55">
        <f t="shared" si="43"/>
        <v>269.13763</v>
      </c>
      <c r="R41" s="55">
        <f t="shared" si="43"/>
        <v>269.13763</v>
      </c>
      <c r="S41" s="55">
        <f t="shared" si="43"/>
        <v>269.13763</v>
      </c>
      <c r="T41" s="55">
        <f t="shared" si="43"/>
        <v>269.13763</v>
      </c>
      <c r="U41" s="55">
        <f t="shared" si="43"/>
        <v>269.13763</v>
      </c>
      <c r="V41" s="55">
        <f t="shared" si="43"/>
        <v>269.13763</v>
      </c>
      <c r="W41" s="55">
        <f t="shared" si="43"/>
        <v>269.13763</v>
      </c>
      <c r="X41" s="55">
        <f t="shared" si="43"/>
        <v>269.13763</v>
      </c>
      <c r="Y41" s="55">
        <f t="shared" si="43"/>
        <v>269.13763</v>
      </c>
      <c r="Z41" s="55">
        <f t="shared" si="43"/>
        <v>269.13763</v>
      </c>
      <c r="AA41" s="55">
        <f t="shared" si="43"/>
        <v>269.13763</v>
      </c>
      <c r="AB41" s="55">
        <f t="shared" si="43"/>
        <v>269.13763</v>
      </c>
      <c r="AC41" s="55">
        <f t="shared" si="43"/>
        <v>269.13763</v>
      </c>
      <c r="AD41" s="55">
        <f t="shared" si="43"/>
        <v>269.13763</v>
      </c>
      <c r="AE41" s="55">
        <f t="shared" si="43"/>
        <v>269.13763</v>
      </c>
      <c r="AF41" s="55">
        <f t="shared" si="43"/>
        <v>269.13763</v>
      </c>
      <c r="AG41" s="55">
        <f t="shared" si="43"/>
        <v>269.13763</v>
      </c>
      <c r="AH41" s="55">
        <f t="shared" si="43"/>
        <v>269.13763</v>
      </c>
      <c r="AI41" s="55">
        <f t="shared" si="43"/>
        <v>269.13763</v>
      </c>
      <c r="AJ41" s="55">
        <f t="shared" si="43"/>
        <v>269.13763</v>
      </c>
      <c r="AK41" s="55">
        <f t="shared" si="43"/>
        <v>269.13763</v>
      </c>
      <c r="AL41" s="55">
        <f t="shared" si="43"/>
        <v>269.13763</v>
      </c>
      <c r="AM41" s="55">
        <f t="shared" si="43"/>
        <v>269.13763</v>
      </c>
      <c r="AN41" s="55">
        <f t="shared" si="43"/>
        <v>269.13763</v>
      </c>
      <c r="AO41" s="55">
        <f t="shared" si="43"/>
        <v>269.13763</v>
      </c>
      <c r="AP41" s="55">
        <f t="shared" si="43"/>
        <v>269.13763</v>
      </c>
      <c r="AQ41" s="55">
        <f t="shared" si="43"/>
        <v>269.13763</v>
      </c>
      <c r="AR41" s="55">
        <f t="shared" si="43"/>
        <v>269.13763</v>
      </c>
      <c r="AS41" s="55">
        <f t="shared" si="43"/>
        <v>269.13763</v>
      </c>
      <c r="AT41" s="55">
        <f t="shared" si="43"/>
        <v>269.13763</v>
      </c>
      <c r="AU41" s="55">
        <f t="shared" si="43"/>
        <v>269.13763</v>
      </c>
      <c r="AV41" s="55">
        <f t="shared" si="43"/>
        <v>269.13763</v>
      </c>
      <c r="AW41" s="55">
        <f t="shared" si="43"/>
        <v>269.13763</v>
      </c>
      <c r="AX41" s="55">
        <f t="shared" si="43"/>
        <v>269.13763</v>
      </c>
      <c r="AY41" s="55">
        <f t="shared" si="43"/>
        <v>269.13763</v>
      </c>
      <c r="AZ41" s="55">
        <f t="shared" si="43"/>
        <v>269.13763</v>
      </c>
      <c r="BA41" s="55">
        <f t="shared" si="43"/>
        <v>269.13763</v>
      </c>
      <c r="BB41" s="55">
        <f t="shared" si="43"/>
        <v>269.13763</v>
      </c>
      <c r="BC41" s="55">
        <f t="shared" si="43"/>
        <v>269.13763</v>
      </c>
      <c r="BD41" s="123">
        <f t="shared" si="43"/>
        <v>269.13763</v>
      </c>
    </row>
    <row r="42" spans="2:56" x14ac:dyDescent="0.3">
      <c r="B42" s="124" t="s">
        <v>48</v>
      </c>
      <c r="C42" s="80" t="s">
        <v>49</v>
      </c>
      <c r="D42" s="112">
        <f>BD!D103</f>
        <v>0</v>
      </c>
      <c r="E42" s="112">
        <f>BD!E103</f>
        <v>0</v>
      </c>
      <c r="F42" s="112">
        <f>BD!F103</f>
        <v>0</v>
      </c>
      <c r="G42" s="112">
        <f>BD!G103</f>
        <v>5.3</v>
      </c>
      <c r="H42" s="112">
        <f>BD!H103</f>
        <v>0</v>
      </c>
      <c r="I42" s="112">
        <f>BD!I103</f>
        <v>0</v>
      </c>
      <c r="J42" s="112">
        <f>BD!J103</f>
        <v>263.7</v>
      </c>
      <c r="K42" s="112">
        <f>BD!K103</f>
        <v>133.84800000000001</v>
      </c>
      <c r="L42" s="112">
        <f>BD!L103</f>
        <v>0</v>
      </c>
      <c r="M42" s="112">
        <f>BD!M103</f>
        <v>36.643000000000001</v>
      </c>
      <c r="N42" s="112">
        <f>BD!N103</f>
        <v>106.60599999999999</v>
      </c>
      <c r="O42" s="55">
        <f t="shared" si="43"/>
        <v>106.60599999999999</v>
      </c>
      <c r="P42" s="55">
        <f t="shared" si="43"/>
        <v>106.60599999999999</v>
      </c>
      <c r="Q42" s="55">
        <f t="shared" si="43"/>
        <v>106.60599999999999</v>
      </c>
      <c r="R42" s="55">
        <f t="shared" si="43"/>
        <v>106.60599999999999</v>
      </c>
      <c r="S42" s="55">
        <f t="shared" si="43"/>
        <v>106.60599999999999</v>
      </c>
      <c r="T42" s="55">
        <f t="shared" si="43"/>
        <v>106.60599999999999</v>
      </c>
      <c r="U42" s="55">
        <f t="shared" si="43"/>
        <v>106.60599999999999</v>
      </c>
      <c r="V42" s="55">
        <f t="shared" si="43"/>
        <v>106.60599999999999</v>
      </c>
      <c r="W42" s="55">
        <f t="shared" si="43"/>
        <v>106.60599999999999</v>
      </c>
      <c r="X42" s="55">
        <f t="shared" si="43"/>
        <v>106.60599999999999</v>
      </c>
      <c r="Y42" s="55">
        <f t="shared" si="43"/>
        <v>106.60599999999999</v>
      </c>
      <c r="Z42" s="55">
        <f t="shared" si="43"/>
        <v>106.60599999999999</v>
      </c>
      <c r="AA42" s="55">
        <f t="shared" si="43"/>
        <v>106.60599999999999</v>
      </c>
      <c r="AB42" s="55">
        <f t="shared" si="43"/>
        <v>106.60599999999999</v>
      </c>
      <c r="AC42" s="55">
        <f t="shared" si="43"/>
        <v>106.60599999999999</v>
      </c>
      <c r="AD42" s="55">
        <f t="shared" si="43"/>
        <v>106.60599999999999</v>
      </c>
      <c r="AE42" s="55">
        <f t="shared" si="43"/>
        <v>106.60599999999999</v>
      </c>
      <c r="AF42" s="55">
        <f t="shared" si="43"/>
        <v>106.60599999999999</v>
      </c>
      <c r="AG42" s="55">
        <f t="shared" si="43"/>
        <v>106.60599999999999</v>
      </c>
      <c r="AH42" s="55">
        <f t="shared" si="43"/>
        <v>106.60599999999999</v>
      </c>
      <c r="AI42" s="55">
        <f t="shared" si="43"/>
        <v>106.60599999999999</v>
      </c>
      <c r="AJ42" s="55">
        <f t="shared" si="43"/>
        <v>106.60599999999999</v>
      </c>
      <c r="AK42" s="55">
        <f t="shared" si="43"/>
        <v>106.60599999999999</v>
      </c>
      <c r="AL42" s="55">
        <f t="shared" si="43"/>
        <v>106.60599999999999</v>
      </c>
      <c r="AM42" s="55">
        <f t="shared" si="43"/>
        <v>106.60599999999999</v>
      </c>
      <c r="AN42" s="55">
        <f t="shared" si="43"/>
        <v>106.60599999999999</v>
      </c>
      <c r="AO42" s="55">
        <f t="shared" si="43"/>
        <v>106.60599999999999</v>
      </c>
      <c r="AP42" s="55">
        <f t="shared" si="43"/>
        <v>106.60599999999999</v>
      </c>
      <c r="AQ42" s="55">
        <f t="shared" si="43"/>
        <v>106.60599999999999</v>
      </c>
      <c r="AR42" s="55">
        <f t="shared" si="43"/>
        <v>106.60599999999999</v>
      </c>
      <c r="AS42" s="55">
        <f t="shared" si="43"/>
        <v>106.60599999999999</v>
      </c>
      <c r="AT42" s="55">
        <f t="shared" si="43"/>
        <v>106.60599999999999</v>
      </c>
      <c r="AU42" s="55">
        <f t="shared" si="43"/>
        <v>106.60599999999999</v>
      </c>
      <c r="AV42" s="55">
        <f t="shared" si="43"/>
        <v>106.60599999999999</v>
      </c>
      <c r="AW42" s="55">
        <f t="shared" si="43"/>
        <v>106.60599999999999</v>
      </c>
      <c r="AX42" s="55">
        <f t="shared" si="43"/>
        <v>106.60599999999999</v>
      </c>
      <c r="AY42" s="55">
        <f t="shared" si="43"/>
        <v>106.60599999999999</v>
      </c>
      <c r="AZ42" s="55">
        <f t="shared" si="43"/>
        <v>106.60599999999999</v>
      </c>
      <c r="BA42" s="55">
        <f t="shared" si="43"/>
        <v>106.60599999999999</v>
      </c>
      <c r="BB42" s="55">
        <f t="shared" si="43"/>
        <v>106.60599999999999</v>
      </c>
      <c r="BC42" s="55">
        <f t="shared" si="43"/>
        <v>106.60599999999999</v>
      </c>
      <c r="BD42" s="123">
        <f t="shared" si="43"/>
        <v>106.60599999999999</v>
      </c>
    </row>
    <row r="43" spans="2:56" x14ac:dyDescent="0.3">
      <c r="B43" s="111" t="s">
        <v>56</v>
      </c>
      <c r="C43" s="19" t="s">
        <v>57</v>
      </c>
      <c r="D43" s="112">
        <f>BD!D107</f>
        <v>0</v>
      </c>
      <c r="E43" s="112">
        <f>BD!E107</f>
        <v>0</v>
      </c>
      <c r="F43" s="112">
        <f>BD!F107</f>
        <v>0</v>
      </c>
      <c r="G43" s="112">
        <f>BD!G107</f>
        <v>77.5</v>
      </c>
      <c r="H43" s="112">
        <f>BD!H107</f>
        <v>86.765000000000001</v>
      </c>
      <c r="I43" s="112">
        <f>BD!I107</f>
        <v>80.2</v>
      </c>
      <c r="J43" s="112">
        <f>BD!J107</f>
        <v>101.1</v>
      </c>
      <c r="K43" s="112">
        <f>BD!K107</f>
        <v>131.72900000000001</v>
      </c>
      <c r="L43" s="112">
        <f>BD!L107</f>
        <v>106.01</v>
      </c>
      <c r="M43" s="112">
        <f>BD!M107</f>
        <v>95.536000000000001</v>
      </c>
      <c r="N43" s="112">
        <f>BD!N107</f>
        <v>109.575</v>
      </c>
      <c r="O43" s="55">
        <f t="shared" si="43"/>
        <v>109.575</v>
      </c>
      <c r="P43" s="55">
        <f t="shared" si="43"/>
        <v>109.575</v>
      </c>
      <c r="Q43" s="55">
        <f t="shared" si="43"/>
        <v>109.575</v>
      </c>
      <c r="R43" s="55">
        <f t="shared" si="43"/>
        <v>109.575</v>
      </c>
      <c r="S43" s="55">
        <f t="shared" si="43"/>
        <v>109.575</v>
      </c>
      <c r="T43" s="55">
        <f t="shared" si="43"/>
        <v>109.575</v>
      </c>
      <c r="U43" s="55">
        <f t="shared" si="43"/>
        <v>109.575</v>
      </c>
      <c r="V43" s="55">
        <f t="shared" si="43"/>
        <v>109.575</v>
      </c>
      <c r="W43" s="55">
        <f t="shared" si="43"/>
        <v>109.575</v>
      </c>
      <c r="X43" s="55">
        <f t="shared" si="43"/>
        <v>109.575</v>
      </c>
      <c r="Y43" s="55">
        <f t="shared" si="43"/>
        <v>109.575</v>
      </c>
      <c r="Z43" s="55">
        <f t="shared" si="43"/>
        <v>109.575</v>
      </c>
      <c r="AA43" s="55">
        <f t="shared" si="43"/>
        <v>109.575</v>
      </c>
      <c r="AB43" s="55">
        <f t="shared" si="43"/>
        <v>109.575</v>
      </c>
      <c r="AC43" s="55">
        <f t="shared" si="43"/>
        <v>109.575</v>
      </c>
      <c r="AD43" s="55">
        <f t="shared" si="43"/>
        <v>109.575</v>
      </c>
      <c r="AE43" s="55">
        <f t="shared" si="43"/>
        <v>109.575</v>
      </c>
      <c r="AF43" s="55">
        <f t="shared" si="43"/>
        <v>109.575</v>
      </c>
      <c r="AG43" s="55">
        <f t="shared" si="43"/>
        <v>109.575</v>
      </c>
      <c r="AH43" s="55">
        <f t="shared" si="43"/>
        <v>109.575</v>
      </c>
      <c r="AI43" s="55">
        <f t="shared" si="43"/>
        <v>109.575</v>
      </c>
      <c r="AJ43" s="55">
        <f t="shared" si="43"/>
        <v>109.575</v>
      </c>
      <c r="AK43" s="55">
        <f t="shared" si="43"/>
        <v>109.575</v>
      </c>
      <c r="AL43" s="55">
        <f t="shared" si="43"/>
        <v>109.575</v>
      </c>
      <c r="AM43" s="55">
        <f t="shared" si="43"/>
        <v>109.575</v>
      </c>
      <c r="AN43" s="55">
        <f t="shared" si="43"/>
        <v>109.575</v>
      </c>
      <c r="AO43" s="55">
        <f t="shared" si="43"/>
        <v>109.575</v>
      </c>
      <c r="AP43" s="55">
        <f t="shared" si="43"/>
        <v>109.575</v>
      </c>
      <c r="AQ43" s="55">
        <f t="shared" si="43"/>
        <v>109.575</v>
      </c>
      <c r="AR43" s="55">
        <f t="shared" si="43"/>
        <v>109.575</v>
      </c>
      <c r="AS43" s="55">
        <f t="shared" si="43"/>
        <v>109.575</v>
      </c>
      <c r="AT43" s="55">
        <f t="shared" si="43"/>
        <v>109.575</v>
      </c>
      <c r="AU43" s="55">
        <f t="shared" si="43"/>
        <v>109.575</v>
      </c>
      <c r="AV43" s="55">
        <f t="shared" si="43"/>
        <v>109.575</v>
      </c>
      <c r="AW43" s="55">
        <f t="shared" si="43"/>
        <v>109.575</v>
      </c>
      <c r="AX43" s="55">
        <f t="shared" si="43"/>
        <v>109.575</v>
      </c>
      <c r="AY43" s="55">
        <f t="shared" si="43"/>
        <v>109.575</v>
      </c>
      <c r="AZ43" s="55">
        <f t="shared" si="43"/>
        <v>109.575</v>
      </c>
      <c r="BA43" s="55">
        <f t="shared" si="43"/>
        <v>109.575</v>
      </c>
      <c r="BB43" s="55">
        <f t="shared" si="43"/>
        <v>109.575</v>
      </c>
      <c r="BC43" s="55">
        <f t="shared" si="43"/>
        <v>109.575</v>
      </c>
      <c r="BD43" s="123">
        <f t="shared" si="43"/>
        <v>109.575</v>
      </c>
    </row>
    <row r="44" spans="2:56" x14ac:dyDescent="0.3">
      <c r="B44" s="111" t="s">
        <v>137</v>
      </c>
      <c r="C44" s="19" t="s">
        <v>138</v>
      </c>
      <c r="D44" s="112">
        <f>BD!D108</f>
        <v>0</v>
      </c>
      <c r="E44" s="112">
        <f>BD!E108</f>
        <v>0</v>
      </c>
      <c r="F44" s="112">
        <f>BD!F108</f>
        <v>0</v>
      </c>
      <c r="G44" s="112">
        <f>BD!G108</f>
        <v>16.3</v>
      </c>
      <c r="H44" s="112">
        <f>BD!H108</f>
        <v>18.859000000000002</v>
      </c>
      <c r="I44" s="112">
        <f>BD!I108</f>
        <v>17.899999999999999</v>
      </c>
      <c r="J44" s="112">
        <f>BD!J108</f>
        <v>22</v>
      </c>
      <c r="K44" s="112">
        <f>BD!K108</f>
        <v>23.295999999999999</v>
      </c>
      <c r="L44" s="112">
        <f>BD!L108</f>
        <v>21.835999999999999</v>
      </c>
      <c r="M44" s="112">
        <f>BD!M108</f>
        <v>18.61</v>
      </c>
      <c r="N44" s="112">
        <f>BD!N108</f>
        <v>13.015000000000001</v>
      </c>
      <c r="O44" s="55">
        <f t="shared" si="43"/>
        <v>13.015000000000001</v>
      </c>
      <c r="P44" s="55">
        <f t="shared" si="43"/>
        <v>13.015000000000001</v>
      </c>
      <c r="Q44" s="55">
        <f t="shared" si="43"/>
        <v>13.015000000000001</v>
      </c>
      <c r="R44" s="55">
        <f t="shared" si="43"/>
        <v>13.015000000000001</v>
      </c>
      <c r="S44" s="55">
        <f t="shared" si="43"/>
        <v>13.015000000000001</v>
      </c>
      <c r="T44" s="55">
        <f t="shared" si="43"/>
        <v>13.015000000000001</v>
      </c>
      <c r="U44" s="55">
        <f t="shared" si="43"/>
        <v>13.015000000000001</v>
      </c>
      <c r="V44" s="55">
        <f t="shared" si="43"/>
        <v>13.015000000000001</v>
      </c>
      <c r="W44" s="55">
        <f t="shared" si="43"/>
        <v>13.015000000000001</v>
      </c>
      <c r="X44" s="55">
        <f t="shared" si="43"/>
        <v>13.015000000000001</v>
      </c>
      <c r="Y44" s="55">
        <f t="shared" si="43"/>
        <v>13.015000000000001</v>
      </c>
      <c r="Z44" s="55">
        <f t="shared" si="43"/>
        <v>13.015000000000001</v>
      </c>
      <c r="AA44" s="55">
        <f t="shared" si="43"/>
        <v>13.015000000000001</v>
      </c>
      <c r="AB44" s="55">
        <f t="shared" si="43"/>
        <v>13.015000000000001</v>
      </c>
      <c r="AC44" s="55">
        <f t="shared" si="43"/>
        <v>13.015000000000001</v>
      </c>
      <c r="AD44" s="55">
        <f t="shared" si="43"/>
        <v>13.015000000000001</v>
      </c>
      <c r="AE44" s="55">
        <f t="shared" si="43"/>
        <v>13.015000000000001</v>
      </c>
      <c r="AF44" s="55">
        <f t="shared" si="43"/>
        <v>13.015000000000001</v>
      </c>
      <c r="AG44" s="55">
        <f t="shared" si="43"/>
        <v>13.015000000000001</v>
      </c>
      <c r="AH44" s="55">
        <f t="shared" si="43"/>
        <v>13.015000000000001</v>
      </c>
      <c r="AI44" s="55">
        <f t="shared" si="43"/>
        <v>13.015000000000001</v>
      </c>
      <c r="AJ44" s="55">
        <f t="shared" si="43"/>
        <v>13.015000000000001</v>
      </c>
      <c r="AK44" s="55">
        <f t="shared" si="43"/>
        <v>13.015000000000001</v>
      </c>
      <c r="AL44" s="55">
        <f t="shared" si="43"/>
        <v>13.015000000000001</v>
      </c>
      <c r="AM44" s="55">
        <f t="shared" si="43"/>
        <v>13.015000000000001</v>
      </c>
      <c r="AN44" s="55">
        <f t="shared" si="43"/>
        <v>13.015000000000001</v>
      </c>
      <c r="AO44" s="55">
        <f t="shared" si="43"/>
        <v>13.015000000000001</v>
      </c>
      <c r="AP44" s="55">
        <f t="shared" si="43"/>
        <v>13.015000000000001</v>
      </c>
      <c r="AQ44" s="55">
        <f t="shared" si="43"/>
        <v>13.015000000000001</v>
      </c>
      <c r="AR44" s="55">
        <f t="shared" si="43"/>
        <v>13.015000000000001</v>
      </c>
      <c r="AS44" s="55">
        <f t="shared" si="43"/>
        <v>13.015000000000001</v>
      </c>
      <c r="AT44" s="55">
        <f t="shared" si="43"/>
        <v>13.015000000000001</v>
      </c>
      <c r="AU44" s="55">
        <f t="shared" si="43"/>
        <v>13.015000000000001</v>
      </c>
      <c r="AV44" s="55">
        <f t="shared" si="43"/>
        <v>13.015000000000001</v>
      </c>
      <c r="AW44" s="55">
        <f t="shared" si="43"/>
        <v>13.015000000000001</v>
      </c>
      <c r="AX44" s="55">
        <f t="shared" si="43"/>
        <v>13.015000000000001</v>
      </c>
      <c r="AY44" s="55">
        <f t="shared" si="43"/>
        <v>13.015000000000001</v>
      </c>
      <c r="AZ44" s="55">
        <f t="shared" si="43"/>
        <v>13.015000000000001</v>
      </c>
      <c r="BA44" s="55">
        <f t="shared" si="43"/>
        <v>13.015000000000001</v>
      </c>
      <c r="BB44" s="55">
        <f t="shared" si="43"/>
        <v>13.015000000000001</v>
      </c>
      <c r="BC44" s="55">
        <f t="shared" si="43"/>
        <v>13.015000000000001</v>
      </c>
      <c r="BD44" s="123">
        <f t="shared" si="43"/>
        <v>13.015000000000001</v>
      </c>
    </row>
    <row r="45" spans="2:56" x14ac:dyDescent="0.3">
      <c r="B45" s="126" t="s">
        <v>58</v>
      </c>
      <c r="C45" s="127" t="s">
        <v>59</v>
      </c>
      <c r="D45" s="117">
        <f>BD!D110+BD!D109+BD!D106+BD!D105+BD!D104</f>
        <v>0</v>
      </c>
      <c r="E45" s="117">
        <f>BD!E110+BD!E109+BD!E106+BD!E105+BD!E104</f>
        <v>0</v>
      </c>
      <c r="F45" s="117">
        <f>BD!F110+BD!F109+BD!F106+BD!F105+BD!F104</f>
        <v>0</v>
      </c>
      <c r="G45" s="117">
        <f>BD!G110+BD!G109+BD!G106+BD!G105+BD!G104</f>
        <v>114.3</v>
      </c>
      <c r="H45" s="117">
        <f>BD!H110+BD!H109+BD!H106+BD!H105+BD!H104</f>
        <v>89.076000000000008</v>
      </c>
      <c r="I45" s="117">
        <f>BD!I110+BD!I109+BD!I106+BD!I105+BD!I104</f>
        <v>86.600000000000009</v>
      </c>
      <c r="J45" s="117">
        <f>BD!J110+BD!J109+BD!J106+BD!J105+BD!J104</f>
        <v>88.3</v>
      </c>
      <c r="K45" s="117">
        <f>BD!K110+BD!K109+BD!K106+BD!K105+BD!K104</f>
        <v>86.823999999999998</v>
      </c>
      <c r="L45" s="117">
        <f>BD!L110+BD!L109+BD!L106+BD!L105+BD!L104</f>
        <v>76.778999999999996</v>
      </c>
      <c r="M45" s="117">
        <f>BD!M110+BD!M109+BD!M106+BD!M105+BD!M104</f>
        <v>76.060999999999993</v>
      </c>
      <c r="N45" s="117">
        <f>BD!N110+BD!N109+BD!N106+BD!N105+BD!N104</f>
        <v>88.677999999999997</v>
      </c>
      <c r="O45" s="128">
        <f t="shared" ref="O45:BD45" si="45">N45</f>
        <v>88.677999999999997</v>
      </c>
      <c r="P45" s="128">
        <f t="shared" si="45"/>
        <v>88.677999999999997</v>
      </c>
      <c r="Q45" s="128">
        <f t="shared" si="45"/>
        <v>88.677999999999997</v>
      </c>
      <c r="R45" s="128">
        <f t="shared" si="45"/>
        <v>88.677999999999997</v>
      </c>
      <c r="S45" s="128">
        <f t="shared" si="45"/>
        <v>88.677999999999997</v>
      </c>
      <c r="T45" s="128">
        <f t="shared" si="45"/>
        <v>88.677999999999997</v>
      </c>
      <c r="U45" s="128">
        <f t="shared" si="45"/>
        <v>88.677999999999997</v>
      </c>
      <c r="V45" s="128">
        <f t="shared" si="45"/>
        <v>88.677999999999997</v>
      </c>
      <c r="W45" s="128">
        <f t="shared" si="45"/>
        <v>88.677999999999997</v>
      </c>
      <c r="X45" s="128">
        <f t="shared" si="45"/>
        <v>88.677999999999997</v>
      </c>
      <c r="Y45" s="128">
        <f t="shared" si="45"/>
        <v>88.677999999999997</v>
      </c>
      <c r="Z45" s="128">
        <f t="shared" si="45"/>
        <v>88.677999999999997</v>
      </c>
      <c r="AA45" s="128">
        <f t="shared" si="45"/>
        <v>88.677999999999997</v>
      </c>
      <c r="AB45" s="128">
        <f t="shared" si="45"/>
        <v>88.677999999999997</v>
      </c>
      <c r="AC45" s="128">
        <f t="shared" si="45"/>
        <v>88.677999999999997</v>
      </c>
      <c r="AD45" s="128">
        <f t="shared" si="45"/>
        <v>88.677999999999997</v>
      </c>
      <c r="AE45" s="128">
        <f t="shared" si="45"/>
        <v>88.677999999999997</v>
      </c>
      <c r="AF45" s="128">
        <f t="shared" si="45"/>
        <v>88.677999999999997</v>
      </c>
      <c r="AG45" s="128">
        <f t="shared" si="45"/>
        <v>88.677999999999997</v>
      </c>
      <c r="AH45" s="128">
        <f t="shared" si="45"/>
        <v>88.677999999999997</v>
      </c>
      <c r="AI45" s="128">
        <f t="shared" si="45"/>
        <v>88.677999999999997</v>
      </c>
      <c r="AJ45" s="128">
        <f t="shared" si="45"/>
        <v>88.677999999999997</v>
      </c>
      <c r="AK45" s="128">
        <f t="shared" si="45"/>
        <v>88.677999999999997</v>
      </c>
      <c r="AL45" s="128">
        <f t="shared" si="45"/>
        <v>88.677999999999997</v>
      </c>
      <c r="AM45" s="128">
        <f t="shared" si="45"/>
        <v>88.677999999999997</v>
      </c>
      <c r="AN45" s="128">
        <f t="shared" si="45"/>
        <v>88.677999999999997</v>
      </c>
      <c r="AO45" s="128">
        <f t="shared" si="45"/>
        <v>88.677999999999997</v>
      </c>
      <c r="AP45" s="128">
        <f t="shared" si="45"/>
        <v>88.677999999999997</v>
      </c>
      <c r="AQ45" s="128">
        <f t="shared" si="45"/>
        <v>88.677999999999997</v>
      </c>
      <c r="AR45" s="128">
        <f t="shared" si="45"/>
        <v>88.677999999999997</v>
      </c>
      <c r="AS45" s="128">
        <f t="shared" si="45"/>
        <v>88.677999999999997</v>
      </c>
      <c r="AT45" s="128">
        <f t="shared" si="45"/>
        <v>88.677999999999997</v>
      </c>
      <c r="AU45" s="128">
        <f t="shared" si="45"/>
        <v>88.677999999999997</v>
      </c>
      <c r="AV45" s="128">
        <f t="shared" si="45"/>
        <v>88.677999999999997</v>
      </c>
      <c r="AW45" s="128">
        <f t="shared" si="45"/>
        <v>88.677999999999997</v>
      </c>
      <c r="AX45" s="128">
        <f t="shared" si="45"/>
        <v>88.677999999999997</v>
      </c>
      <c r="AY45" s="128">
        <f t="shared" si="45"/>
        <v>88.677999999999997</v>
      </c>
      <c r="AZ45" s="128">
        <f t="shared" si="45"/>
        <v>88.677999999999997</v>
      </c>
      <c r="BA45" s="128">
        <f t="shared" si="45"/>
        <v>88.677999999999997</v>
      </c>
      <c r="BB45" s="128">
        <f t="shared" si="45"/>
        <v>88.677999999999997</v>
      </c>
      <c r="BC45" s="128">
        <f t="shared" si="45"/>
        <v>88.677999999999997</v>
      </c>
      <c r="BD45" s="129">
        <f t="shared" si="45"/>
        <v>88.677999999999997</v>
      </c>
    </row>
    <row r="46" spans="2:56" x14ac:dyDescent="0.3">
      <c r="B46" s="19"/>
      <c r="C46" s="19"/>
      <c r="D46" s="47">
        <f>BD!D111-D47</f>
        <v>0</v>
      </c>
      <c r="E46" s="47">
        <f>BD!E111-E47</f>
        <v>0</v>
      </c>
      <c r="F46" s="47">
        <f>BD!F111-F47</f>
        <v>0</v>
      </c>
      <c r="G46" s="47">
        <f>BD!G111-G47</f>
        <v>0</v>
      </c>
      <c r="H46" s="47">
        <f>BD!H111-H47</f>
        <v>0</v>
      </c>
      <c r="I46" s="47">
        <f>BD!I111-I47</f>
        <v>0</v>
      </c>
      <c r="J46" s="47">
        <f>BD!J111-J47</f>
        <v>0</v>
      </c>
      <c r="K46" s="47">
        <f>BD!K111-K47</f>
        <v>0</v>
      </c>
      <c r="L46" s="47">
        <f>BD!L111-L47</f>
        <v>0</v>
      </c>
      <c r="M46" s="47">
        <f>BD!M111-M47</f>
        <v>0</v>
      </c>
      <c r="N46" s="47">
        <f>BD!N111-N47</f>
        <v>0</v>
      </c>
    </row>
    <row r="47" spans="2:56" x14ac:dyDescent="0.3">
      <c r="B47" s="134" t="s">
        <v>62</v>
      </c>
      <c r="C47" s="135" t="s">
        <v>63</v>
      </c>
      <c r="D47" s="132">
        <f t="shared" ref="D47:L47" si="46">SUM(D48:D54)</f>
        <v>0</v>
      </c>
      <c r="E47" s="132">
        <f t="shared" si="46"/>
        <v>0</v>
      </c>
      <c r="F47" s="132">
        <f t="shared" si="46"/>
        <v>0</v>
      </c>
      <c r="G47" s="132">
        <f t="shared" si="46"/>
        <v>1206.5000000000002</v>
      </c>
      <c r="H47" s="132">
        <f t="shared" si="46"/>
        <v>1217.4730000000002</v>
      </c>
      <c r="I47" s="132">
        <f t="shared" si="46"/>
        <v>1151.8999999999999</v>
      </c>
      <c r="J47" s="132">
        <f t="shared" si="46"/>
        <v>1085.8000000000002</v>
      </c>
      <c r="K47" s="132">
        <f t="shared" si="46"/>
        <v>1078.9680000000003</v>
      </c>
      <c r="L47" s="132">
        <f t="shared" si="46"/>
        <v>1027.8040000000003</v>
      </c>
      <c r="M47" s="132">
        <f>SUM(M48:M54)</f>
        <v>1149.5070000000001</v>
      </c>
      <c r="N47" s="132">
        <f>SUM(N48:N54)</f>
        <v>1160.5920000000003</v>
      </c>
      <c r="O47" s="132">
        <f t="shared" ref="O47:BD47" si="47">SUM(O48:O54)</f>
        <v>1248.1059440526542</v>
      </c>
      <c r="P47" s="132">
        <f t="shared" si="47"/>
        <v>1350.4749917716531</v>
      </c>
      <c r="Q47" s="132">
        <f t="shared" si="47"/>
        <v>1474.0340678617492</v>
      </c>
      <c r="R47" s="132">
        <f t="shared" si="47"/>
        <v>1622.9507872308172</v>
      </c>
      <c r="S47" s="132">
        <f t="shared" si="47"/>
        <v>1792.3455217660849</v>
      </c>
      <c r="T47" s="132">
        <f t="shared" si="47"/>
        <v>1876.0165172159082</v>
      </c>
      <c r="U47" s="132">
        <f t="shared" si="47"/>
        <v>1968.9942409722983</v>
      </c>
      <c r="V47" s="132">
        <f t="shared" si="47"/>
        <v>2070.6044892686341</v>
      </c>
      <c r="W47" s="132">
        <f t="shared" si="47"/>
        <v>2181.2564773325125</v>
      </c>
      <c r="X47" s="132">
        <f t="shared" si="47"/>
        <v>2301.3760553855386</v>
      </c>
      <c r="Y47" s="132">
        <f t="shared" si="47"/>
        <v>2431.6322174423667</v>
      </c>
      <c r="Z47" s="132">
        <f t="shared" si="47"/>
        <v>2572.6346245289001</v>
      </c>
      <c r="AA47" s="132">
        <f t="shared" si="47"/>
        <v>2723.0271577888252</v>
      </c>
      <c r="AB47" s="132">
        <f t="shared" si="47"/>
        <v>2883.5041904478885</v>
      </c>
      <c r="AC47" s="132">
        <f t="shared" si="47"/>
        <v>3054.6902261468344</v>
      </c>
      <c r="AD47" s="132">
        <f t="shared" si="47"/>
        <v>3237.2431992693255</v>
      </c>
      <c r="AE47" s="132">
        <f t="shared" si="47"/>
        <v>3431.8761218303312</v>
      </c>
      <c r="AF47" s="132">
        <f t="shared" si="47"/>
        <v>3639.3440382945</v>
      </c>
      <c r="AG47" s="132">
        <f t="shared" si="47"/>
        <v>3860.4590116063418</v>
      </c>
      <c r="AH47" s="132">
        <f t="shared" si="47"/>
        <v>4096.0916253149107</v>
      </c>
      <c r="AI47" s="132">
        <f t="shared" si="47"/>
        <v>4347.1716791528952</v>
      </c>
      <c r="AJ47" s="132">
        <f t="shared" si="47"/>
        <v>4614.6953282478371</v>
      </c>
      <c r="AK47" s="132">
        <f t="shared" si="47"/>
        <v>4899.7285483650612</v>
      </c>
      <c r="AL47" s="132">
        <f t="shared" si="47"/>
        <v>5203.4114278342531</v>
      </c>
      <c r="AM47" s="132">
        <f t="shared" si="47"/>
        <v>5526.964026323948</v>
      </c>
      <c r="AN47" s="132">
        <f t="shared" si="47"/>
        <v>5871.6915746928007</v>
      </c>
      <c r="AO47" s="132">
        <f t="shared" si="47"/>
        <v>6238.9903817593158</v>
      </c>
      <c r="AP47" s="132">
        <f t="shared" si="47"/>
        <v>6630.3543878958171</v>
      </c>
      <c r="AQ47" s="132">
        <f t="shared" si="47"/>
        <v>7047.3819450164929</v>
      </c>
      <c r="AR47" s="132">
        <f t="shared" si="47"/>
        <v>7491.7832164666943</v>
      </c>
      <c r="AS47" s="132">
        <f t="shared" si="47"/>
        <v>7965.3881514098102</v>
      </c>
      <c r="AT47" s="132">
        <f t="shared" si="47"/>
        <v>8469.7073733233156</v>
      </c>
      <c r="AU47" s="132">
        <f t="shared" si="47"/>
        <v>8996.5508587305521</v>
      </c>
      <c r="AV47" s="132">
        <f t="shared" si="47"/>
        <v>9548.4114231574385</v>
      </c>
      <c r="AW47" s="132">
        <f t="shared" si="47"/>
        <v>10126.656616586537</v>
      </c>
      <c r="AX47" s="132">
        <f t="shared" si="47"/>
        <v>10732.675748910602</v>
      </c>
      <c r="AY47" s="132">
        <f t="shared" si="47"/>
        <v>11367.905421888037</v>
      </c>
      <c r="AZ47" s="132">
        <f t="shared" si="47"/>
        <v>12033.83384884991</v>
      </c>
      <c r="BA47" s="132">
        <f t="shared" si="47"/>
        <v>12732.004760523458</v>
      </c>
      <c r="BB47" s="132">
        <f t="shared" si="47"/>
        <v>13464.021306974064</v>
      </c>
      <c r="BC47" s="132">
        <f t="shared" si="47"/>
        <v>14231.549982615983</v>
      </c>
      <c r="BD47" s="132">
        <f t="shared" si="47"/>
        <v>15036.32459295748</v>
      </c>
    </row>
    <row r="48" spans="2:56" x14ac:dyDescent="0.3">
      <c r="B48" s="111" t="s">
        <v>64</v>
      </c>
      <c r="C48" s="19" t="s">
        <v>65</v>
      </c>
      <c r="D48" s="112">
        <f>BD!D112</f>
        <v>0</v>
      </c>
      <c r="E48" s="112">
        <f>BD!E112</f>
        <v>0</v>
      </c>
      <c r="F48" s="112">
        <f>BD!F112</f>
        <v>0</v>
      </c>
      <c r="G48" s="112">
        <f>BD!G112</f>
        <v>1691.2</v>
      </c>
      <c r="H48" s="112">
        <f>BD!H112</f>
        <v>1860.2650000000001</v>
      </c>
      <c r="I48" s="112">
        <f>BD!I112</f>
        <v>1860.3</v>
      </c>
      <c r="J48" s="112">
        <f>BD!J112</f>
        <v>1860.3</v>
      </c>
      <c r="K48" s="112">
        <f>BD!K112</f>
        <v>1860.2650000000001</v>
      </c>
      <c r="L48" s="112">
        <f>BD!L112</f>
        <v>1860.2650000000001</v>
      </c>
      <c r="M48" s="112">
        <f>BD!M112</f>
        <v>1860.2650000000001</v>
      </c>
      <c r="N48" s="112">
        <f>BD!N112</f>
        <v>1860.2650000000001</v>
      </c>
      <c r="O48" s="113">
        <f t="shared" ref="O48:BD48" si="48">N48</f>
        <v>1860.2650000000001</v>
      </c>
      <c r="P48" s="113">
        <f t="shared" si="48"/>
        <v>1860.2650000000001</v>
      </c>
      <c r="Q48" s="113">
        <f t="shared" si="48"/>
        <v>1860.2650000000001</v>
      </c>
      <c r="R48" s="113">
        <f t="shared" si="48"/>
        <v>1860.2650000000001</v>
      </c>
      <c r="S48" s="113">
        <f t="shared" si="48"/>
        <v>1860.2650000000001</v>
      </c>
      <c r="T48" s="113">
        <f t="shared" si="48"/>
        <v>1860.2650000000001</v>
      </c>
      <c r="U48" s="113">
        <f t="shared" si="48"/>
        <v>1860.2650000000001</v>
      </c>
      <c r="V48" s="113">
        <f t="shared" si="48"/>
        <v>1860.2650000000001</v>
      </c>
      <c r="W48" s="113">
        <f t="shared" si="48"/>
        <v>1860.2650000000001</v>
      </c>
      <c r="X48" s="113">
        <f t="shared" si="48"/>
        <v>1860.2650000000001</v>
      </c>
      <c r="Y48" s="113">
        <f t="shared" si="48"/>
        <v>1860.2650000000001</v>
      </c>
      <c r="Z48" s="113">
        <f t="shared" si="48"/>
        <v>1860.2650000000001</v>
      </c>
      <c r="AA48" s="113">
        <f t="shared" si="48"/>
        <v>1860.2650000000001</v>
      </c>
      <c r="AB48" s="113">
        <f t="shared" si="48"/>
        <v>1860.2650000000001</v>
      </c>
      <c r="AC48" s="113">
        <f t="shared" si="48"/>
        <v>1860.2650000000001</v>
      </c>
      <c r="AD48" s="113">
        <f t="shared" si="48"/>
        <v>1860.2650000000001</v>
      </c>
      <c r="AE48" s="113">
        <f t="shared" si="48"/>
        <v>1860.2650000000001</v>
      </c>
      <c r="AF48" s="113">
        <f t="shared" si="48"/>
        <v>1860.2650000000001</v>
      </c>
      <c r="AG48" s="113">
        <f t="shared" si="48"/>
        <v>1860.2650000000001</v>
      </c>
      <c r="AH48" s="113">
        <f t="shared" si="48"/>
        <v>1860.2650000000001</v>
      </c>
      <c r="AI48" s="113">
        <f t="shared" si="48"/>
        <v>1860.2650000000001</v>
      </c>
      <c r="AJ48" s="113">
        <f t="shared" si="48"/>
        <v>1860.2650000000001</v>
      </c>
      <c r="AK48" s="113">
        <f t="shared" si="48"/>
        <v>1860.2650000000001</v>
      </c>
      <c r="AL48" s="113">
        <f t="shared" si="48"/>
        <v>1860.2650000000001</v>
      </c>
      <c r="AM48" s="113">
        <f t="shared" si="48"/>
        <v>1860.2650000000001</v>
      </c>
      <c r="AN48" s="113">
        <f t="shared" si="48"/>
        <v>1860.2650000000001</v>
      </c>
      <c r="AO48" s="113">
        <f t="shared" si="48"/>
        <v>1860.2650000000001</v>
      </c>
      <c r="AP48" s="113">
        <f t="shared" si="48"/>
        <v>1860.2650000000001</v>
      </c>
      <c r="AQ48" s="113">
        <f t="shared" si="48"/>
        <v>1860.2650000000001</v>
      </c>
      <c r="AR48" s="113">
        <f t="shared" si="48"/>
        <v>1860.2650000000001</v>
      </c>
      <c r="AS48" s="113">
        <f t="shared" si="48"/>
        <v>1860.2650000000001</v>
      </c>
      <c r="AT48" s="113">
        <f t="shared" si="48"/>
        <v>1860.2650000000001</v>
      </c>
      <c r="AU48" s="113">
        <f t="shared" si="48"/>
        <v>1860.2650000000001</v>
      </c>
      <c r="AV48" s="113">
        <f t="shared" si="48"/>
        <v>1860.2650000000001</v>
      </c>
      <c r="AW48" s="113">
        <f t="shared" si="48"/>
        <v>1860.2650000000001</v>
      </c>
      <c r="AX48" s="113">
        <f t="shared" si="48"/>
        <v>1860.2650000000001</v>
      </c>
      <c r="AY48" s="113">
        <f t="shared" si="48"/>
        <v>1860.2650000000001</v>
      </c>
      <c r="AZ48" s="113">
        <f t="shared" si="48"/>
        <v>1860.2650000000001</v>
      </c>
      <c r="BA48" s="113">
        <f t="shared" si="48"/>
        <v>1860.2650000000001</v>
      </c>
      <c r="BB48" s="113">
        <f t="shared" si="48"/>
        <v>1860.2650000000001</v>
      </c>
      <c r="BC48" s="113">
        <f t="shared" si="48"/>
        <v>1860.2650000000001</v>
      </c>
      <c r="BD48" s="114">
        <f t="shared" si="48"/>
        <v>1860.2650000000001</v>
      </c>
    </row>
    <row r="49" spans="2:56" x14ac:dyDescent="0.3">
      <c r="B49" s="111" t="s">
        <v>494</v>
      </c>
      <c r="C49" s="19" t="s">
        <v>66</v>
      </c>
      <c r="D49" s="112">
        <f>BD!D113</f>
        <v>0</v>
      </c>
      <c r="E49" s="112">
        <f>BD!E113</f>
        <v>0</v>
      </c>
      <c r="F49" s="112">
        <f>BD!F113</f>
        <v>0</v>
      </c>
      <c r="G49" s="112">
        <f>BD!G113</f>
        <v>79.400000000000006</v>
      </c>
      <c r="H49" s="112">
        <f>BD!H113</f>
        <v>79.381</v>
      </c>
      <c r="I49" s="112">
        <f>BD!I113</f>
        <v>79.400000000000006</v>
      </c>
      <c r="J49" s="112">
        <f>BD!J113</f>
        <v>79.400000000000006</v>
      </c>
      <c r="K49" s="112">
        <f>BD!K113</f>
        <v>79.381</v>
      </c>
      <c r="L49" s="112">
        <f>BD!L113</f>
        <v>79.381</v>
      </c>
      <c r="M49" s="112">
        <f>BD!M113</f>
        <v>79.381</v>
      </c>
      <c r="N49" s="112">
        <f>BD!N113</f>
        <v>79.381</v>
      </c>
      <c r="O49" s="113">
        <f t="shared" ref="O49:BD52" si="49">N49</f>
        <v>79.381</v>
      </c>
      <c r="P49" s="113">
        <f t="shared" si="49"/>
        <v>79.381</v>
      </c>
      <c r="Q49" s="113">
        <f t="shared" si="49"/>
        <v>79.381</v>
      </c>
      <c r="R49" s="113">
        <f t="shared" si="49"/>
        <v>79.381</v>
      </c>
      <c r="S49" s="113">
        <f t="shared" si="49"/>
        <v>79.381</v>
      </c>
      <c r="T49" s="113">
        <f t="shared" si="49"/>
        <v>79.381</v>
      </c>
      <c r="U49" s="113">
        <f t="shared" si="49"/>
        <v>79.381</v>
      </c>
      <c r="V49" s="113">
        <f t="shared" si="49"/>
        <v>79.381</v>
      </c>
      <c r="W49" s="113">
        <f t="shared" si="49"/>
        <v>79.381</v>
      </c>
      <c r="X49" s="113">
        <f t="shared" si="49"/>
        <v>79.381</v>
      </c>
      <c r="Y49" s="113">
        <f t="shared" si="49"/>
        <v>79.381</v>
      </c>
      <c r="Z49" s="113">
        <f t="shared" si="49"/>
        <v>79.381</v>
      </c>
      <c r="AA49" s="113">
        <f t="shared" si="49"/>
        <v>79.381</v>
      </c>
      <c r="AB49" s="113">
        <f t="shared" si="49"/>
        <v>79.381</v>
      </c>
      <c r="AC49" s="113">
        <f t="shared" si="49"/>
        <v>79.381</v>
      </c>
      <c r="AD49" s="113">
        <f t="shared" si="49"/>
        <v>79.381</v>
      </c>
      <c r="AE49" s="113">
        <f t="shared" si="49"/>
        <v>79.381</v>
      </c>
      <c r="AF49" s="113">
        <f t="shared" si="49"/>
        <v>79.381</v>
      </c>
      <c r="AG49" s="113">
        <f t="shared" si="49"/>
        <v>79.381</v>
      </c>
      <c r="AH49" s="113">
        <f t="shared" si="49"/>
        <v>79.381</v>
      </c>
      <c r="AI49" s="113">
        <f t="shared" si="49"/>
        <v>79.381</v>
      </c>
      <c r="AJ49" s="113">
        <f t="shared" si="49"/>
        <v>79.381</v>
      </c>
      <c r="AK49" s="113">
        <f t="shared" si="49"/>
        <v>79.381</v>
      </c>
      <c r="AL49" s="113">
        <f t="shared" si="49"/>
        <v>79.381</v>
      </c>
      <c r="AM49" s="113">
        <f t="shared" si="49"/>
        <v>79.381</v>
      </c>
      <c r="AN49" s="113">
        <f t="shared" si="49"/>
        <v>79.381</v>
      </c>
      <c r="AO49" s="113">
        <f t="shared" si="49"/>
        <v>79.381</v>
      </c>
      <c r="AP49" s="113">
        <f t="shared" si="49"/>
        <v>79.381</v>
      </c>
      <c r="AQ49" s="113">
        <f t="shared" si="49"/>
        <v>79.381</v>
      </c>
      <c r="AR49" s="113">
        <f t="shared" si="49"/>
        <v>79.381</v>
      </c>
      <c r="AS49" s="113">
        <f t="shared" si="49"/>
        <v>79.381</v>
      </c>
      <c r="AT49" s="113">
        <f t="shared" si="49"/>
        <v>79.381</v>
      </c>
      <c r="AU49" s="113">
        <f t="shared" si="49"/>
        <v>79.381</v>
      </c>
      <c r="AV49" s="113">
        <f t="shared" si="49"/>
        <v>79.381</v>
      </c>
      <c r="AW49" s="113">
        <f t="shared" si="49"/>
        <v>79.381</v>
      </c>
      <c r="AX49" s="113">
        <f t="shared" si="49"/>
        <v>79.381</v>
      </c>
      <c r="AY49" s="113">
        <f t="shared" si="49"/>
        <v>79.381</v>
      </c>
      <c r="AZ49" s="113">
        <f t="shared" si="49"/>
        <v>79.381</v>
      </c>
      <c r="BA49" s="113">
        <f t="shared" si="49"/>
        <v>79.381</v>
      </c>
      <c r="BB49" s="113">
        <f t="shared" si="49"/>
        <v>79.381</v>
      </c>
      <c r="BC49" s="113">
        <f t="shared" si="49"/>
        <v>79.381</v>
      </c>
      <c r="BD49" s="114">
        <f t="shared" si="49"/>
        <v>79.381</v>
      </c>
    </row>
    <row r="50" spans="2:56" x14ac:dyDescent="0.3">
      <c r="B50" s="111" t="s">
        <v>67</v>
      </c>
      <c r="C50" s="19" t="s">
        <v>68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3">
        <f t="shared" si="49"/>
        <v>0</v>
      </c>
      <c r="P50" s="113">
        <f t="shared" si="49"/>
        <v>0</v>
      </c>
      <c r="Q50" s="113">
        <f t="shared" si="49"/>
        <v>0</v>
      </c>
      <c r="R50" s="113">
        <f t="shared" si="49"/>
        <v>0</v>
      </c>
      <c r="S50" s="113">
        <f t="shared" si="49"/>
        <v>0</v>
      </c>
      <c r="T50" s="113">
        <f t="shared" si="49"/>
        <v>0</v>
      </c>
      <c r="U50" s="113">
        <f t="shared" si="49"/>
        <v>0</v>
      </c>
      <c r="V50" s="113">
        <f t="shared" si="49"/>
        <v>0</v>
      </c>
      <c r="W50" s="113">
        <f t="shared" si="49"/>
        <v>0</v>
      </c>
      <c r="X50" s="113">
        <f t="shared" si="49"/>
        <v>0</v>
      </c>
      <c r="Y50" s="113">
        <f t="shared" si="49"/>
        <v>0</v>
      </c>
      <c r="Z50" s="113">
        <f t="shared" si="49"/>
        <v>0</v>
      </c>
      <c r="AA50" s="113">
        <f t="shared" si="49"/>
        <v>0</v>
      </c>
      <c r="AB50" s="113">
        <f t="shared" si="49"/>
        <v>0</v>
      </c>
      <c r="AC50" s="113">
        <f t="shared" si="49"/>
        <v>0</v>
      </c>
      <c r="AD50" s="113">
        <f t="shared" si="49"/>
        <v>0</v>
      </c>
      <c r="AE50" s="113">
        <f t="shared" si="49"/>
        <v>0</v>
      </c>
      <c r="AF50" s="113">
        <f t="shared" si="49"/>
        <v>0</v>
      </c>
      <c r="AG50" s="113">
        <f t="shared" si="49"/>
        <v>0</v>
      </c>
      <c r="AH50" s="113">
        <f t="shared" si="49"/>
        <v>0</v>
      </c>
      <c r="AI50" s="113">
        <f t="shared" si="49"/>
        <v>0</v>
      </c>
      <c r="AJ50" s="113">
        <f t="shared" si="49"/>
        <v>0</v>
      </c>
      <c r="AK50" s="113">
        <f t="shared" si="49"/>
        <v>0</v>
      </c>
      <c r="AL50" s="113">
        <f t="shared" si="49"/>
        <v>0</v>
      </c>
      <c r="AM50" s="113">
        <f t="shared" si="49"/>
        <v>0</v>
      </c>
      <c r="AN50" s="113">
        <f t="shared" si="49"/>
        <v>0</v>
      </c>
      <c r="AO50" s="113">
        <f t="shared" si="49"/>
        <v>0</v>
      </c>
      <c r="AP50" s="113">
        <f t="shared" si="49"/>
        <v>0</v>
      </c>
      <c r="AQ50" s="113">
        <f t="shared" si="49"/>
        <v>0</v>
      </c>
      <c r="AR50" s="113">
        <f t="shared" si="49"/>
        <v>0</v>
      </c>
      <c r="AS50" s="113">
        <f t="shared" si="49"/>
        <v>0</v>
      </c>
      <c r="AT50" s="113">
        <f t="shared" si="49"/>
        <v>0</v>
      </c>
      <c r="AU50" s="113">
        <f t="shared" si="49"/>
        <v>0</v>
      </c>
      <c r="AV50" s="113">
        <f t="shared" si="49"/>
        <v>0</v>
      </c>
      <c r="AW50" s="113">
        <f t="shared" si="49"/>
        <v>0</v>
      </c>
      <c r="AX50" s="113">
        <f t="shared" si="49"/>
        <v>0</v>
      </c>
      <c r="AY50" s="113">
        <f t="shared" si="49"/>
        <v>0</v>
      </c>
      <c r="AZ50" s="113">
        <f t="shared" si="49"/>
        <v>0</v>
      </c>
      <c r="BA50" s="113">
        <f t="shared" si="49"/>
        <v>0</v>
      </c>
      <c r="BB50" s="113">
        <f t="shared" si="49"/>
        <v>0</v>
      </c>
      <c r="BC50" s="113">
        <f t="shared" si="49"/>
        <v>0</v>
      </c>
      <c r="BD50" s="114">
        <f t="shared" si="49"/>
        <v>0</v>
      </c>
    </row>
    <row r="51" spans="2:56" x14ac:dyDescent="0.3">
      <c r="B51" s="111" t="s">
        <v>69</v>
      </c>
      <c r="C51" s="19" t="s">
        <v>70</v>
      </c>
      <c r="D51" s="112">
        <f>BD!D114+BD!D115</f>
        <v>0</v>
      </c>
      <c r="E51" s="112">
        <f>BD!E114+BD!E115</f>
        <v>0</v>
      </c>
      <c r="F51" s="112">
        <f>BD!F114+BD!F115</f>
        <v>0</v>
      </c>
      <c r="G51" s="112">
        <f>BD!G114+BD!G115</f>
        <v>-149.19999999999999</v>
      </c>
      <c r="H51" s="112">
        <f>BD!H114+BD!H115</f>
        <v>-202.52500000000001</v>
      </c>
      <c r="I51" s="112">
        <f>BD!I114+BD!I115</f>
        <v>-211.9</v>
      </c>
      <c r="J51" s="112">
        <f>BD!J114+BD!J115</f>
        <v>-249.6</v>
      </c>
      <c r="K51" s="112">
        <f>BD!K114+BD!K115</f>
        <v>-281.596</v>
      </c>
      <c r="L51" s="112">
        <f>BD!L114+BD!L115</f>
        <v>-307.75399999999996</v>
      </c>
      <c r="M51" s="112">
        <f>BD!M114+BD!M115</f>
        <v>-191.738</v>
      </c>
      <c r="N51" s="112">
        <f>BD!N114+BD!N115</f>
        <v>-173.292</v>
      </c>
      <c r="O51" s="113">
        <f t="shared" si="49"/>
        <v>-173.292</v>
      </c>
      <c r="P51" s="113">
        <f t="shared" si="49"/>
        <v>-173.292</v>
      </c>
      <c r="Q51" s="113">
        <f t="shared" si="49"/>
        <v>-173.292</v>
      </c>
      <c r="R51" s="113">
        <f t="shared" si="49"/>
        <v>-173.292</v>
      </c>
      <c r="S51" s="113">
        <f t="shared" si="49"/>
        <v>-173.292</v>
      </c>
      <c r="T51" s="113">
        <f t="shared" si="49"/>
        <v>-173.292</v>
      </c>
      <c r="U51" s="113">
        <f t="shared" si="49"/>
        <v>-173.292</v>
      </c>
      <c r="V51" s="113">
        <f t="shared" si="49"/>
        <v>-173.292</v>
      </c>
      <c r="W51" s="113">
        <f t="shared" si="49"/>
        <v>-173.292</v>
      </c>
      <c r="X51" s="113">
        <f t="shared" si="49"/>
        <v>-173.292</v>
      </c>
      <c r="Y51" s="113">
        <f t="shared" si="49"/>
        <v>-173.292</v>
      </c>
      <c r="Z51" s="113">
        <f t="shared" si="49"/>
        <v>-173.292</v>
      </c>
      <c r="AA51" s="113">
        <f t="shared" si="49"/>
        <v>-173.292</v>
      </c>
      <c r="AB51" s="113">
        <f t="shared" si="49"/>
        <v>-173.292</v>
      </c>
      <c r="AC51" s="113">
        <f t="shared" si="49"/>
        <v>-173.292</v>
      </c>
      <c r="AD51" s="113">
        <f t="shared" si="49"/>
        <v>-173.292</v>
      </c>
      <c r="AE51" s="113">
        <f t="shared" si="49"/>
        <v>-173.292</v>
      </c>
      <c r="AF51" s="113">
        <f t="shared" si="49"/>
        <v>-173.292</v>
      </c>
      <c r="AG51" s="113">
        <f t="shared" si="49"/>
        <v>-173.292</v>
      </c>
      <c r="AH51" s="113">
        <f t="shared" si="49"/>
        <v>-173.292</v>
      </c>
      <c r="AI51" s="113">
        <f t="shared" si="49"/>
        <v>-173.292</v>
      </c>
      <c r="AJ51" s="113">
        <f t="shared" si="49"/>
        <v>-173.292</v>
      </c>
      <c r="AK51" s="113">
        <f t="shared" si="49"/>
        <v>-173.292</v>
      </c>
      <c r="AL51" s="113">
        <f t="shared" si="49"/>
        <v>-173.292</v>
      </c>
      <c r="AM51" s="113">
        <f t="shared" si="49"/>
        <v>-173.292</v>
      </c>
      <c r="AN51" s="113">
        <f t="shared" si="49"/>
        <v>-173.292</v>
      </c>
      <c r="AO51" s="113">
        <f t="shared" si="49"/>
        <v>-173.292</v>
      </c>
      <c r="AP51" s="113">
        <f t="shared" si="49"/>
        <v>-173.292</v>
      </c>
      <c r="AQ51" s="113">
        <f t="shared" si="49"/>
        <v>-173.292</v>
      </c>
      <c r="AR51" s="113">
        <f t="shared" si="49"/>
        <v>-173.292</v>
      </c>
      <c r="AS51" s="113">
        <f t="shared" si="49"/>
        <v>-173.292</v>
      </c>
      <c r="AT51" s="113">
        <f t="shared" si="49"/>
        <v>-173.292</v>
      </c>
      <c r="AU51" s="113">
        <f t="shared" si="49"/>
        <v>-173.292</v>
      </c>
      <c r="AV51" s="113">
        <f t="shared" si="49"/>
        <v>-173.292</v>
      </c>
      <c r="AW51" s="113">
        <f t="shared" si="49"/>
        <v>-173.292</v>
      </c>
      <c r="AX51" s="113">
        <f t="shared" si="49"/>
        <v>-173.292</v>
      </c>
      <c r="AY51" s="113">
        <f t="shared" si="49"/>
        <v>-173.292</v>
      </c>
      <c r="AZ51" s="113">
        <f t="shared" si="49"/>
        <v>-173.292</v>
      </c>
      <c r="BA51" s="113">
        <f t="shared" si="49"/>
        <v>-173.292</v>
      </c>
      <c r="BB51" s="113">
        <f t="shared" si="49"/>
        <v>-173.292</v>
      </c>
      <c r="BC51" s="113">
        <f t="shared" si="49"/>
        <v>-173.292</v>
      </c>
      <c r="BD51" s="114">
        <f t="shared" si="49"/>
        <v>-173.292</v>
      </c>
    </row>
    <row r="52" spans="2:56" x14ac:dyDescent="0.3">
      <c r="B52" s="111" t="s">
        <v>71</v>
      </c>
      <c r="C52" s="19" t="s">
        <v>72</v>
      </c>
      <c r="D52" s="112">
        <f>BD!D116</f>
        <v>0</v>
      </c>
      <c r="E52" s="112">
        <f>BD!E116</f>
        <v>0</v>
      </c>
      <c r="F52" s="112">
        <f>BD!F116</f>
        <v>0</v>
      </c>
      <c r="G52" s="112">
        <f>BD!G116</f>
        <v>25.2</v>
      </c>
      <c r="H52" s="112">
        <f>BD!H116</f>
        <v>25.17</v>
      </c>
      <c r="I52" s="112">
        <f>BD!I116</f>
        <v>25.2</v>
      </c>
      <c r="J52" s="112">
        <f>BD!J116</f>
        <v>25.2</v>
      </c>
      <c r="K52" s="112">
        <f>BD!K116</f>
        <v>25.17</v>
      </c>
      <c r="L52" s="112">
        <f>BD!L116</f>
        <v>25.17</v>
      </c>
      <c r="M52" s="112">
        <f>BD!M116</f>
        <v>25.17</v>
      </c>
      <c r="N52" s="112">
        <f>BD!N116</f>
        <v>25.17</v>
      </c>
      <c r="O52" s="113">
        <f t="shared" si="49"/>
        <v>25.17</v>
      </c>
      <c r="P52" s="113">
        <f t="shared" si="49"/>
        <v>25.17</v>
      </c>
      <c r="Q52" s="113">
        <f t="shared" si="49"/>
        <v>25.17</v>
      </c>
      <c r="R52" s="113">
        <f t="shared" si="49"/>
        <v>25.17</v>
      </c>
      <c r="S52" s="113">
        <f t="shared" si="49"/>
        <v>25.17</v>
      </c>
      <c r="T52" s="113">
        <f t="shared" si="49"/>
        <v>25.17</v>
      </c>
      <c r="U52" s="113">
        <f t="shared" si="49"/>
        <v>25.17</v>
      </c>
      <c r="V52" s="113">
        <f t="shared" si="49"/>
        <v>25.17</v>
      </c>
      <c r="W52" s="113">
        <f t="shared" si="49"/>
        <v>25.17</v>
      </c>
      <c r="X52" s="113">
        <f t="shared" si="49"/>
        <v>25.17</v>
      </c>
      <c r="Y52" s="113">
        <f t="shared" si="49"/>
        <v>25.17</v>
      </c>
      <c r="Z52" s="113">
        <f t="shared" si="49"/>
        <v>25.17</v>
      </c>
      <c r="AA52" s="113">
        <f t="shared" si="49"/>
        <v>25.17</v>
      </c>
      <c r="AB52" s="113">
        <f t="shared" si="49"/>
        <v>25.17</v>
      </c>
      <c r="AC52" s="113">
        <f t="shared" si="49"/>
        <v>25.17</v>
      </c>
      <c r="AD52" s="113">
        <f t="shared" si="49"/>
        <v>25.17</v>
      </c>
      <c r="AE52" s="113">
        <f t="shared" si="49"/>
        <v>25.17</v>
      </c>
      <c r="AF52" s="113">
        <f t="shared" si="49"/>
        <v>25.17</v>
      </c>
      <c r="AG52" s="113">
        <f t="shared" si="49"/>
        <v>25.17</v>
      </c>
      <c r="AH52" s="113">
        <f t="shared" si="49"/>
        <v>25.17</v>
      </c>
      <c r="AI52" s="113">
        <f t="shared" si="49"/>
        <v>25.17</v>
      </c>
      <c r="AJ52" s="113">
        <f t="shared" si="49"/>
        <v>25.17</v>
      </c>
      <c r="AK52" s="113">
        <f t="shared" si="49"/>
        <v>25.17</v>
      </c>
      <c r="AL52" s="113">
        <f t="shared" si="49"/>
        <v>25.17</v>
      </c>
      <c r="AM52" s="113">
        <f t="shared" si="49"/>
        <v>25.17</v>
      </c>
      <c r="AN52" s="113">
        <f t="shared" si="49"/>
        <v>25.17</v>
      </c>
      <c r="AO52" s="113">
        <f t="shared" si="49"/>
        <v>25.17</v>
      </c>
      <c r="AP52" s="113">
        <f t="shared" si="49"/>
        <v>25.17</v>
      </c>
      <c r="AQ52" s="113">
        <f t="shared" si="49"/>
        <v>25.17</v>
      </c>
      <c r="AR52" s="113">
        <f t="shared" si="49"/>
        <v>25.17</v>
      </c>
      <c r="AS52" s="113">
        <f t="shared" si="49"/>
        <v>25.17</v>
      </c>
      <c r="AT52" s="113">
        <f t="shared" si="49"/>
        <v>25.17</v>
      </c>
      <c r="AU52" s="113">
        <f t="shared" si="49"/>
        <v>25.17</v>
      </c>
      <c r="AV52" s="113">
        <f t="shared" si="49"/>
        <v>25.17</v>
      </c>
      <c r="AW52" s="113">
        <f t="shared" si="49"/>
        <v>25.17</v>
      </c>
      <c r="AX52" s="113">
        <f t="shared" si="49"/>
        <v>25.17</v>
      </c>
      <c r="AY52" s="113">
        <f t="shared" si="49"/>
        <v>25.17</v>
      </c>
      <c r="AZ52" s="113">
        <f t="shared" si="49"/>
        <v>25.17</v>
      </c>
      <c r="BA52" s="113">
        <f t="shared" si="49"/>
        <v>25.17</v>
      </c>
      <c r="BB52" s="113">
        <f t="shared" si="49"/>
        <v>25.17</v>
      </c>
      <c r="BC52" s="113">
        <f t="shared" si="49"/>
        <v>25.17</v>
      </c>
      <c r="BD52" s="114">
        <f t="shared" si="49"/>
        <v>25.17</v>
      </c>
    </row>
    <row r="53" spans="2:56" x14ac:dyDescent="0.3">
      <c r="B53" s="510" t="s">
        <v>73</v>
      </c>
      <c r="C53" s="22" t="s">
        <v>74</v>
      </c>
      <c r="D53" s="112">
        <f>BD!D117</f>
        <v>0</v>
      </c>
      <c r="E53" s="112">
        <f>BD!E117</f>
        <v>0</v>
      </c>
      <c r="F53" s="112">
        <f>BD!F117</f>
        <v>0</v>
      </c>
      <c r="G53" s="643">
        <f>BD!G117</f>
        <v>-448.9</v>
      </c>
      <c r="H53" s="643">
        <f>BD!H117</f>
        <v>-551.70000000000005</v>
      </c>
      <c r="I53" s="643">
        <f>BD!I117</f>
        <v>-608.9</v>
      </c>
      <c r="J53" s="643">
        <f>BD!J117</f>
        <v>-637.20000000000005</v>
      </c>
      <c r="K53" s="643">
        <f>BD!K117</f>
        <v>-614.72</v>
      </c>
      <c r="L53" s="643">
        <f>BD!L117</f>
        <v>-633.92600000000004</v>
      </c>
      <c r="M53" s="643">
        <f>BD!M117</f>
        <v>-623.57100000000003</v>
      </c>
      <c r="N53" s="643">
        <f>BD!N117</f>
        <v>-630.93200000000002</v>
      </c>
      <c r="O53" s="644">
        <f t="shared" ref="O53:BD53" si="50">N53+LucroLiquido-Dividendos</f>
        <v>-543.41805594734603</v>
      </c>
      <c r="P53" s="644">
        <f t="shared" si="50"/>
        <v>-441.04900822834725</v>
      </c>
      <c r="Q53" s="644">
        <f t="shared" si="50"/>
        <v>-317.48993213825116</v>
      </c>
      <c r="R53" s="644">
        <f t="shared" si="50"/>
        <v>-168.57321276918299</v>
      </c>
      <c r="S53" s="644">
        <f t="shared" si="50"/>
        <v>0.82152176608457239</v>
      </c>
      <c r="T53" s="644">
        <f t="shared" si="50"/>
        <v>84.492517215907924</v>
      </c>
      <c r="U53" s="644">
        <f t="shared" si="50"/>
        <v>177.470240972298</v>
      </c>
      <c r="V53" s="644">
        <f t="shared" si="50"/>
        <v>279.08048926863398</v>
      </c>
      <c r="W53" s="644">
        <f t="shared" si="50"/>
        <v>389.73247733251208</v>
      </c>
      <c r="X53" s="644">
        <f t="shared" si="50"/>
        <v>509.85205538553839</v>
      </c>
      <c r="Y53" s="644">
        <f t="shared" si="50"/>
        <v>640.10821744236659</v>
      </c>
      <c r="Z53" s="644">
        <f t="shared" si="50"/>
        <v>781.11062452889962</v>
      </c>
      <c r="AA53" s="644">
        <f t="shared" si="50"/>
        <v>931.50315778882486</v>
      </c>
      <c r="AB53" s="644">
        <f t="shared" si="50"/>
        <v>1091.9801904478879</v>
      </c>
      <c r="AC53" s="644">
        <f t="shared" si="50"/>
        <v>1263.1662261468341</v>
      </c>
      <c r="AD53" s="644">
        <f t="shared" si="50"/>
        <v>1445.7191992693254</v>
      </c>
      <c r="AE53" s="644">
        <f t="shared" si="50"/>
        <v>1640.3521218303308</v>
      </c>
      <c r="AF53" s="644">
        <f t="shared" si="50"/>
        <v>1847.8200382944997</v>
      </c>
      <c r="AG53" s="644">
        <f t="shared" si="50"/>
        <v>2068.9350116063415</v>
      </c>
      <c r="AH53" s="644">
        <f t="shared" si="50"/>
        <v>2304.5676253149104</v>
      </c>
      <c r="AI53" s="644">
        <f t="shared" si="50"/>
        <v>2555.6476791528949</v>
      </c>
      <c r="AJ53" s="644">
        <f t="shared" si="50"/>
        <v>2823.1713282478372</v>
      </c>
      <c r="AK53" s="644">
        <f t="shared" si="50"/>
        <v>3108.2045483650609</v>
      </c>
      <c r="AL53" s="644">
        <f t="shared" si="50"/>
        <v>3411.8874278342532</v>
      </c>
      <c r="AM53" s="644">
        <f t="shared" si="50"/>
        <v>3735.4400263239477</v>
      </c>
      <c r="AN53" s="644">
        <f t="shared" si="50"/>
        <v>4080.1675746928008</v>
      </c>
      <c r="AO53" s="644">
        <f t="shared" si="50"/>
        <v>4447.4663817593155</v>
      </c>
      <c r="AP53" s="644">
        <f t="shared" si="50"/>
        <v>4838.8303878958168</v>
      </c>
      <c r="AQ53" s="644">
        <f t="shared" si="50"/>
        <v>5255.8579450164925</v>
      </c>
      <c r="AR53" s="644">
        <f t="shared" si="50"/>
        <v>5700.2592164666939</v>
      </c>
      <c r="AS53" s="644">
        <f t="shared" si="50"/>
        <v>6173.8641514098099</v>
      </c>
      <c r="AT53" s="644">
        <f t="shared" si="50"/>
        <v>6678.1833733233152</v>
      </c>
      <c r="AU53" s="644">
        <f t="shared" si="50"/>
        <v>7205.0268587305527</v>
      </c>
      <c r="AV53" s="644">
        <f t="shared" si="50"/>
        <v>7756.8874231574382</v>
      </c>
      <c r="AW53" s="644">
        <f t="shared" si="50"/>
        <v>8335.1326165865357</v>
      </c>
      <c r="AX53" s="644">
        <f t="shared" si="50"/>
        <v>8941.1517489106027</v>
      </c>
      <c r="AY53" s="644">
        <f t="shared" si="50"/>
        <v>9576.3814218880361</v>
      </c>
      <c r="AZ53" s="644">
        <f t="shared" si="50"/>
        <v>10242.309848849911</v>
      </c>
      <c r="BA53" s="644">
        <f t="shared" si="50"/>
        <v>10940.480760523456</v>
      </c>
      <c r="BB53" s="644">
        <f t="shared" si="50"/>
        <v>11672.497306974063</v>
      </c>
      <c r="BC53" s="644">
        <f t="shared" si="50"/>
        <v>12440.025982615982</v>
      </c>
      <c r="BD53" s="645">
        <f t="shared" si="50"/>
        <v>13244.800592957479</v>
      </c>
    </row>
    <row r="54" spans="2:56" x14ac:dyDescent="0.3">
      <c r="B54" s="115" t="s">
        <v>495</v>
      </c>
      <c r="C54" s="116"/>
      <c r="D54" s="117">
        <f>BD!D118</f>
        <v>0</v>
      </c>
      <c r="E54" s="117">
        <f>BD!E118</f>
        <v>0</v>
      </c>
      <c r="F54" s="117">
        <f>BD!F118</f>
        <v>0</v>
      </c>
      <c r="G54" s="117">
        <f>BD!G118</f>
        <v>8.8000000000000007</v>
      </c>
      <c r="H54" s="117">
        <f>BD!H118</f>
        <v>6.8819999999999997</v>
      </c>
      <c r="I54" s="117">
        <f>BD!I118</f>
        <v>7.8</v>
      </c>
      <c r="J54" s="117">
        <f>BD!J118</f>
        <v>7.7</v>
      </c>
      <c r="K54" s="117">
        <f>BD!K118</f>
        <v>10.468</v>
      </c>
      <c r="L54" s="117">
        <f>BD!L118</f>
        <v>4.6680000000000001</v>
      </c>
      <c r="M54" s="117">
        <f>BD!M118</f>
        <v>0</v>
      </c>
      <c r="N54" s="117">
        <f>BD!N118</f>
        <v>0</v>
      </c>
      <c r="O54" s="511">
        <f t="shared" ref="O54:BD54" si="51">N54</f>
        <v>0</v>
      </c>
      <c r="P54" s="511">
        <f t="shared" si="51"/>
        <v>0</v>
      </c>
      <c r="Q54" s="511">
        <f t="shared" si="51"/>
        <v>0</v>
      </c>
      <c r="R54" s="511">
        <f t="shared" si="51"/>
        <v>0</v>
      </c>
      <c r="S54" s="511">
        <f t="shared" si="51"/>
        <v>0</v>
      </c>
      <c r="T54" s="511">
        <f t="shared" si="51"/>
        <v>0</v>
      </c>
      <c r="U54" s="511">
        <f t="shared" si="51"/>
        <v>0</v>
      </c>
      <c r="V54" s="511">
        <f t="shared" si="51"/>
        <v>0</v>
      </c>
      <c r="W54" s="511">
        <f t="shared" si="51"/>
        <v>0</v>
      </c>
      <c r="X54" s="511">
        <f t="shared" si="51"/>
        <v>0</v>
      </c>
      <c r="Y54" s="511">
        <f t="shared" si="51"/>
        <v>0</v>
      </c>
      <c r="Z54" s="511">
        <f t="shared" si="51"/>
        <v>0</v>
      </c>
      <c r="AA54" s="511">
        <f t="shared" si="51"/>
        <v>0</v>
      </c>
      <c r="AB54" s="511">
        <f t="shared" si="51"/>
        <v>0</v>
      </c>
      <c r="AC54" s="511">
        <f t="shared" si="51"/>
        <v>0</v>
      </c>
      <c r="AD54" s="511">
        <f t="shared" si="51"/>
        <v>0</v>
      </c>
      <c r="AE54" s="511">
        <f t="shared" si="51"/>
        <v>0</v>
      </c>
      <c r="AF54" s="511">
        <f t="shared" si="51"/>
        <v>0</v>
      </c>
      <c r="AG54" s="511">
        <f t="shared" si="51"/>
        <v>0</v>
      </c>
      <c r="AH54" s="511">
        <f t="shared" si="51"/>
        <v>0</v>
      </c>
      <c r="AI54" s="511">
        <f t="shared" si="51"/>
        <v>0</v>
      </c>
      <c r="AJ54" s="511">
        <f t="shared" si="51"/>
        <v>0</v>
      </c>
      <c r="AK54" s="511">
        <f t="shared" si="51"/>
        <v>0</v>
      </c>
      <c r="AL54" s="511">
        <f t="shared" si="51"/>
        <v>0</v>
      </c>
      <c r="AM54" s="511">
        <f t="shared" si="51"/>
        <v>0</v>
      </c>
      <c r="AN54" s="511">
        <f t="shared" si="51"/>
        <v>0</v>
      </c>
      <c r="AO54" s="511">
        <f t="shared" si="51"/>
        <v>0</v>
      </c>
      <c r="AP54" s="511">
        <f t="shared" si="51"/>
        <v>0</v>
      </c>
      <c r="AQ54" s="511">
        <f t="shared" si="51"/>
        <v>0</v>
      </c>
      <c r="AR54" s="511">
        <f t="shared" si="51"/>
        <v>0</v>
      </c>
      <c r="AS54" s="511">
        <f t="shared" si="51"/>
        <v>0</v>
      </c>
      <c r="AT54" s="511">
        <f t="shared" si="51"/>
        <v>0</v>
      </c>
      <c r="AU54" s="511">
        <f t="shared" si="51"/>
        <v>0</v>
      </c>
      <c r="AV54" s="511">
        <f t="shared" si="51"/>
        <v>0</v>
      </c>
      <c r="AW54" s="511">
        <f t="shared" si="51"/>
        <v>0</v>
      </c>
      <c r="AX54" s="511">
        <f t="shared" si="51"/>
        <v>0</v>
      </c>
      <c r="AY54" s="511">
        <f t="shared" si="51"/>
        <v>0</v>
      </c>
      <c r="AZ54" s="511">
        <f t="shared" si="51"/>
        <v>0</v>
      </c>
      <c r="BA54" s="511">
        <f t="shared" si="51"/>
        <v>0</v>
      </c>
      <c r="BB54" s="511">
        <f t="shared" si="51"/>
        <v>0</v>
      </c>
      <c r="BC54" s="511">
        <f t="shared" si="51"/>
        <v>0</v>
      </c>
      <c r="BD54" s="512">
        <f t="shared" si="51"/>
        <v>0</v>
      </c>
    </row>
    <row r="55" spans="2:56" x14ac:dyDescent="0.3">
      <c r="B55" s="19" t="s">
        <v>247</v>
      </c>
      <c r="D55" s="170">
        <f t="shared" ref="D55:L55" si="52">D5-D25-D47</f>
        <v>0</v>
      </c>
      <c r="E55" s="170">
        <f t="shared" si="52"/>
        <v>0</v>
      </c>
      <c r="F55" s="170">
        <f t="shared" si="52"/>
        <v>0</v>
      </c>
      <c r="G55" s="170">
        <f t="shared" si="52"/>
        <v>0</v>
      </c>
      <c r="H55" s="170">
        <f t="shared" si="52"/>
        <v>8.5999999999785359E-2</v>
      </c>
      <c r="I55" s="170">
        <f t="shared" si="52"/>
        <v>0</v>
      </c>
      <c r="J55" s="170">
        <f t="shared" si="52"/>
        <v>-2.9000000000223736E-2</v>
      </c>
      <c r="K55" s="170">
        <f t="shared" si="52"/>
        <v>0</v>
      </c>
      <c r="L55" s="170">
        <f t="shared" si="52"/>
        <v>0</v>
      </c>
      <c r="M55" s="170">
        <f t="shared" ref="M55:BD55" si="53">M5-M25-M47</f>
        <v>0</v>
      </c>
      <c r="N55" s="170">
        <f t="shared" ref="N55" si="54">N5-N25-N47</f>
        <v>0</v>
      </c>
      <c r="O55" s="170">
        <f t="shared" si="53"/>
        <v>0</v>
      </c>
      <c r="P55" s="170">
        <f t="shared" si="53"/>
        <v>0</v>
      </c>
      <c r="Q55" s="170">
        <f t="shared" si="53"/>
        <v>0</v>
      </c>
      <c r="R55" s="170">
        <f t="shared" si="53"/>
        <v>0</v>
      </c>
      <c r="S55" s="170">
        <f t="shared" si="53"/>
        <v>0</v>
      </c>
      <c r="T55" s="170">
        <f t="shared" si="53"/>
        <v>0</v>
      </c>
      <c r="U55" s="170">
        <f t="shared" si="53"/>
        <v>0</v>
      </c>
      <c r="V55" s="170">
        <f t="shared" si="53"/>
        <v>0</v>
      </c>
      <c r="W55" s="170">
        <f t="shared" si="53"/>
        <v>0</v>
      </c>
      <c r="X55" s="170">
        <f t="shared" si="53"/>
        <v>0</v>
      </c>
      <c r="Y55" s="170">
        <f t="shared" si="53"/>
        <v>0</v>
      </c>
      <c r="Z55" s="170">
        <f t="shared" si="53"/>
        <v>0</v>
      </c>
      <c r="AA55" s="170">
        <f t="shared" si="53"/>
        <v>0</v>
      </c>
      <c r="AB55" s="170">
        <f t="shared" si="53"/>
        <v>0</v>
      </c>
      <c r="AC55" s="170">
        <f t="shared" si="53"/>
        <v>0</v>
      </c>
      <c r="AD55" s="170">
        <f t="shared" si="53"/>
        <v>0</v>
      </c>
      <c r="AE55" s="170">
        <f t="shared" si="53"/>
        <v>0</v>
      </c>
      <c r="AF55" s="170">
        <f t="shared" si="53"/>
        <v>0</v>
      </c>
      <c r="AG55" s="170">
        <f t="shared" si="53"/>
        <v>0</v>
      </c>
      <c r="AH55" s="170">
        <f t="shared" si="53"/>
        <v>0</v>
      </c>
      <c r="AI55" s="170">
        <f t="shared" si="53"/>
        <v>0</v>
      </c>
      <c r="AJ55" s="170">
        <f t="shared" si="53"/>
        <v>0</v>
      </c>
      <c r="AK55" s="170">
        <f t="shared" si="53"/>
        <v>0</v>
      </c>
      <c r="AL55" s="170">
        <f t="shared" si="53"/>
        <v>0</v>
      </c>
      <c r="AM55" s="170">
        <f t="shared" si="53"/>
        <v>0</v>
      </c>
      <c r="AN55" s="170">
        <f t="shared" si="53"/>
        <v>0</v>
      </c>
      <c r="AO55" s="170">
        <f t="shared" si="53"/>
        <v>0</v>
      </c>
      <c r="AP55" s="170">
        <f t="shared" si="53"/>
        <v>0</v>
      </c>
      <c r="AQ55" s="170">
        <f t="shared" si="53"/>
        <v>0</v>
      </c>
      <c r="AR55" s="170">
        <f t="shared" si="53"/>
        <v>0</v>
      </c>
      <c r="AS55" s="170">
        <f t="shared" si="53"/>
        <v>0</v>
      </c>
      <c r="AT55" s="170">
        <f t="shared" si="53"/>
        <v>0</v>
      </c>
      <c r="AU55" s="170">
        <f t="shared" si="53"/>
        <v>0</v>
      </c>
      <c r="AV55" s="170">
        <f t="shared" si="53"/>
        <v>0</v>
      </c>
      <c r="AW55" s="170">
        <f t="shared" si="53"/>
        <v>0</v>
      </c>
      <c r="AX55" s="170">
        <f t="shared" si="53"/>
        <v>0</v>
      </c>
      <c r="AY55" s="170">
        <f t="shared" si="53"/>
        <v>0</v>
      </c>
      <c r="AZ55" s="170">
        <f t="shared" si="53"/>
        <v>0</v>
      </c>
      <c r="BA55" s="170">
        <f t="shared" si="53"/>
        <v>0</v>
      </c>
      <c r="BB55" s="170">
        <f t="shared" si="53"/>
        <v>0</v>
      </c>
      <c r="BC55" s="170">
        <f t="shared" si="53"/>
        <v>0</v>
      </c>
      <c r="BD55" s="170">
        <f t="shared" si="53"/>
        <v>0</v>
      </c>
    </row>
    <row r="58" spans="2:56" x14ac:dyDescent="0.3">
      <c r="B58" s="31" t="s">
        <v>145</v>
      </c>
    </row>
    <row r="59" spans="2:56" x14ac:dyDescent="0.3">
      <c r="B59" t="s">
        <v>290</v>
      </c>
      <c r="D59" s="28" t="e">
        <f t="shared" ref="D59:BD59" si="55">D60+D61-D62</f>
        <v>#DIV/0!</v>
      </c>
      <c r="E59" s="28" t="e">
        <f t="shared" si="55"/>
        <v>#DIV/0!</v>
      </c>
      <c r="F59" s="28" t="e">
        <f t="shared" si="55"/>
        <v>#DIV/0!</v>
      </c>
      <c r="G59" s="28">
        <f t="shared" si="55"/>
        <v>0.65051853956527927</v>
      </c>
      <c r="H59" s="28">
        <f t="shared" si="55"/>
        <v>0.50728623209935231</v>
      </c>
      <c r="I59" s="28">
        <f t="shared" si="55"/>
        <v>0.42990699951052364</v>
      </c>
      <c r="J59" s="28">
        <f t="shared" si="55"/>
        <v>0.45169933078393887</v>
      </c>
      <c r="K59" s="28">
        <f t="shared" si="55"/>
        <v>0.4475604242433599</v>
      </c>
      <c r="L59" s="28">
        <f t="shared" si="55"/>
        <v>0.39346446176151562</v>
      </c>
      <c r="M59" s="28">
        <f t="shared" si="55"/>
        <v>0.39685222370542522</v>
      </c>
      <c r="N59" s="28">
        <f t="shared" ref="N59:O59" si="56">N60+N61-N62</f>
        <v>0.41148990453235207</v>
      </c>
      <c r="O59" s="28">
        <f t="shared" si="56"/>
        <v>0.40060219666643093</v>
      </c>
      <c r="P59" s="28">
        <f t="shared" si="55"/>
        <v>0.40298144163473609</v>
      </c>
      <c r="Q59" s="28">
        <f t="shared" si="55"/>
        <v>0.4050245142778397</v>
      </c>
      <c r="R59" s="28">
        <f t="shared" si="55"/>
        <v>0.40286938419300228</v>
      </c>
      <c r="S59" s="28">
        <f t="shared" si="55"/>
        <v>0.40362511336852597</v>
      </c>
      <c r="T59" s="28">
        <f t="shared" si="55"/>
        <v>0.4038396706131227</v>
      </c>
      <c r="U59" s="28">
        <f t="shared" si="55"/>
        <v>0.40344472272488363</v>
      </c>
      <c r="V59" s="28">
        <f t="shared" si="55"/>
        <v>0.40363650223551079</v>
      </c>
      <c r="W59" s="28">
        <f t="shared" si="55"/>
        <v>0.40364029852450573</v>
      </c>
      <c r="X59" s="28">
        <f t="shared" si="55"/>
        <v>0.40357384116163342</v>
      </c>
      <c r="Y59" s="28">
        <f t="shared" si="55"/>
        <v>0.4036168806405499</v>
      </c>
      <c r="Z59" s="28">
        <f t="shared" si="55"/>
        <v>0.4036103401088964</v>
      </c>
      <c r="AA59" s="28">
        <f t="shared" si="55"/>
        <v>0.40360035397035998</v>
      </c>
      <c r="AB59" s="28">
        <f t="shared" si="55"/>
        <v>0.40360919157326874</v>
      </c>
      <c r="AC59" s="28">
        <f t="shared" si="55"/>
        <v>0.40360662855084173</v>
      </c>
      <c r="AD59" s="28">
        <f t="shared" si="55"/>
        <v>0.40360539136482343</v>
      </c>
      <c r="AE59" s="28">
        <f t="shared" si="55"/>
        <v>0.40360707049631134</v>
      </c>
      <c r="AF59" s="28">
        <f t="shared" si="55"/>
        <v>0.40360636347065881</v>
      </c>
      <c r="AG59" s="28">
        <f t="shared" si="55"/>
        <v>0.40360627511059782</v>
      </c>
      <c r="AH59" s="28">
        <f t="shared" si="55"/>
        <v>0.40360656969252273</v>
      </c>
      <c r="AI59" s="28">
        <f t="shared" si="55"/>
        <v>0.40360640275792653</v>
      </c>
      <c r="AJ59" s="28">
        <f t="shared" si="55"/>
        <v>0.40360641585368234</v>
      </c>
      <c r="AK59" s="28">
        <f t="shared" si="55"/>
        <v>0.40360646276804385</v>
      </c>
      <c r="AL59" s="28">
        <f t="shared" si="55"/>
        <v>0.40360642712655087</v>
      </c>
      <c r="AM59" s="28">
        <f t="shared" si="55"/>
        <v>0.40360643524942563</v>
      </c>
      <c r="AN59" s="28">
        <f t="shared" si="55"/>
        <v>0.40360644171467347</v>
      </c>
      <c r="AO59" s="28">
        <f t="shared" si="55"/>
        <v>0.40360643469688334</v>
      </c>
      <c r="AP59" s="28">
        <f t="shared" si="55"/>
        <v>0.40360643722032746</v>
      </c>
      <c r="AQ59" s="28">
        <f t="shared" si="55"/>
        <v>0.40360643787729472</v>
      </c>
      <c r="AR59" s="28">
        <f t="shared" si="55"/>
        <v>0.40360643659816853</v>
      </c>
      <c r="AS59" s="28">
        <f t="shared" si="55"/>
        <v>0.40360643723193024</v>
      </c>
      <c r="AT59" s="28">
        <f t="shared" si="55"/>
        <v>0.40360643723579781</v>
      </c>
      <c r="AU59" s="28">
        <f t="shared" si="55"/>
        <v>0.40360643702196547</v>
      </c>
      <c r="AV59" s="28">
        <f t="shared" si="55"/>
        <v>0.40360643716323114</v>
      </c>
      <c r="AW59" s="28">
        <f t="shared" si="55"/>
        <v>0.40360643714033145</v>
      </c>
      <c r="AX59" s="28">
        <f t="shared" si="55"/>
        <v>0.40360643710850941</v>
      </c>
      <c r="AY59" s="28">
        <f t="shared" si="55"/>
        <v>0.40360643713735739</v>
      </c>
      <c r="AZ59" s="28">
        <f t="shared" si="55"/>
        <v>0.40360643712873273</v>
      </c>
      <c r="BA59" s="28">
        <f t="shared" si="55"/>
        <v>0.40360643712486649</v>
      </c>
      <c r="BB59" s="28">
        <f t="shared" si="55"/>
        <v>0.40360643713031885</v>
      </c>
      <c r="BC59" s="28">
        <f t="shared" si="55"/>
        <v>0.40360643712797267</v>
      </c>
      <c r="BD59" s="28">
        <f t="shared" si="55"/>
        <v>0.40360643712771932</v>
      </c>
    </row>
    <row r="60" spans="2:56" x14ac:dyDescent="0.3">
      <c r="B60" t="s">
        <v>193</v>
      </c>
      <c r="D60" s="28" t="e">
        <f t="shared" ref="D60:N60" si="57">ContasAReceber/ReceitaLíquida</f>
        <v>#DIV/0!</v>
      </c>
      <c r="E60" s="28" t="e">
        <f t="shared" si="57"/>
        <v>#DIV/0!</v>
      </c>
      <c r="F60" s="28" t="e">
        <f t="shared" si="57"/>
        <v>#DIV/0!</v>
      </c>
      <c r="G60" s="28">
        <f t="shared" si="57"/>
        <v>0.31844011933513283</v>
      </c>
      <c r="H60" s="28">
        <f t="shared" si="57"/>
        <v>0.26840572820726127</v>
      </c>
      <c r="I60" s="28">
        <f t="shared" si="57"/>
        <v>0.25124816446402343</v>
      </c>
      <c r="J60" s="28">
        <f t="shared" si="57"/>
        <v>0.24975573613766733</v>
      </c>
      <c r="K60" s="28">
        <f t="shared" si="57"/>
        <v>0.22443964633153884</v>
      </c>
      <c r="L60" s="28">
        <f t="shared" si="57"/>
        <v>0.21339254462155238</v>
      </c>
      <c r="M60" s="28">
        <f t="shared" si="57"/>
        <v>0.22633744107300011</v>
      </c>
      <c r="N60" s="28">
        <f t="shared" si="57"/>
        <v>0.24437341236428189</v>
      </c>
      <c r="O60" s="51">
        <f t="shared" ref="O60:O62" si="58">AVERAGE(L60:N60)</f>
        <v>0.22803446601961144</v>
      </c>
      <c r="P60" s="51">
        <f t="shared" ref="P60:P62" si="59">AVERAGE(M60:O60)</f>
        <v>0.23291510648563116</v>
      </c>
      <c r="Q60" s="51">
        <f t="shared" ref="Q60:BD60" si="60">AVERAGE(N60:P60)</f>
        <v>0.23510766162317484</v>
      </c>
      <c r="R60" s="51">
        <f t="shared" si="60"/>
        <v>0.23201907804280583</v>
      </c>
      <c r="S60" s="51">
        <f t="shared" si="60"/>
        <v>0.23334728205053726</v>
      </c>
      <c r="T60" s="51">
        <f t="shared" si="60"/>
        <v>0.23349134057217266</v>
      </c>
      <c r="U60" s="51">
        <f t="shared" si="60"/>
        <v>0.23295256688850527</v>
      </c>
      <c r="V60" s="51">
        <f t="shared" si="60"/>
        <v>0.23326372983707175</v>
      </c>
      <c r="W60" s="51">
        <f t="shared" si="60"/>
        <v>0.23323587909924989</v>
      </c>
      <c r="X60" s="51">
        <f t="shared" si="60"/>
        <v>0.23315072527494229</v>
      </c>
      <c r="Y60" s="51">
        <f t="shared" si="60"/>
        <v>0.23321677807042129</v>
      </c>
      <c r="Z60" s="51">
        <f t="shared" si="60"/>
        <v>0.23320112748153785</v>
      </c>
      <c r="AA60" s="51">
        <f t="shared" si="60"/>
        <v>0.23318954360896715</v>
      </c>
      <c r="AB60" s="51">
        <f t="shared" si="60"/>
        <v>0.23320248305364211</v>
      </c>
      <c r="AC60" s="51">
        <f t="shared" si="60"/>
        <v>0.23319771804804904</v>
      </c>
      <c r="AD60" s="51">
        <f t="shared" si="60"/>
        <v>0.23319658157021941</v>
      </c>
      <c r="AE60" s="51">
        <f t="shared" si="60"/>
        <v>0.23319892755730351</v>
      </c>
      <c r="AF60" s="51">
        <f t="shared" si="60"/>
        <v>0.23319774239185731</v>
      </c>
      <c r="AG60" s="51">
        <f t="shared" si="60"/>
        <v>0.23319775050646008</v>
      </c>
      <c r="AH60" s="51">
        <f t="shared" si="60"/>
        <v>0.23319814015187365</v>
      </c>
      <c r="AI60" s="51">
        <f t="shared" si="60"/>
        <v>0.23319787768339703</v>
      </c>
      <c r="AJ60" s="51">
        <f t="shared" si="60"/>
        <v>0.23319792278057694</v>
      </c>
      <c r="AK60" s="51">
        <f t="shared" si="60"/>
        <v>0.23319798020528251</v>
      </c>
      <c r="AL60" s="51">
        <f t="shared" si="60"/>
        <v>0.23319792688975216</v>
      </c>
      <c r="AM60" s="51">
        <f t="shared" si="60"/>
        <v>0.23319794329187052</v>
      </c>
      <c r="AN60" s="51">
        <f t="shared" si="60"/>
        <v>0.23319795012896838</v>
      </c>
      <c r="AO60" s="51">
        <f t="shared" si="60"/>
        <v>0.23319794010353034</v>
      </c>
      <c r="AP60" s="51">
        <f t="shared" si="60"/>
        <v>0.23319794450812306</v>
      </c>
      <c r="AQ60" s="51">
        <f t="shared" si="60"/>
        <v>0.23319794491354059</v>
      </c>
      <c r="AR60" s="51">
        <f t="shared" si="60"/>
        <v>0.23319794317506468</v>
      </c>
      <c r="AS60" s="51">
        <f t="shared" si="60"/>
        <v>0.23319794419890946</v>
      </c>
      <c r="AT60" s="51">
        <f t="shared" si="60"/>
        <v>0.23319794409583824</v>
      </c>
      <c r="AU60" s="51">
        <f t="shared" si="60"/>
        <v>0.23319794382327078</v>
      </c>
      <c r="AV60" s="51">
        <f t="shared" si="60"/>
        <v>0.23319794403933949</v>
      </c>
      <c r="AW60" s="51">
        <f t="shared" si="60"/>
        <v>0.23319794398614949</v>
      </c>
      <c r="AX60" s="51">
        <f t="shared" si="60"/>
        <v>0.23319794394958659</v>
      </c>
      <c r="AY60" s="51">
        <f t="shared" si="60"/>
        <v>0.23319794399169189</v>
      </c>
      <c r="AZ60" s="51">
        <f t="shared" si="60"/>
        <v>0.23319794397580931</v>
      </c>
      <c r="BA60" s="51">
        <f t="shared" si="60"/>
        <v>0.2331979439723626</v>
      </c>
      <c r="BB60" s="51">
        <f t="shared" si="60"/>
        <v>0.23319794397995461</v>
      </c>
      <c r="BC60" s="51">
        <f t="shared" si="60"/>
        <v>0.23319794397604218</v>
      </c>
      <c r="BD60" s="51">
        <f t="shared" si="60"/>
        <v>0.23319794397611981</v>
      </c>
    </row>
    <row r="61" spans="2:56" x14ac:dyDescent="0.3">
      <c r="B61" t="s">
        <v>195</v>
      </c>
      <c r="D61" s="28" t="e">
        <f t="shared" ref="D61:N61" si="61">Estoques/ReceitaLíquida</f>
        <v>#DIV/0!</v>
      </c>
      <c r="E61" s="28" t="e">
        <f t="shared" si="61"/>
        <v>#DIV/0!</v>
      </c>
      <c r="F61" s="28" t="e">
        <f t="shared" si="61"/>
        <v>#DIV/0!</v>
      </c>
      <c r="G61" s="28">
        <f t="shared" si="61"/>
        <v>0.49616422787327746</v>
      </c>
      <c r="H61" s="28">
        <f t="shared" si="61"/>
        <v>0.34969398062867668</v>
      </c>
      <c r="I61" s="28">
        <f t="shared" si="61"/>
        <v>0.27361722956436607</v>
      </c>
      <c r="J61" s="28">
        <f t="shared" si="61"/>
        <v>0.28181931166347995</v>
      </c>
      <c r="K61" s="28">
        <f t="shared" si="61"/>
        <v>0.29023574221636061</v>
      </c>
      <c r="L61" s="28">
        <f t="shared" si="61"/>
        <v>0.24239260562694723</v>
      </c>
      <c r="M61" s="28">
        <f t="shared" si="61"/>
        <v>0.2447701932282558</v>
      </c>
      <c r="N61" s="28">
        <f t="shared" si="61"/>
        <v>0.2538980073328872</v>
      </c>
      <c r="O61" s="51">
        <f t="shared" si="58"/>
        <v>0.24702026872936342</v>
      </c>
      <c r="P61" s="51">
        <f t="shared" si="59"/>
        <v>0.2485628230968355</v>
      </c>
      <c r="Q61" s="51">
        <f t="shared" ref="Q61:BD61" si="62">AVERAGE(N61:P61)</f>
        <v>0.2498270330530287</v>
      </c>
      <c r="R61" s="51">
        <f t="shared" si="62"/>
        <v>0.2484700416264092</v>
      </c>
      <c r="S61" s="51">
        <f t="shared" si="62"/>
        <v>0.24895329925875778</v>
      </c>
      <c r="T61" s="51">
        <f t="shared" si="62"/>
        <v>0.24908345797939857</v>
      </c>
      <c r="U61" s="51">
        <f t="shared" si="62"/>
        <v>0.24883559962152182</v>
      </c>
      <c r="V61" s="51">
        <f t="shared" si="62"/>
        <v>0.24895745228655938</v>
      </c>
      <c r="W61" s="51">
        <f t="shared" si="62"/>
        <v>0.24895883662915994</v>
      </c>
      <c r="X61" s="51">
        <f t="shared" si="62"/>
        <v>0.2489172961790804</v>
      </c>
      <c r="Y61" s="51">
        <f t="shared" si="62"/>
        <v>0.24894452836493322</v>
      </c>
      <c r="Z61" s="51">
        <f t="shared" si="62"/>
        <v>0.24894022039105787</v>
      </c>
      <c r="AA61" s="51">
        <f t="shared" si="62"/>
        <v>0.24893401497835718</v>
      </c>
      <c r="AB61" s="51">
        <f t="shared" si="62"/>
        <v>0.24893958791144943</v>
      </c>
      <c r="AC61" s="51">
        <f t="shared" si="62"/>
        <v>0.24893794109362152</v>
      </c>
      <c r="AD61" s="51">
        <f t="shared" si="62"/>
        <v>0.2489371813278094</v>
      </c>
      <c r="AE61" s="51">
        <f t="shared" si="62"/>
        <v>0.2489382367776268</v>
      </c>
      <c r="AF61" s="51">
        <f t="shared" si="62"/>
        <v>0.24893778639968592</v>
      </c>
      <c r="AG61" s="51">
        <f t="shared" si="62"/>
        <v>0.2489377348350407</v>
      </c>
      <c r="AH61" s="51">
        <f t="shared" si="62"/>
        <v>0.24893791933745113</v>
      </c>
      <c r="AI61" s="51">
        <f t="shared" si="62"/>
        <v>0.24893781352405928</v>
      </c>
      <c r="AJ61" s="51">
        <f t="shared" si="62"/>
        <v>0.24893782256551703</v>
      </c>
      <c r="AK61" s="51">
        <f t="shared" si="62"/>
        <v>0.24893785180900915</v>
      </c>
      <c r="AL61" s="51">
        <f t="shared" si="62"/>
        <v>0.24893782929952848</v>
      </c>
      <c r="AM61" s="51">
        <f t="shared" si="62"/>
        <v>0.24893783455801821</v>
      </c>
      <c r="AN61" s="51">
        <f t="shared" si="62"/>
        <v>0.24893783855551863</v>
      </c>
      <c r="AO61" s="51">
        <f t="shared" si="62"/>
        <v>0.24893783413768844</v>
      </c>
      <c r="AP61" s="51">
        <f t="shared" si="62"/>
        <v>0.24893783575040843</v>
      </c>
      <c r="AQ61" s="51">
        <f t="shared" si="62"/>
        <v>0.24893783614787182</v>
      </c>
      <c r="AR61" s="51">
        <f t="shared" si="62"/>
        <v>0.24893783534532288</v>
      </c>
      <c r="AS61" s="51">
        <f t="shared" si="62"/>
        <v>0.24893783574786768</v>
      </c>
      <c r="AT61" s="51">
        <f t="shared" si="62"/>
        <v>0.24893783574702077</v>
      </c>
      <c r="AU61" s="51">
        <f t="shared" si="62"/>
        <v>0.24893783561340377</v>
      </c>
      <c r="AV61" s="51">
        <f t="shared" si="62"/>
        <v>0.24893783570276407</v>
      </c>
      <c r="AW61" s="51">
        <f t="shared" si="62"/>
        <v>0.24893783568772954</v>
      </c>
      <c r="AX61" s="51">
        <f t="shared" si="62"/>
        <v>0.24893783566796579</v>
      </c>
      <c r="AY61" s="51">
        <f t="shared" si="62"/>
        <v>0.24893783568615313</v>
      </c>
      <c r="AZ61" s="51">
        <f t="shared" si="62"/>
        <v>0.24893783568061614</v>
      </c>
      <c r="BA61" s="51">
        <f t="shared" si="62"/>
        <v>0.24893783567824501</v>
      </c>
      <c r="BB61" s="51">
        <f t="shared" si="62"/>
        <v>0.24893783568167141</v>
      </c>
      <c r="BC61" s="51">
        <f t="shared" si="62"/>
        <v>0.24893783568017749</v>
      </c>
      <c r="BD61" s="51">
        <f t="shared" si="62"/>
        <v>0.24893783568003128</v>
      </c>
    </row>
    <row r="62" spans="2:56" x14ac:dyDescent="0.3">
      <c r="B62" t="s">
        <v>194</v>
      </c>
      <c r="D62" s="28" t="e">
        <f t="shared" ref="D62:N62" si="63">Fornecedores/ReceitaLíquida</f>
        <v>#DIV/0!</v>
      </c>
      <c r="E62" s="28" t="e">
        <f t="shared" si="63"/>
        <v>#DIV/0!</v>
      </c>
      <c r="F62" s="28" t="e">
        <f t="shared" si="63"/>
        <v>#DIV/0!</v>
      </c>
      <c r="G62" s="28">
        <f t="shared" si="63"/>
        <v>0.16408580764313113</v>
      </c>
      <c r="H62" s="28">
        <f t="shared" si="63"/>
        <v>0.11081347673658565</v>
      </c>
      <c r="I62" s="28">
        <f t="shared" si="63"/>
        <v>9.4958394517865877E-2</v>
      </c>
      <c r="J62" s="28">
        <f t="shared" si="63"/>
        <v>7.9875717017208414E-2</v>
      </c>
      <c r="K62" s="28">
        <f t="shared" si="63"/>
        <v>6.7114964304539518E-2</v>
      </c>
      <c r="L62" s="28">
        <f t="shared" si="63"/>
        <v>6.2320688486983994E-2</v>
      </c>
      <c r="M62" s="28">
        <f t="shared" si="63"/>
        <v>7.4255410595830698E-2</v>
      </c>
      <c r="N62" s="28">
        <f t="shared" si="63"/>
        <v>8.6781515164817025E-2</v>
      </c>
      <c r="O62" s="51">
        <f t="shared" si="58"/>
        <v>7.4452538082543915E-2</v>
      </c>
      <c r="P62" s="51">
        <f t="shared" si="59"/>
        <v>7.849648794773055E-2</v>
      </c>
      <c r="Q62" s="51">
        <f t="shared" ref="Q62:BD62" si="64">AVERAGE(N62:P62)</f>
        <v>7.9910180398363839E-2</v>
      </c>
      <c r="R62" s="51">
        <f t="shared" si="64"/>
        <v>7.7619735476212773E-2</v>
      </c>
      <c r="S62" s="51">
        <f t="shared" si="64"/>
        <v>7.8675467940769059E-2</v>
      </c>
      <c r="T62" s="51">
        <f t="shared" si="64"/>
        <v>7.8735127938448557E-2</v>
      </c>
      <c r="U62" s="51">
        <f t="shared" si="64"/>
        <v>7.8343443785143463E-2</v>
      </c>
      <c r="V62" s="51">
        <f t="shared" si="64"/>
        <v>7.858467988812036E-2</v>
      </c>
      <c r="W62" s="51">
        <f t="shared" si="64"/>
        <v>7.8554417203904117E-2</v>
      </c>
      <c r="X62" s="51">
        <f t="shared" si="64"/>
        <v>7.8494180292389304E-2</v>
      </c>
      <c r="Y62" s="51">
        <f t="shared" si="64"/>
        <v>7.8544425794804598E-2</v>
      </c>
      <c r="Z62" s="51">
        <f t="shared" si="64"/>
        <v>7.8531007763699326E-2</v>
      </c>
      <c r="AA62" s="51">
        <f t="shared" si="64"/>
        <v>7.8523204616964395E-2</v>
      </c>
      <c r="AB62" s="51">
        <f t="shared" si="64"/>
        <v>7.8532879391822782E-2</v>
      </c>
      <c r="AC62" s="51">
        <f t="shared" si="64"/>
        <v>7.852903059082883E-2</v>
      </c>
      <c r="AD62" s="51">
        <f t="shared" si="64"/>
        <v>7.8528371533205341E-2</v>
      </c>
      <c r="AE62" s="51">
        <f t="shared" si="64"/>
        <v>7.8530093838618989E-2</v>
      </c>
      <c r="AF62" s="51">
        <f t="shared" si="64"/>
        <v>7.8529165320884387E-2</v>
      </c>
      <c r="AG62" s="51">
        <f t="shared" si="64"/>
        <v>7.852921023090291E-2</v>
      </c>
      <c r="AH62" s="51">
        <f t="shared" si="64"/>
        <v>7.8529489796802091E-2</v>
      </c>
      <c r="AI62" s="51">
        <f t="shared" si="64"/>
        <v>7.8529288449529791E-2</v>
      </c>
      <c r="AJ62" s="51">
        <f t="shared" si="64"/>
        <v>7.8529329492411593E-2</v>
      </c>
      <c r="AK62" s="51">
        <f t="shared" si="64"/>
        <v>7.8529369246247829E-2</v>
      </c>
      <c r="AL62" s="51">
        <f t="shared" si="64"/>
        <v>7.8529329062729733E-2</v>
      </c>
      <c r="AM62" s="51">
        <f t="shared" si="64"/>
        <v>7.8529342600463056E-2</v>
      </c>
      <c r="AN62" s="51">
        <f t="shared" si="64"/>
        <v>7.8529346969813549E-2</v>
      </c>
      <c r="AO62" s="51">
        <f t="shared" si="64"/>
        <v>7.8529339544335441E-2</v>
      </c>
      <c r="AP62" s="51">
        <f t="shared" si="64"/>
        <v>7.8529343038204011E-2</v>
      </c>
      <c r="AQ62" s="51">
        <f t="shared" si="64"/>
        <v>7.8529343184117681E-2</v>
      </c>
      <c r="AR62" s="51">
        <f t="shared" si="64"/>
        <v>7.8529341922219054E-2</v>
      </c>
      <c r="AS62" s="51">
        <f t="shared" si="64"/>
        <v>7.852934271484692E-2</v>
      </c>
      <c r="AT62" s="51">
        <f t="shared" si="64"/>
        <v>7.8529342607061223E-2</v>
      </c>
      <c r="AU62" s="51">
        <f t="shared" si="64"/>
        <v>7.8529342414709061E-2</v>
      </c>
      <c r="AV62" s="51">
        <f t="shared" si="64"/>
        <v>7.8529342578872396E-2</v>
      </c>
      <c r="AW62" s="51">
        <f t="shared" si="64"/>
        <v>7.8529342533547555E-2</v>
      </c>
      <c r="AX62" s="51">
        <f t="shared" si="64"/>
        <v>7.852934250904299E-2</v>
      </c>
      <c r="AY62" s="51">
        <f t="shared" si="64"/>
        <v>7.8529342540487643E-2</v>
      </c>
      <c r="AZ62" s="51">
        <f t="shared" si="64"/>
        <v>7.8529342527692725E-2</v>
      </c>
      <c r="BA62" s="51">
        <f t="shared" si="64"/>
        <v>7.8529342525741119E-2</v>
      </c>
      <c r="BB62" s="51">
        <f t="shared" si="64"/>
        <v>7.8529342531307167E-2</v>
      </c>
      <c r="BC62" s="51">
        <f t="shared" si="64"/>
        <v>7.8529342528247004E-2</v>
      </c>
      <c r="BD62" s="51">
        <f t="shared" si="64"/>
        <v>7.8529342528431759E-2</v>
      </c>
    </row>
    <row r="64" spans="2:56" x14ac:dyDescent="0.3">
      <c r="B64" s="80" t="s">
        <v>141</v>
      </c>
      <c r="C64" s="80" t="s">
        <v>142</v>
      </c>
      <c r="D64" s="599">
        <v>0.37</v>
      </c>
      <c r="E64" s="599">
        <v>0.37</v>
      </c>
      <c r="F64" s="599">
        <v>0.37</v>
      </c>
      <c r="G64" s="599">
        <v>0.37</v>
      </c>
      <c r="H64" s="599">
        <v>0.37</v>
      </c>
      <c r="I64" s="599">
        <v>0.37</v>
      </c>
      <c r="J64" s="599">
        <v>0.37</v>
      </c>
      <c r="K64" s="599">
        <v>0.37</v>
      </c>
      <c r="L64" s="599">
        <v>0.37</v>
      </c>
      <c r="M64" s="599">
        <v>0.37</v>
      </c>
      <c r="N64" s="599">
        <v>0.37</v>
      </c>
      <c r="O64" s="67">
        <f t="shared" ref="O64" si="65">(O31+O41)/O65</f>
        <v>0.37000000000000005</v>
      </c>
      <c r="P64" s="67">
        <f t="shared" ref="P64:BD64" si="66">(P31+P41)/P65</f>
        <v>0.37000000000000005</v>
      </c>
      <c r="Q64" s="67">
        <f t="shared" si="66"/>
        <v>0.37000000000000005</v>
      </c>
      <c r="R64" s="67">
        <f t="shared" si="66"/>
        <v>0.37000000000000005</v>
      </c>
      <c r="S64" s="67">
        <f t="shared" si="66"/>
        <v>0.37000000000000005</v>
      </c>
      <c r="T64" s="67">
        <f t="shared" si="66"/>
        <v>0.37000000000000005</v>
      </c>
      <c r="U64" s="67">
        <f t="shared" si="66"/>
        <v>0.37000000000000005</v>
      </c>
      <c r="V64" s="67">
        <f t="shared" si="66"/>
        <v>0.37000000000000005</v>
      </c>
      <c r="W64" s="67">
        <f t="shared" si="66"/>
        <v>0.37000000000000005</v>
      </c>
      <c r="X64" s="67">
        <f t="shared" si="66"/>
        <v>0.37000000000000005</v>
      </c>
      <c r="Y64" s="67">
        <f t="shared" si="66"/>
        <v>0.37000000000000005</v>
      </c>
      <c r="Z64" s="67">
        <f t="shared" si="66"/>
        <v>0.37000000000000005</v>
      </c>
      <c r="AA64" s="67">
        <f t="shared" si="66"/>
        <v>0.37000000000000005</v>
      </c>
      <c r="AB64" s="67">
        <f t="shared" si="66"/>
        <v>0.37000000000000005</v>
      </c>
      <c r="AC64" s="67">
        <f t="shared" si="66"/>
        <v>0.37000000000000005</v>
      </c>
      <c r="AD64" s="67">
        <f t="shared" si="66"/>
        <v>0.37000000000000005</v>
      </c>
      <c r="AE64" s="67">
        <f t="shared" si="66"/>
        <v>0.37000000000000005</v>
      </c>
      <c r="AF64" s="67">
        <f t="shared" si="66"/>
        <v>0.37000000000000005</v>
      </c>
      <c r="AG64" s="67">
        <f t="shared" si="66"/>
        <v>0.37000000000000005</v>
      </c>
      <c r="AH64" s="67">
        <f t="shared" si="66"/>
        <v>0.37000000000000005</v>
      </c>
      <c r="AI64" s="67">
        <f t="shared" si="66"/>
        <v>0.37000000000000005</v>
      </c>
      <c r="AJ64" s="67">
        <f t="shared" si="66"/>
        <v>0.37000000000000005</v>
      </c>
      <c r="AK64" s="67">
        <f t="shared" si="66"/>
        <v>0.37000000000000005</v>
      </c>
      <c r="AL64" s="67">
        <f t="shared" si="66"/>
        <v>0.37000000000000005</v>
      </c>
      <c r="AM64" s="67">
        <f t="shared" si="66"/>
        <v>0.37000000000000005</v>
      </c>
      <c r="AN64" s="67">
        <f t="shared" si="66"/>
        <v>0.37000000000000005</v>
      </c>
      <c r="AO64" s="67">
        <f t="shared" si="66"/>
        <v>0.37000000000000005</v>
      </c>
      <c r="AP64" s="67">
        <f t="shared" si="66"/>
        <v>0.37000000000000005</v>
      </c>
      <c r="AQ64" s="67">
        <f t="shared" si="66"/>
        <v>0.37000000000000005</v>
      </c>
      <c r="AR64" s="67">
        <f t="shared" si="66"/>
        <v>0.37000000000000005</v>
      </c>
      <c r="AS64" s="67">
        <f t="shared" si="66"/>
        <v>0.37000000000000005</v>
      </c>
      <c r="AT64" s="67">
        <f t="shared" si="66"/>
        <v>0.37000000000000005</v>
      </c>
      <c r="AU64" s="67">
        <f t="shared" si="66"/>
        <v>0.37000000000000005</v>
      </c>
      <c r="AV64" s="67">
        <f t="shared" si="66"/>
        <v>0.37000000000000005</v>
      </c>
      <c r="AW64" s="67">
        <f t="shared" si="66"/>
        <v>0.37000000000000005</v>
      </c>
      <c r="AX64" s="67">
        <f t="shared" si="66"/>
        <v>0.37000000000000005</v>
      </c>
      <c r="AY64" s="67">
        <f t="shared" si="66"/>
        <v>0.37000000000000005</v>
      </c>
      <c r="AZ64" s="67">
        <f t="shared" si="66"/>
        <v>0.37000000000000005</v>
      </c>
      <c r="BA64" s="67">
        <f t="shared" si="66"/>
        <v>0.37000000000000005</v>
      </c>
      <c r="BB64" s="67">
        <f t="shared" si="66"/>
        <v>0.37000000000000005</v>
      </c>
      <c r="BC64" s="67">
        <f t="shared" si="66"/>
        <v>0.37000000000000005</v>
      </c>
      <c r="BD64" s="67">
        <f t="shared" si="66"/>
        <v>0.37000000000000005</v>
      </c>
    </row>
    <row r="65" spans="2:56" x14ac:dyDescent="0.3">
      <c r="B65" t="s">
        <v>196</v>
      </c>
      <c r="D65" s="85">
        <f t="shared" ref="D65:AI65" si="67">D29+D39</f>
        <v>0</v>
      </c>
      <c r="E65" s="85">
        <f t="shared" si="67"/>
        <v>0</v>
      </c>
      <c r="F65" s="85">
        <f t="shared" si="67"/>
        <v>0</v>
      </c>
      <c r="G65" s="85">
        <f t="shared" si="67"/>
        <v>888.3</v>
      </c>
      <c r="H65" s="85">
        <f t="shared" si="67"/>
        <v>715.70600000000002</v>
      </c>
      <c r="I65" s="85">
        <f t="shared" si="67"/>
        <v>748.6</v>
      </c>
      <c r="J65" s="85">
        <f t="shared" si="67"/>
        <v>860.59999999999991</v>
      </c>
      <c r="K65" s="85">
        <f t="shared" si="67"/>
        <v>958.05400000000009</v>
      </c>
      <c r="L65" s="85">
        <f t="shared" si="67"/>
        <v>1099.2739999999999</v>
      </c>
      <c r="M65" s="85">
        <f t="shared" si="67"/>
        <v>1075.636</v>
      </c>
      <c r="N65" s="85">
        <f t="shared" ref="N65:O65" si="68">N29+N39</f>
        <v>1187.347</v>
      </c>
      <c r="O65" s="85">
        <f t="shared" si="68"/>
        <v>1187.347</v>
      </c>
      <c r="P65" s="85">
        <f t="shared" si="67"/>
        <v>1187.347</v>
      </c>
      <c r="Q65" s="85">
        <f t="shared" si="67"/>
        <v>1187.347</v>
      </c>
      <c r="R65" s="85">
        <f t="shared" si="67"/>
        <v>1187.347</v>
      </c>
      <c r="S65" s="85">
        <f t="shared" si="67"/>
        <v>1187.347</v>
      </c>
      <c r="T65" s="85">
        <f t="shared" si="67"/>
        <v>1187.347</v>
      </c>
      <c r="U65" s="85">
        <f t="shared" si="67"/>
        <v>1187.347</v>
      </c>
      <c r="V65" s="85">
        <f t="shared" si="67"/>
        <v>1187.347</v>
      </c>
      <c r="W65" s="85">
        <f t="shared" si="67"/>
        <v>1187.347</v>
      </c>
      <c r="X65" s="85">
        <f t="shared" si="67"/>
        <v>1187.347</v>
      </c>
      <c r="Y65" s="85">
        <f t="shared" si="67"/>
        <v>1187.347</v>
      </c>
      <c r="Z65" s="85">
        <f t="shared" si="67"/>
        <v>1187.347</v>
      </c>
      <c r="AA65" s="85">
        <f t="shared" si="67"/>
        <v>1187.347</v>
      </c>
      <c r="AB65" s="85">
        <f t="shared" si="67"/>
        <v>1187.347</v>
      </c>
      <c r="AC65" s="85">
        <f t="shared" si="67"/>
        <v>1187.347</v>
      </c>
      <c r="AD65" s="85">
        <f t="shared" si="67"/>
        <v>1187.347</v>
      </c>
      <c r="AE65" s="85">
        <f t="shared" si="67"/>
        <v>1187.347</v>
      </c>
      <c r="AF65" s="85">
        <f t="shared" si="67"/>
        <v>1187.347</v>
      </c>
      <c r="AG65" s="85">
        <f t="shared" si="67"/>
        <v>1187.347</v>
      </c>
      <c r="AH65" s="85">
        <f t="shared" si="67"/>
        <v>1187.347</v>
      </c>
      <c r="AI65" s="85">
        <f t="shared" si="67"/>
        <v>1187.347</v>
      </c>
      <c r="AJ65" s="85">
        <f t="shared" ref="AJ65:BD65" si="69">AJ29+AJ39</f>
        <v>1187.347</v>
      </c>
      <c r="AK65" s="85">
        <f t="shared" si="69"/>
        <v>1187.347</v>
      </c>
      <c r="AL65" s="85">
        <f t="shared" si="69"/>
        <v>1187.347</v>
      </c>
      <c r="AM65" s="85">
        <f t="shared" si="69"/>
        <v>1187.347</v>
      </c>
      <c r="AN65" s="85">
        <f t="shared" si="69"/>
        <v>1187.347</v>
      </c>
      <c r="AO65" s="85">
        <f t="shared" si="69"/>
        <v>1187.347</v>
      </c>
      <c r="AP65" s="85">
        <f t="shared" si="69"/>
        <v>1187.347</v>
      </c>
      <c r="AQ65" s="85">
        <f t="shared" si="69"/>
        <v>1187.347</v>
      </c>
      <c r="AR65" s="85">
        <f t="shared" si="69"/>
        <v>1187.347</v>
      </c>
      <c r="AS65" s="85">
        <f t="shared" si="69"/>
        <v>1187.347</v>
      </c>
      <c r="AT65" s="85">
        <f t="shared" si="69"/>
        <v>1187.347</v>
      </c>
      <c r="AU65" s="85">
        <f t="shared" si="69"/>
        <v>1187.347</v>
      </c>
      <c r="AV65" s="85">
        <f t="shared" si="69"/>
        <v>1187.347</v>
      </c>
      <c r="AW65" s="85">
        <f t="shared" si="69"/>
        <v>1187.347</v>
      </c>
      <c r="AX65" s="85">
        <f t="shared" si="69"/>
        <v>1187.347</v>
      </c>
      <c r="AY65" s="85">
        <f t="shared" si="69"/>
        <v>1187.347</v>
      </c>
      <c r="AZ65" s="85">
        <f t="shared" si="69"/>
        <v>1187.347</v>
      </c>
      <c r="BA65" s="85">
        <f t="shared" si="69"/>
        <v>1187.347</v>
      </c>
      <c r="BB65" s="85">
        <f t="shared" si="69"/>
        <v>1187.347</v>
      </c>
      <c r="BC65" s="85">
        <f t="shared" si="69"/>
        <v>1187.347</v>
      </c>
      <c r="BD65" s="85">
        <f t="shared" si="69"/>
        <v>1187.347</v>
      </c>
    </row>
    <row r="66" spans="2:56" x14ac:dyDescent="0.3">
      <c r="B66" t="s">
        <v>197</v>
      </c>
      <c r="D66" s="85">
        <f t="shared" ref="D66:AI66" si="70">D8+D16</f>
        <v>0</v>
      </c>
      <c r="E66" s="85">
        <f t="shared" si="70"/>
        <v>0</v>
      </c>
      <c r="F66" s="85">
        <f t="shared" si="70"/>
        <v>0</v>
      </c>
      <c r="G66" s="85">
        <f t="shared" si="70"/>
        <v>146.6</v>
      </c>
      <c r="H66" s="85">
        <f t="shared" si="70"/>
        <v>110.89999999999999</v>
      </c>
      <c r="I66" s="85">
        <f t="shared" si="70"/>
        <v>82.8</v>
      </c>
      <c r="J66" s="85">
        <f t="shared" si="70"/>
        <v>130.93</v>
      </c>
      <c r="K66" s="85">
        <f t="shared" si="70"/>
        <v>171.80700000000002</v>
      </c>
      <c r="L66" s="85">
        <f t="shared" si="70"/>
        <v>240.625</v>
      </c>
      <c r="M66" s="85">
        <f t="shared" si="70"/>
        <v>254.42400000000004</v>
      </c>
      <c r="N66" s="85">
        <f t="shared" ref="N66:O66" si="71">N8+N16</f>
        <v>296.5</v>
      </c>
      <c r="O66" s="85">
        <f t="shared" si="71"/>
        <v>349.09558111268274</v>
      </c>
      <c r="P66" s="85">
        <f t="shared" si="70"/>
        <v>395.60890039474305</v>
      </c>
      <c r="Q66" s="85">
        <f t="shared" si="70"/>
        <v>449.80736104670842</v>
      </c>
      <c r="R66" s="85">
        <f t="shared" si="70"/>
        <v>533.22329866635084</v>
      </c>
      <c r="S66" s="85">
        <f t="shared" si="70"/>
        <v>622.51118788441158</v>
      </c>
      <c r="T66" s="85">
        <f t="shared" si="70"/>
        <v>703.161631752213</v>
      </c>
      <c r="U66" s="85">
        <f t="shared" si="70"/>
        <v>712.91644900694564</v>
      </c>
      <c r="V66" s="85">
        <f t="shared" si="70"/>
        <v>720.70624708771197</v>
      </c>
      <c r="W66" s="85">
        <f t="shared" si="70"/>
        <v>729.94186927611747</v>
      </c>
      <c r="X66" s="85">
        <f t="shared" si="70"/>
        <v>740.44874420175631</v>
      </c>
      <c r="Y66" s="85">
        <f t="shared" si="70"/>
        <v>751.96237525209358</v>
      </c>
      <c r="Z66" s="85">
        <f t="shared" si="70"/>
        <v>765.08639106541443</v>
      </c>
      <c r="AA66" s="85">
        <f t="shared" si="70"/>
        <v>792.37880982795912</v>
      </c>
      <c r="AB66" s="85">
        <f t="shared" si="70"/>
        <v>823.38690036607204</v>
      </c>
      <c r="AC66" s="85">
        <f t="shared" si="70"/>
        <v>857.38650825851028</v>
      </c>
      <c r="AD66" s="85">
        <f t="shared" si="70"/>
        <v>894.49362658977827</v>
      </c>
      <c r="AE66" s="85">
        <f t="shared" si="70"/>
        <v>934.90011532245148</v>
      </c>
      <c r="AF66" s="85">
        <f t="shared" si="70"/>
        <v>978.82674350146885</v>
      </c>
      <c r="AG66" s="85">
        <f t="shared" si="70"/>
        <v>1026.4790392950608</v>
      </c>
      <c r="AH66" s="85">
        <f t="shared" si="70"/>
        <v>1078.0902988559242</v>
      </c>
      <c r="AI66" s="85">
        <f t="shared" si="70"/>
        <v>1133.9087693738611</v>
      </c>
      <c r="AJ66" s="85">
        <f t="shared" ref="AJ66:BD66" si="72">AJ8+AJ16</f>
        <v>1194.1929777695386</v>
      </c>
      <c r="AK66" s="85">
        <f t="shared" si="72"/>
        <v>1259.2216349306036</v>
      </c>
      <c r="AL66" s="85">
        <f t="shared" si="72"/>
        <v>1329.29042013347</v>
      </c>
      <c r="AM66" s="85">
        <f t="shared" si="72"/>
        <v>1404.7128955361363</v>
      </c>
      <c r="AN66" s="85">
        <f t="shared" si="72"/>
        <v>1485.8234186395766</v>
      </c>
      <c r="AO66" s="85">
        <f t="shared" si="72"/>
        <v>1572.977301766171</v>
      </c>
      <c r="AP66" s="85">
        <f t="shared" si="72"/>
        <v>1666.5523691222263</v>
      </c>
      <c r="AQ66" s="85">
        <f t="shared" si="72"/>
        <v>1766.9507164101728</v>
      </c>
      <c r="AR66" s="85">
        <f t="shared" si="72"/>
        <v>1874.6000185339685</v>
      </c>
      <c r="AS66" s="85">
        <f t="shared" si="72"/>
        <v>1989.9553004868251</v>
      </c>
      <c r="AT66" s="85">
        <f t="shared" si="72"/>
        <v>2116.4016167449968</v>
      </c>
      <c r="AU66" s="85">
        <f t="shared" si="72"/>
        <v>2318.6609690469936</v>
      </c>
      <c r="AV66" s="85">
        <f t="shared" si="72"/>
        <v>2536.673984830461</v>
      </c>
      <c r="AW66" s="85">
        <f t="shared" si="72"/>
        <v>2769.8075587279991</v>
      </c>
      <c r="AX66" s="85">
        <f t="shared" si="72"/>
        <v>3018.598036027638</v>
      </c>
      <c r="AY66" s="85">
        <f t="shared" si="72"/>
        <v>3283.6509318022322</v>
      </c>
      <c r="AZ66" s="85">
        <f t="shared" si="72"/>
        <v>3565.6199985176754</v>
      </c>
      <c r="BA66" s="85">
        <f t="shared" si="72"/>
        <v>3865.2069173670925</v>
      </c>
      <c r="BB66" s="85">
        <f t="shared" si="72"/>
        <v>4183.1616125996115</v>
      </c>
      <c r="BC66" s="85">
        <f t="shared" si="72"/>
        <v>4520.2827909906091</v>
      </c>
      <c r="BD66" s="85">
        <f t="shared" si="72"/>
        <v>4877.4186891504705</v>
      </c>
    </row>
    <row r="67" spans="2:56" x14ac:dyDescent="0.3">
      <c r="B67" t="s">
        <v>198</v>
      </c>
      <c r="D67" s="85">
        <f>D65-D66</f>
        <v>0</v>
      </c>
      <c r="E67" s="85">
        <f t="shared" ref="E67:BD67" si="73">E65-E66</f>
        <v>0</v>
      </c>
      <c r="F67" s="85">
        <f t="shared" si="73"/>
        <v>0</v>
      </c>
      <c r="G67" s="85">
        <f t="shared" si="73"/>
        <v>741.69999999999993</v>
      </c>
      <c r="H67" s="85">
        <f t="shared" si="73"/>
        <v>604.80600000000004</v>
      </c>
      <c r="I67" s="85">
        <f t="shared" si="73"/>
        <v>665.80000000000007</v>
      </c>
      <c r="J67" s="85">
        <f t="shared" si="73"/>
        <v>729.66999999999985</v>
      </c>
      <c r="K67" s="85">
        <f t="shared" si="73"/>
        <v>786.24700000000007</v>
      </c>
      <c r="L67" s="85">
        <f t="shared" si="73"/>
        <v>858.64899999999989</v>
      </c>
      <c r="M67" s="85">
        <f t="shared" si="73"/>
        <v>821.21199999999999</v>
      </c>
      <c r="N67" s="85">
        <f t="shared" ref="N67:O67" si="74">N65-N66</f>
        <v>890.84699999999998</v>
      </c>
      <c r="O67" s="85">
        <f t="shared" si="74"/>
        <v>838.25141888731719</v>
      </c>
      <c r="P67" s="85">
        <f t="shared" si="73"/>
        <v>791.73809960525693</v>
      </c>
      <c r="Q67" s="85">
        <f t="shared" si="73"/>
        <v>737.53963895329161</v>
      </c>
      <c r="R67" s="85">
        <f t="shared" si="73"/>
        <v>654.12370133364914</v>
      </c>
      <c r="S67" s="85">
        <f t="shared" si="73"/>
        <v>564.8358121155884</v>
      </c>
      <c r="T67" s="85">
        <f t="shared" si="73"/>
        <v>484.18536824778698</v>
      </c>
      <c r="U67" s="85">
        <f t="shared" si="73"/>
        <v>474.43055099305434</v>
      </c>
      <c r="V67" s="85">
        <f t="shared" si="73"/>
        <v>466.64075291228801</v>
      </c>
      <c r="W67" s="85">
        <f t="shared" si="73"/>
        <v>457.40513072388251</v>
      </c>
      <c r="X67" s="85">
        <f t="shared" si="73"/>
        <v>446.89825579824367</v>
      </c>
      <c r="Y67" s="85">
        <f t="shared" si="73"/>
        <v>435.3846247479064</v>
      </c>
      <c r="Z67" s="85">
        <f t="shared" si="73"/>
        <v>422.26060893458555</v>
      </c>
      <c r="AA67" s="85">
        <f t="shared" si="73"/>
        <v>394.96819017204086</v>
      </c>
      <c r="AB67" s="85">
        <f t="shared" si="73"/>
        <v>363.96009963392794</v>
      </c>
      <c r="AC67" s="85">
        <f t="shared" si="73"/>
        <v>329.9604917414897</v>
      </c>
      <c r="AD67" s="85">
        <f t="shared" si="73"/>
        <v>292.85337341022171</v>
      </c>
      <c r="AE67" s="85">
        <f t="shared" si="73"/>
        <v>252.4468846775485</v>
      </c>
      <c r="AF67" s="85">
        <f t="shared" si="73"/>
        <v>208.52025649853113</v>
      </c>
      <c r="AG67" s="85">
        <f t="shared" si="73"/>
        <v>160.86796070493915</v>
      </c>
      <c r="AH67" s="85">
        <f t="shared" si="73"/>
        <v>109.25670114407581</v>
      </c>
      <c r="AI67" s="85">
        <f t="shared" si="73"/>
        <v>53.438230626138875</v>
      </c>
      <c r="AJ67" s="85">
        <f t="shared" si="73"/>
        <v>-6.8459777695386492</v>
      </c>
      <c r="AK67" s="85">
        <f t="shared" si="73"/>
        <v>-71.874634930603634</v>
      </c>
      <c r="AL67" s="85">
        <f t="shared" si="73"/>
        <v>-141.94342013347</v>
      </c>
      <c r="AM67" s="85">
        <f t="shared" si="73"/>
        <v>-217.36589553613635</v>
      </c>
      <c r="AN67" s="85">
        <f t="shared" si="73"/>
        <v>-298.47641863957665</v>
      </c>
      <c r="AO67" s="85">
        <f t="shared" si="73"/>
        <v>-385.63030176617099</v>
      </c>
      <c r="AP67" s="85">
        <f t="shared" si="73"/>
        <v>-479.20536912222633</v>
      </c>
      <c r="AQ67" s="85">
        <f t="shared" si="73"/>
        <v>-579.60371641017286</v>
      </c>
      <c r="AR67" s="85">
        <f t="shared" si="73"/>
        <v>-687.25301853396854</v>
      </c>
      <c r="AS67" s="85">
        <f t="shared" si="73"/>
        <v>-802.6083004868251</v>
      </c>
      <c r="AT67" s="85">
        <f t="shared" si="73"/>
        <v>-929.05461674499679</v>
      </c>
      <c r="AU67" s="85">
        <f t="shared" si="73"/>
        <v>-1131.3139690469936</v>
      </c>
      <c r="AV67" s="85">
        <f t="shared" si="73"/>
        <v>-1349.326984830461</v>
      </c>
      <c r="AW67" s="85">
        <f t="shared" si="73"/>
        <v>-1582.4605587279991</v>
      </c>
      <c r="AX67" s="85">
        <f t="shared" si="73"/>
        <v>-1831.2510360276381</v>
      </c>
      <c r="AY67" s="85">
        <f t="shared" si="73"/>
        <v>-2096.303931802232</v>
      </c>
      <c r="AZ67" s="85">
        <f t="shared" si="73"/>
        <v>-2378.2729985176757</v>
      </c>
      <c r="BA67" s="85">
        <f t="shared" si="73"/>
        <v>-2677.8599173670927</v>
      </c>
      <c r="BB67" s="85">
        <f t="shared" si="73"/>
        <v>-2995.8146125996118</v>
      </c>
      <c r="BC67" s="85">
        <f t="shared" si="73"/>
        <v>-3332.9357909906093</v>
      </c>
      <c r="BD67" s="85">
        <f t="shared" si="73"/>
        <v>-3690.0716891504708</v>
      </c>
    </row>
    <row r="68" spans="2:56" x14ac:dyDescent="0.3"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</row>
    <row r="69" spans="2:56" s="17" customFormat="1" x14ac:dyDescent="0.3">
      <c r="B69" s="23" t="s">
        <v>79</v>
      </c>
      <c r="C69" s="23" t="s">
        <v>80</v>
      </c>
      <c r="D69" s="97">
        <f>Premissas!D170</f>
        <v>0</v>
      </c>
      <c r="E69" s="97">
        <f>Premissas!E170</f>
        <v>0</v>
      </c>
      <c r="F69" s="97">
        <f>Premissas!F170</f>
        <v>0</v>
      </c>
      <c r="G69" s="97">
        <f>Premissas!G170</f>
        <v>0</v>
      </c>
      <c r="H69" s="97">
        <f>Premissas!H170</f>
        <v>0</v>
      </c>
      <c r="I69" s="97">
        <f>Premissas!I170</f>
        <v>91.5</v>
      </c>
      <c r="J69" s="97">
        <f>Premissas!J170</f>
        <v>86</v>
      </c>
      <c r="K69" s="97">
        <f>Premissas!K170</f>
        <v>78.7</v>
      </c>
      <c r="L69" s="97">
        <f>Premissas!L170</f>
        <v>77.699999999999989</v>
      </c>
      <c r="M69" s="97">
        <f>Premissas!M170</f>
        <v>73.7</v>
      </c>
      <c r="N69" s="97">
        <f>Premissas!N170</f>
        <v>75.000000000000014</v>
      </c>
      <c r="O69" s="101">
        <f t="shared" ref="O69" si="75">N22*O70</f>
        <v>71.153500000000008</v>
      </c>
      <c r="P69" s="101">
        <f t="shared" ref="P69:BD69" si="76">O22*P70</f>
        <v>71.251731207304161</v>
      </c>
      <c r="Q69" s="101">
        <f t="shared" si="76"/>
        <v>71.715259331902317</v>
      </c>
      <c r="R69" s="101">
        <f t="shared" si="76"/>
        <v>72.586517965840045</v>
      </c>
      <c r="S69" s="101">
        <f t="shared" si="76"/>
        <v>73.851159116220202</v>
      </c>
      <c r="T69" s="101">
        <f t="shared" si="76"/>
        <v>75.49233517961656</v>
      </c>
      <c r="U69" s="101">
        <f t="shared" si="76"/>
        <v>77.506567938433747</v>
      </c>
      <c r="V69" s="101">
        <f t="shared" si="76"/>
        <v>79.889028885232563</v>
      </c>
      <c r="W69" s="101">
        <f t="shared" si="76"/>
        <v>82.637574603567174</v>
      </c>
      <c r="X69" s="101">
        <f t="shared" si="76"/>
        <v>85.755031981569019</v>
      </c>
      <c r="Y69" s="101">
        <f t="shared" si="76"/>
        <v>89.245802616734508</v>
      </c>
      <c r="Z69" s="101">
        <f t="shared" si="76"/>
        <v>93.117183412995118</v>
      </c>
      <c r="AA69" s="101">
        <f t="shared" si="76"/>
        <v>97.379540079946125</v>
      </c>
      <c r="AB69" s="101">
        <f t="shared" si="76"/>
        <v>101.91924936425566</v>
      </c>
      <c r="AC69" s="101">
        <f t="shared" si="76"/>
        <v>106.7418188165942</v>
      </c>
      <c r="AD69" s="101">
        <f t="shared" si="76"/>
        <v>111.86261392940524</v>
      </c>
      <c r="AE69" s="101">
        <f t="shared" si="76"/>
        <v>117.29828835148327</v>
      </c>
      <c r="AF69" s="101">
        <f t="shared" si="76"/>
        <v>123.06694768995914</v>
      </c>
      <c r="AG69" s="101">
        <f t="shared" si="76"/>
        <v>129.18819805847681</v>
      </c>
      <c r="AH69" s="101">
        <f t="shared" si="76"/>
        <v>135.68320476324405</v>
      </c>
      <c r="AI69" s="101">
        <f t="shared" si="76"/>
        <v>142.57480455944341</v>
      </c>
      <c r="AJ69" s="101">
        <f t="shared" si="76"/>
        <v>149.88759533893389</v>
      </c>
      <c r="AK69" s="101">
        <f t="shared" si="76"/>
        <v>157.64804133435248</v>
      </c>
      <c r="AL69" s="101">
        <f t="shared" si="76"/>
        <v>165.88459611748766</v>
      </c>
      <c r="AM69" s="101">
        <f t="shared" si="76"/>
        <v>174.62782868967395</v>
      </c>
      <c r="AN69" s="101">
        <f t="shared" si="76"/>
        <v>183.91056326441259</v>
      </c>
      <c r="AO69" s="101">
        <f t="shared" si="76"/>
        <v>193.76803200067062</v>
      </c>
      <c r="AP69" s="101">
        <f t="shared" si="76"/>
        <v>204.23803867736567</v>
      </c>
      <c r="AQ69" s="101">
        <f t="shared" si="76"/>
        <v>215.36113654441439</v>
      </c>
      <c r="AR69" s="101">
        <f t="shared" si="76"/>
        <v>227.18082052348009</v>
      </c>
      <c r="AS69" s="101">
        <f t="shared" si="76"/>
        <v>239.74373429882408</v>
      </c>
      <c r="AT69" s="101">
        <f t="shared" si="76"/>
        <v>253.09989388900735</v>
      </c>
      <c r="AU69" s="101">
        <f t="shared" si="76"/>
        <v>267.27403817392599</v>
      </c>
      <c r="AV69" s="101">
        <f t="shared" si="76"/>
        <v>281.65793036721067</v>
      </c>
      <c r="AW69" s="101">
        <f t="shared" si="76"/>
        <v>296.30505443771847</v>
      </c>
      <c r="AX69" s="101">
        <f t="shared" si="76"/>
        <v>311.26638004162629</v>
      </c>
      <c r="AY69" s="101">
        <f t="shared" si="76"/>
        <v>326.59078878845156</v>
      </c>
      <c r="AZ69" s="101">
        <f t="shared" si="76"/>
        <v>342.32546031771068</v>
      </c>
      <c r="BA69" s="101">
        <f t="shared" si="76"/>
        <v>358.51622289154597</v>
      </c>
      <c r="BB69" s="101">
        <f t="shared" si="76"/>
        <v>375.20787272309298</v>
      </c>
      <c r="BC69" s="101">
        <f t="shared" si="76"/>
        <v>392.44446581027574</v>
      </c>
      <c r="BD69" s="101">
        <f t="shared" si="76"/>
        <v>410.26958563801099</v>
      </c>
    </row>
    <row r="70" spans="2:56" s="17" customFormat="1" x14ac:dyDescent="0.3">
      <c r="B70" s="104" t="s">
        <v>199</v>
      </c>
      <c r="C70" s="105"/>
      <c r="D70" s="106"/>
      <c r="E70" s="107" t="e">
        <f t="shared" ref="E70:M70" si="77">E69/D22</f>
        <v>#DIV/0!</v>
      </c>
      <c r="F70" s="107" t="e">
        <f t="shared" si="77"/>
        <v>#DIV/0!</v>
      </c>
      <c r="G70" s="107" t="e">
        <f t="shared" si="77"/>
        <v>#DIV/0!</v>
      </c>
      <c r="H70" s="107">
        <f t="shared" si="77"/>
        <v>0</v>
      </c>
      <c r="I70" s="573">
        <f t="shared" si="77"/>
        <v>9.6244872199431994E-2</v>
      </c>
      <c r="J70" s="573">
        <f t="shared" si="77"/>
        <v>9.4391395017012394E-2</v>
      </c>
      <c r="K70" s="573">
        <f t="shared" si="77"/>
        <v>9.2887661402639099E-2</v>
      </c>
      <c r="L70" s="573">
        <f t="shared" si="77"/>
        <v>9.8994385221934697E-2</v>
      </c>
      <c r="M70" s="573">
        <f t="shared" si="77"/>
        <v>9.8362931188656647E-2</v>
      </c>
      <c r="N70" s="573">
        <f t="shared" ref="N70" si="78">N69/M22</f>
        <v>0.1120799802739235</v>
      </c>
      <c r="O70" s="103">
        <v>0.11</v>
      </c>
      <c r="P70" s="51">
        <f t="shared" ref="P70:BD72" si="79">O70</f>
        <v>0.11</v>
      </c>
      <c r="Q70" s="51">
        <f t="shared" si="79"/>
        <v>0.11</v>
      </c>
      <c r="R70" s="51">
        <f t="shared" si="79"/>
        <v>0.11</v>
      </c>
      <c r="S70" s="51">
        <f t="shared" si="79"/>
        <v>0.11</v>
      </c>
      <c r="T70" s="51">
        <f t="shared" si="79"/>
        <v>0.11</v>
      </c>
      <c r="U70" s="51">
        <f t="shared" si="79"/>
        <v>0.11</v>
      </c>
      <c r="V70" s="51">
        <f t="shared" si="79"/>
        <v>0.11</v>
      </c>
      <c r="W70" s="51">
        <f t="shared" si="79"/>
        <v>0.11</v>
      </c>
      <c r="X70" s="51">
        <f t="shared" si="79"/>
        <v>0.11</v>
      </c>
      <c r="Y70" s="51">
        <f t="shared" si="79"/>
        <v>0.11</v>
      </c>
      <c r="Z70" s="51">
        <f t="shared" si="79"/>
        <v>0.11</v>
      </c>
      <c r="AA70" s="51">
        <f t="shared" si="79"/>
        <v>0.11</v>
      </c>
      <c r="AB70" s="51">
        <f t="shared" si="79"/>
        <v>0.11</v>
      </c>
      <c r="AC70" s="51">
        <f t="shared" si="79"/>
        <v>0.11</v>
      </c>
      <c r="AD70" s="51">
        <f t="shared" si="79"/>
        <v>0.11</v>
      </c>
      <c r="AE70" s="51">
        <f t="shared" si="79"/>
        <v>0.11</v>
      </c>
      <c r="AF70" s="51">
        <f t="shared" si="79"/>
        <v>0.11</v>
      </c>
      <c r="AG70" s="51">
        <f t="shared" si="79"/>
        <v>0.11</v>
      </c>
      <c r="AH70" s="51">
        <f t="shared" si="79"/>
        <v>0.11</v>
      </c>
      <c r="AI70" s="51">
        <f t="shared" si="79"/>
        <v>0.11</v>
      </c>
      <c r="AJ70" s="51">
        <f t="shared" si="79"/>
        <v>0.11</v>
      </c>
      <c r="AK70" s="51">
        <f t="shared" si="79"/>
        <v>0.11</v>
      </c>
      <c r="AL70" s="51">
        <f t="shared" si="79"/>
        <v>0.11</v>
      </c>
      <c r="AM70" s="51">
        <f t="shared" si="79"/>
        <v>0.11</v>
      </c>
      <c r="AN70" s="51">
        <f t="shared" si="79"/>
        <v>0.11</v>
      </c>
      <c r="AO70" s="51">
        <f t="shared" si="79"/>
        <v>0.11</v>
      </c>
      <c r="AP70" s="51">
        <f t="shared" si="79"/>
        <v>0.11</v>
      </c>
      <c r="AQ70" s="51">
        <f t="shared" si="79"/>
        <v>0.11</v>
      </c>
      <c r="AR70" s="51">
        <f t="shared" si="79"/>
        <v>0.11</v>
      </c>
      <c r="AS70" s="51">
        <f t="shared" si="79"/>
        <v>0.11</v>
      </c>
      <c r="AT70" s="51">
        <f t="shared" si="79"/>
        <v>0.11</v>
      </c>
      <c r="AU70" s="51">
        <f t="shared" si="79"/>
        <v>0.11</v>
      </c>
      <c r="AV70" s="51">
        <f t="shared" si="79"/>
        <v>0.11</v>
      </c>
      <c r="AW70" s="51">
        <f t="shared" si="79"/>
        <v>0.11</v>
      </c>
      <c r="AX70" s="51">
        <f t="shared" si="79"/>
        <v>0.11</v>
      </c>
      <c r="AY70" s="51">
        <f t="shared" si="79"/>
        <v>0.11</v>
      </c>
      <c r="AZ70" s="51">
        <f t="shared" si="79"/>
        <v>0.11</v>
      </c>
      <c r="BA70" s="51">
        <f t="shared" si="79"/>
        <v>0.11</v>
      </c>
      <c r="BB70" s="51">
        <f t="shared" si="79"/>
        <v>0.11</v>
      </c>
      <c r="BC70" s="51">
        <f t="shared" si="79"/>
        <v>0.11</v>
      </c>
      <c r="BD70" s="51">
        <f t="shared" si="79"/>
        <v>0.11</v>
      </c>
    </row>
    <row r="71" spans="2:56" s="17" customFormat="1" x14ac:dyDescent="0.3">
      <c r="B71" s="23" t="s">
        <v>82</v>
      </c>
      <c r="C71" s="23" t="s">
        <v>83</v>
      </c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15">
        <f t="shared" ref="O71" si="80">MIN(O72*N23,N23)</f>
        <v>0</v>
      </c>
      <c r="P71" s="15">
        <f t="shared" ref="P71:AI71" si="81">MIN(P72*O23,O23)</f>
        <v>0</v>
      </c>
      <c r="Q71" s="15">
        <f t="shared" si="81"/>
        <v>0</v>
      </c>
      <c r="R71" s="15">
        <f t="shared" si="81"/>
        <v>0</v>
      </c>
      <c r="S71" s="15">
        <f t="shared" si="81"/>
        <v>0</v>
      </c>
      <c r="T71" s="15">
        <f t="shared" si="81"/>
        <v>0</v>
      </c>
      <c r="U71" s="15">
        <f t="shared" si="81"/>
        <v>0</v>
      </c>
      <c r="V71" s="15">
        <f t="shared" si="81"/>
        <v>0</v>
      </c>
      <c r="W71" s="15">
        <f t="shared" si="81"/>
        <v>0</v>
      </c>
      <c r="X71" s="15">
        <f t="shared" si="81"/>
        <v>0</v>
      </c>
      <c r="Y71" s="15">
        <f t="shared" si="81"/>
        <v>0</v>
      </c>
      <c r="Z71" s="15">
        <f t="shared" si="81"/>
        <v>0</v>
      </c>
      <c r="AA71" s="15">
        <f t="shared" si="81"/>
        <v>0</v>
      </c>
      <c r="AB71" s="15">
        <f t="shared" si="81"/>
        <v>0</v>
      </c>
      <c r="AC71" s="15">
        <f t="shared" si="81"/>
        <v>0</v>
      </c>
      <c r="AD71" s="15">
        <f t="shared" si="81"/>
        <v>0</v>
      </c>
      <c r="AE71" s="15">
        <f t="shared" si="81"/>
        <v>0</v>
      </c>
      <c r="AF71" s="15">
        <f t="shared" si="81"/>
        <v>0</v>
      </c>
      <c r="AG71" s="15">
        <f t="shared" si="81"/>
        <v>0</v>
      </c>
      <c r="AH71" s="15">
        <f t="shared" si="81"/>
        <v>0</v>
      </c>
      <c r="AI71" s="15">
        <f t="shared" si="81"/>
        <v>0</v>
      </c>
    </row>
    <row r="72" spans="2:56" x14ac:dyDescent="0.3">
      <c r="B72" s="104" t="s">
        <v>200</v>
      </c>
      <c r="C72" s="105"/>
      <c r="D72" s="106"/>
      <c r="E72" s="107"/>
      <c r="F72" s="107"/>
      <c r="G72" s="107"/>
      <c r="H72" s="107"/>
      <c r="I72" s="107">
        <f t="shared" ref="I72:N72" si="82">I71/H23</f>
        <v>0</v>
      </c>
      <c r="J72" s="107">
        <f t="shared" si="82"/>
        <v>0</v>
      </c>
      <c r="K72" s="107">
        <f t="shared" si="82"/>
        <v>0</v>
      </c>
      <c r="L72" s="107">
        <f t="shared" si="82"/>
        <v>0</v>
      </c>
      <c r="M72" s="107">
        <f t="shared" si="82"/>
        <v>0</v>
      </c>
      <c r="N72" s="107">
        <f t="shared" si="82"/>
        <v>0</v>
      </c>
      <c r="O72" s="103">
        <v>0</v>
      </c>
      <c r="P72" s="51">
        <f t="shared" si="79"/>
        <v>0</v>
      </c>
      <c r="Q72" s="51">
        <f t="shared" si="79"/>
        <v>0</v>
      </c>
      <c r="R72" s="51">
        <f t="shared" si="79"/>
        <v>0</v>
      </c>
      <c r="S72" s="51">
        <f t="shared" si="79"/>
        <v>0</v>
      </c>
      <c r="T72" s="51">
        <f t="shared" si="79"/>
        <v>0</v>
      </c>
      <c r="U72" s="51">
        <f t="shared" si="79"/>
        <v>0</v>
      </c>
      <c r="V72" s="51">
        <f t="shared" si="79"/>
        <v>0</v>
      </c>
      <c r="W72" s="51">
        <f t="shared" si="79"/>
        <v>0</v>
      </c>
      <c r="X72" s="51">
        <f t="shared" si="79"/>
        <v>0</v>
      </c>
      <c r="Y72" s="51">
        <f t="shared" si="79"/>
        <v>0</v>
      </c>
      <c r="Z72" s="51">
        <f t="shared" si="79"/>
        <v>0</v>
      </c>
      <c r="AA72" s="51">
        <f t="shared" si="79"/>
        <v>0</v>
      </c>
      <c r="AB72" s="51">
        <f t="shared" si="79"/>
        <v>0</v>
      </c>
      <c r="AC72" s="51">
        <f t="shared" si="79"/>
        <v>0</v>
      </c>
      <c r="AD72" s="51">
        <f t="shared" si="79"/>
        <v>0</v>
      </c>
      <c r="AE72" s="51">
        <f t="shared" si="79"/>
        <v>0</v>
      </c>
      <c r="AF72" s="51">
        <f t="shared" si="79"/>
        <v>0</v>
      </c>
      <c r="AG72" s="51">
        <f t="shared" si="79"/>
        <v>0</v>
      </c>
      <c r="AH72" s="51">
        <f t="shared" si="79"/>
        <v>0</v>
      </c>
      <c r="AI72" s="51">
        <f t="shared" si="79"/>
        <v>0</v>
      </c>
      <c r="AJ72" s="51">
        <f t="shared" si="79"/>
        <v>0</v>
      </c>
      <c r="AK72" s="51">
        <f t="shared" si="79"/>
        <v>0</v>
      </c>
      <c r="AL72" s="51">
        <f t="shared" si="79"/>
        <v>0</v>
      </c>
      <c r="AM72" s="51">
        <f t="shared" si="79"/>
        <v>0</v>
      </c>
      <c r="AN72" s="51">
        <f t="shared" si="79"/>
        <v>0</v>
      </c>
      <c r="AO72" s="51">
        <f t="shared" si="79"/>
        <v>0</v>
      </c>
      <c r="AP72" s="51">
        <f t="shared" si="79"/>
        <v>0</v>
      </c>
      <c r="AQ72" s="51">
        <f t="shared" si="79"/>
        <v>0</v>
      </c>
      <c r="AR72" s="51">
        <f t="shared" si="79"/>
        <v>0</v>
      </c>
      <c r="AS72" s="51">
        <f t="shared" si="79"/>
        <v>0</v>
      </c>
      <c r="AT72" s="51">
        <f t="shared" si="79"/>
        <v>0</v>
      </c>
      <c r="AU72" s="51">
        <f t="shared" si="79"/>
        <v>0</v>
      </c>
      <c r="AV72" s="51">
        <f t="shared" si="79"/>
        <v>0</v>
      </c>
      <c r="AW72" s="51">
        <f t="shared" si="79"/>
        <v>0</v>
      </c>
      <c r="AX72" s="51">
        <f t="shared" si="79"/>
        <v>0</v>
      </c>
      <c r="AY72" s="51">
        <f t="shared" si="79"/>
        <v>0</v>
      </c>
      <c r="AZ72" s="51">
        <f t="shared" si="79"/>
        <v>0</v>
      </c>
      <c r="BA72" s="51">
        <f t="shared" si="79"/>
        <v>0</v>
      </c>
      <c r="BB72" s="51">
        <f t="shared" si="79"/>
        <v>0</v>
      </c>
      <c r="BC72" s="51">
        <f t="shared" si="79"/>
        <v>0</v>
      </c>
      <c r="BD72" s="51">
        <f t="shared" si="79"/>
        <v>0</v>
      </c>
    </row>
    <row r="73" spans="2:56" x14ac:dyDescent="0.3"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</row>
    <row r="75" spans="2:56" s="87" customFormat="1" x14ac:dyDescent="0.3">
      <c r="B75" s="258" t="s">
        <v>148</v>
      </c>
      <c r="C75" s="259" t="s">
        <v>149</v>
      </c>
      <c r="D75" s="260"/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0"/>
      <c r="Z75" s="260"/>
      <c r="AA75" s="260"/>
      <c r="AB75" s="260"/>
      <c r="AC75" s="260"/>
      <c r="AD75" s="260"/>
      <c r="AE75" s="260"/>
      <c r="AF75" s="260"/>
      <c r="AG75" s="260"/>
      <c r="AH75" s="260"/>
      <c r="AI75" s="260"/>
      <c r="AJ75" s="260"/>
      <c r="AK75" s="260"/>
      <c r="AL75" s="260"/>
      <c r="AM75" s="260"/>
      <c r="AN75" s="260"/>
      <c r="AO75" s="260"/>
      <c r="AP75" s="260"/>
      <c r="AQ75" s="260"/>
      <c r="AR75" s="260"/>
      <c r="AS75" s="260"/>
      <c r="AT75" s="260"/>
      <c r="AU75" s="260"/>
      <c r="AV75" s="260"/>
      <c r="AW75" s="260"/>
      <c r="AX75" s="260"/>
      <c r="AY75" s="260"/>
      <c r="AZ75" s="260"/>
      <c r="BA75" s="260"/>
      <c r="BB75" s="260"/>
      <c r="BC75" s="260"/>
      <c r="BD75" s="261"/>
    </row>
    <row r="76" spans="2:56" s="31" customFormat="1" x14ac:dyDescent="0.3">
      <c r="B76" s="250" t="s">
        <v>84</v>
      </c>
      <c r="C76" s="3" t="s">
        <v>91</v>
      </c>
      <c r="D76" s="174">
        <f t="shared" ref="D76:AI76" si="83">ReceitaBruta</f>
        <v>0</v>
      </c>
      <c r="E76" s="174">
        <f t="shared" si="83"/>
        <v>0</v>
      </c>
      <c r="F76" s="174">
        <f t="shared" si="83"/>
        <v>0</v>
      </c>
      <c r="G76" s="174">
        <f t="shared" si="83"/>
        <v>1772</v>
      </c>
      <c r="H76" s="174">
        <f t="shared" si="83"/>
        <v>2088.3000000000002</v>
      </c>
      <c r="I76" s="174">
        <f t="shared" si="83"/>
        <v>2518.8000000000002</v>
      </c>
      <c r="J76" s="174">
        <f t="shared" si="83"/>
        <v>2573.6999999999998</v>
      </c>
      <c r="K76" s="174">
        <f t="shared" si="83"/>
        <v>2707.3090000000002</v>
      </c>
      <c r="L76" s="174">
        <f t="shared" si="83"/>
        <v>2817.9110000000001</v>
      </c>
      <c r="M76" s="174">
        <f t="shared" si="83"/>
        <v>2687.2339999999999</v>
      </c>
      <c r="N76" s="174">
        <f t="shared" si="83"/>
        <v>2714.8799999999997</v>
      </c>
      <c r="O76" s="174">
        <f t="shared" si="83"/>
        <v>2890.9085842127679</v>
      </c>
      <c r="P76" s="174">
        <f t="shared" si="83"/>
        <v>3028.1024731095995</v>
      </c>
      <c r="Q76" s="174">
        <f t="shared" si="83"/>
        <v>3195.432959198833</v>
      </c>
      <c r="R76" s="174">
        <f t="shared" si="83"/>
        <v>3373.8900384010781</v>
      </c>
      <c r="S76" s="174">
        <f t="shared" si="83"/>
        <v>3561.9861859698135</v>
      </c>
      <c r="T76" s="174">
        <f t="shared" si="83"/>
        <v>3763.9222406615609</v>
      </c>
      <c r="U76" s="174">
        <f t="shared" si="83"/>
        <v>3979.0660808302509</v>
      </c>
      <c r="V76" s="174">
        <f t="shared" si="83"/>
        <v>4208.2034220846945</v>
      </c>
      <c r="W76" s="174">
        <f t="shared" si="83"/>
        <v>4453.0613166850926</v>
      </c>
      <c r="X76" s="174">
        <f t="shared" si="83"/>
        <v>4714.3276146195822</v>
      </c>
      <c r="Y76" s="174">
        <f t="shared" si="83"/>
        <v>4993.2350768635088</v>
      </c>
      <c r="Z76" s="174">
        <f t="shared" si="83"/>
        <v>5291.1959289776869</v>
      </c>
      <c r="AA76" s="174">
        <f t="shared" si="83"/>
        <v>5563.3976467151024</v>
      </c>
      <c r="AB76" s="174">
        <f t="shared" si="83"/>
        <v>5848.7373348808378</v>
      </c>
      <c r="AC76" s="174">
        <f t="shared" si="83"/>
        <v>6151.0319481427277</v>
      </c>
      <c r="AD76" s="174">
        <f t="shared" si="83"/>
        <v>6471.3679270990124</v>
      </c>
      <c r="AE76" s="174">
        <f t="shared" si="83"/>
        <v>6810.9431517502853</v>
      </c>
      <c r="AF76" s="174">
        <f t="shared" si="83"/>
        <v>7171.0314720886099</v>
      </c>
      <c r="AG76" s="174">
        <f t="shared" si="83"/>
        <v>7552.9883541957579</v>
      </c>
      <c r="AH76" s="174">
        <f t="shared" si="83"/>
        <v>7958.2727763480489</v>
      </c>
      <c r="AI76" s="174">
        <f t="shared" si="83"/>
        <v>8388.4435008005712</v>
      </c>
      <c r="AJ76" s="174">
        <f t="shared" ref="AJ76:BD76" si="84">ReceitaBruta</f>
        <v>8845.1683326012771</v>
      </c>
      <c r="AK76" s="174">
        <f t="shared" si="84"/>
        <v>9330.2348319275916</v>
      </c>
      <c r="AL76" s="174">
        <f t="shared" si="84"/>
        <v>9845.556377369825</v>
      </c>
      <c r="AM76" s="174">
        <f t="shared" si="84"/>
        <v>10393.18222000616</v>
      </c>
      <c r="AN76" s="174">
        <f t="shared" si="84"/>
        <v>10975.307816385886</v>
      </c>
      <c r="AO76" s="174">
        <f t="shared" si="84"/>
        <v>11594.284948147391</v>
      </c>
      <c r="AP76" s="174">
        <f t="shared" si="84"/>
        <v>12252.63346085249</v>
      </c>
      <c r="AQ76" s="174">
        <f t="shared" si="84"/>
        <v>12953.053634819789</v>
      </c>
      <c r="AR76" s="174">
        <f t="shared" si="84"/>
        <v>13698.439328876018</v>
      </c>
      <c r="AS76" s="174">
        <f t="shared" si="84"/>
        <v>14491.892301850656</v>
      </c>
      <c r="AT76" s="174">
        <f t="shared" si="84"/>
        <v>15326.198930051592</v>
      </c>
      <c r="AU76" s="174">
        <f t="shared" si="84"/>
        <v>15971.456234504563</v>
      </c>
      <c r="AV76" s="174">
        <f t="shared" si="84"/>
        <v>16644.639575884608</v>
      </c>
      <c r="AW76" s="174">
        <f t="shared" si="84"/>
        <v>17346.977863743352</v>
      </c>
      <c r="AX76" s="174">
        <f t="shared" si="84"/>
        <v>18079.75461185462</v>
      </c>
      <c r="AY76" s="174">
        <f t="shared" si="84"/>
        <v>18844.310382191044</v>
      </c>
      <c r="AZ76" s="174">
        <f t="shared" si="84"/>
        <v>19642.045332680271</v>
      </c>
      <c r="BA76" s="174">
        <f t="shared" si="84"/>
        <v>20474.421880423954</v>
      </c>
      <c r="BB76" s="174">
        <f t="shared" si="84"/>
        <v>21342.967485519104</v>
      </c>
      <c r="BC76" s="174">
        <f t="shared" si="84"/>
        <v>22249.277558385565</v>
      </c>
      <c r="BD76" s="262">
        <f t="shared" si="84"/>
        <v>23195.018497907397</v>
      </c>
    </row>
    <row r="77" spans="2:56" x14ac:dyDescent="0.3">
      <c r="B77" s="263" t="s">
        <v>85</v>
      </c>
      <c r="C77" s="17" t="s">
        <v>92</v>
      </c>
      <c r="D77" s="181">
        <f t="shared" ref="D77:AI77" si="85">Deduções</f>
        <v>0</v>
      </c>
      <c r="E77" s="181">
        <f t="shared" si="85"/>
        <v>0</v>
      </c>
      <c r="F77" s="181">
        <f t="shared" si="85"/>
        <v>0</v>
      </c>
      <c r="G77" s="181">
        <f t="shared" si="85"/>
        <v>-364.2</v>
      </c>
      <c r="H77" s="181">
        <f t="shared" si="85"/>
        <v>-405.4</v>
      </c>
      <c r="I77" s="181">
        <f t="shared" si="85"/>
        <v>-475.8</v>
      </c>
      <c r="J77" s="181">
        <f t="shared" si="85"/>
        <v>-481.7</v>
      </c>
      <c r="K77" s="181">
        <f t="shared" si="85"/>
        <v>-440.2140000000004</v>
      </c>
      <c r="L77" s="181">
        <f t="shared" si="85"/>
        <v>-506.63999999999987</v>
      </c>
      <c r="M77" s="181">
        <f t="shared" si="85"/>
        <v>-488.53899999999976</v>
      </c>
      <c r="N77" s="181">
        <f t="shared" si="85"/>
        <v>-459.56099999999958</v>
      </c>
      <c r="O77" s="181">
        <f t="shared" si="85"/>
        <v>-489.35821836302284</v>
      </c>
      <c r="P77" s="181">
        <f t="shared" si="85"/>
        <v>-512.58169813940958</v>
      </c>
      <c r="Q77" s="181">
        <f t="shared" si="85"/>
        <v>-540.90654694217574</v>
      </c>
      <c r="R77" s="181">
        <f t="shared" si="85"/>
        <v>-571.11484851545447</v>
      </c>
      <c r="S77" s="181">
        <f t="shared" si="85"/>
        <v>-602.95480227872804</v>
      </c>
      <c r="T77" s="181">
        <f t="shared" si="85"/>
        <v>-637.13750472973652</v>
      </c>
      <c r="U77" s="181">
        <f t="shared" si="85"/>
        <v>-673.55595354948673</v>
      </c>
      <c r="V77" s="181">
        <f t="shared" si="85"/>
        <v>-712.34315065736382</v>
      </c>
      <c r="W77" s="181">
        <f t="shared" si="85"/>
        <v>-753.79144262623686</v>
      </c>
      <c r="X77" s="181">
        <f t="shared" si="85"/>
        <v>-798.01726518379746</v>
      </c>
      <c r="Y77" s="181">
        <f t="shared" si="85"/>
        <v>-845.22929380247751</v>
      </c>
      <c r="Z77" s="181">
        <f t="shared" si="85"/>
        <v>-895.66658280178672</v>
      </c>
      <c r="AA77" s="181">
        <f t="shared" si="85"/>
        <v>-941.7434972897654</v>
      </c>
      <c r="AB77" s="181">
        <f t="shared" si="85"/>
        <v>-990.04434021215366</v>
      </c>
      <c r="AC77" s="181">
        <f t="shared" si="85"/>
        <v>-1041.215226131696</v>
      </c>
      <c r="AD77" s="181">
        <f t="shared" si="85"/>
        <v>-1095.4400621558034</v>
      </c>
      <c r="AE77" s="181">
        <f t="shared" si="85"/>
        <v>-1152.921619283914</v>
      </c>
      <c r="AF77" s="181">
        <f t="shared" si="85"/>
        <v>-1213.8755283270393</v>
      </c>
      <c r="AG77" s="181">
        <f t="shared" si="85"/>
        <v>-1278.5312356503991</v>
      </c>
      <c r="AH77" s="181">
        <f t="shared" si="85"/>
        <v>-1347.135709634048</v>
      </c>
      <c r="AI77" s="181">
        <f t="shared" si="85"/>
        <v>-1419.9528095795804</v>
      </c>
      <c r="AJ77" s="181">
        <f t="shared" ref="AJ77:BD77" si="86">Deduções</f>
        <v>-1497.2648529948192</v>
      </c>
      <c r="AK77" s="181">
        <f t="shared" si="86"/>
        <v>-1579.3744289233682</v>
      </c>
      <c r="AL77" s="181">
        <f t="shared" si="86"/>
        <v>-1666.6054243062126</v>
      </c>
      <c r="AM77" s="181">
        <f t="shared" si="86"/>
        <v>-1759.3047258841088</v>
      </c>
      <c r="AN77" s="181">
        <f t="shared" si="86"/>
        <v>-1857.843969312129</v>
      </c>
      <c r="AO77" s="181">
        <f t="shared" si="86"/>
        <v>-1962.6212521568395</v>
      </c>
      <c r="AP77" s="181">
        <f t="shared" si="86"/>
        <v>-2074.0631209861313</v>
      </c>
      <c r="AQ77" s="181">
        <f t="shared" si="86"/>
        <v>-2192.6266654406136</v>
      </c>
      <c r="AR77" s="181">
        <f t="shared" si="86"/>
        <v>-2318.8017431406133</v>
      </c>
      <c r="AS77" s="181">
        <f t="shared" si="86"/>
        <v>-2453.1134039555291</v>
      </c>
      <c r="AT77" s="181">
        <f t="shared" si="86"/>
        <v>-2594.3405625638843</v>
      </c>
      <c r="AU77" s="181">
        <f t="shared" si="86"/>
        <v>-2703.5664186207669</v>
      </c>
      <c r="AV77" s="181">
        <f t="shared" si="86"/>
        <v>-2817.5194513691604</v>
      </c>
      <c r="AW77" s="181">
        <f t="shared" si="86"/>
        <v>-2936.4076843321818</v>
      </c>
      <c r="AX77" s="181">
        <f t="shared" si="86"/>
        <v>-3060.4483841563961</v>
      </c>
      <c r="AY77" s="181">
        <f t="shared" si="86"/>
        <v>-3189.8684743156573</v>
      </c>
      <c r="AZ77" s="181">
        <f t="shared" si="86"/>
        <v>-3324.9049663822607</v>
      </c>
      <c r="BA77" s="181">
        <f t="shared" si="86"/>
        <v>-3465.8054108430224</v>
      </c>
      <c r="BB77" s="181">
        <f t="shared" si="86"/>
        <v>-3612.8283683303271</v>
      </c>
      <c r="BC77" s="181">
        <f t="shared" si="86"/>
        <v>-3766.2439017596444</v>
      </c>
      <c r="BD77" s="182">
        <f t="shared" si="86"/>
        <v>-3926.3340906105659</v>
      </c>
    </row>
    <row r="78" spans="2:56" s="31" customFormat="1" x14ac:dyDescent="0.3">
      <c r="B78" s="250" t="s">
        <v>86</v>
      </c>
      <c r="C78" s="3" t="s">
        <v>93</v>
      </c>
      <c r="D78" s="174">
        <f>D76+D77</f>
        <v>0</v>
      </c>
      <c r="E78" s="174">
        <f t="shared" ref="E78:M78" si="87">E76+E77</f>
        <v>0</v>
      </c>
      <c r="F78" s="174">
        <f t="shared" si="87"/>
        <v>0</v>
      </c>
      <c r="G78" s="174">
        <f t="shared" si="87"/>
        <v>1407.8</v>
      </c>
      <c r="H78" s="174">
        <f t="shared" si="87"/>
        <v>1682.9</v>
      </c>
      <c r="I78" s="174">
        <f t="shared" si="87"/>
        <v>2043.0000000000002</v>
      </c>
      <c r="J78" s="174">
        <f t="shared" si="87"/>
        <v>2092</v>
      </c>
      <c r="K78" s="174">
        <f t="shared" si="87"/>
        <v>2267.0949999999998</v>
      </c>
      <c r="L78" s="174">
        <f t="shared" si="87"/>
        <v>2311.2710000000002</v>
      </c>
      <c r="M78" s="174">
        <f t="shared" si="87"/>
        <v>2198.6950000000002</v>
      </c>
      <c r="N78" s="174">
        <f t="shared" ref="N78:O78" si="88">N76+N77</f>
        <v>2255.319</v>
      </c>
      <c r="O78" s="174">
        <f t="shared" si="88"/>
        <v>2401.550365849745</v>
      </c>
      <c r="P78" s="174">
        <f t="shared" ref="P78:BD78" si="89">P76+P77</f>
        <v>2515.5207749701899</v>
      </c>
      <c r="Q78" s="174">
        <f t="shared" si="89"/>
        <v>2654.5264122566573</v>
      </c>
      <c r="R78" s="174">
        <f t="shared" si="89"/>
        <v>2802.7751898856236</v>
      </c>
      <c r="S78" s="174">
        <f t="shared" si="89"/>
        <v>2959.0313836910855</v>
      </c>
      <c r="T78" s="174">
        <f t="shared" si="89"/>
        <v>3126.7847359318243</v>
      </c>
      <c r="U78" s="174">
        <f t="shared" si="89"/>
        <v>3305.5101272807642</v>
      </c>
      <c r="V78" s="174">
        <f t="shared" si="89"/>
        <v>3495.8602714273306</v>
      </c>
      <c r="W78" s="174">
        <f t="shared" si="89"/>
        <v>3699.2698740588557</v>
      </c>
      <c r="X78" s="174">
        <f t="shared" si="89"/>
        <v>3916.3103494357847</v>
      </c>
      <c r="Y78" s="174">
        <f t="shared" si="89"/>
        <v>4148.0057830610313</v>
      </c>
      <c r="Z78" s="174">
        <f t="shared" si="89"/>
        <v>4395.5293461759002</v>
      </c>
      <c r="AA78" s="174">
        <f t="shared" si="89"/>
        <v>4621.654149425337</v>
      </c>
      <c r="AB78" s="174">
        <f t="shared" si="89"/>
        <v>4858.6929946686842</v>
      </c>
      <c r="AC78" s="174">
        <f t="shared" si="89"/>
        <v>5109.8167220110317</v>
      </c>
      <c r="AD78" s="174">
        <f t="shared" si="89"/>
        <v>5375.927864943209</v>
      </c>
      <c r="AE78" s="174">
        <f t="shared" si="89"/>
        <v>5658.0215324663714</v>
      </c>
      <c r="AF78" s="174">
        <f t="shared" si="89"/>
        <v>5957.1559437615706</v>
      </c>
      <c r="AG78" s="174">
        <f t="shared" si="89"/>
        <v>6274.4571185453588</v>
      </c>
      <c r="AH78" s="174">
        <f t="shared" si="89"/>
        <v>6611.1370667140009</v>
      </c>
      <c r="AI78" s="174">
        <f t="shared" si="89"/>
        <v>6968.4906912209908</v>
      </c>
      <c r="AJ78" s="174">
        <f t="shared" si="89"/>
        <v>7347.9034796064579</v>
      </c>
      <c r="AK78" s="174">
        <f t="shared" si="89"/>
        <v>7750.8604030042234</v>
      </c>
      <c r="AL78" s="174">
        <f t="shared" si="89"/>
        <v>8178.9509530636124</v>
      </c>
      <c r="AM78" s="174">
        <f t="shared" si="89"/>
        <v>8633.8774941220508</v>
      </c>
      <c r="AN78" s="174">
        <f t="shared" si="89"/>
        <v>9117.4638470737573</v>
      </c>
      <c r="AO78" s="174">
        <f t="shared" si="89"/>
        <v>9631.6636959905518</v>
      </c>
      <c r="AP78" s="174">
        <f t="shared" si="89"/>
        <v>10178.570339866359</v>
      </c>
      <c r="AQ78" s="174">
        <f t="shared" si="89"/>
        <v>10760.426969379176</v>
      </c>
      <c r="AR78" s="174">
        <f t="shared" si="89"/>
        <v>11379.637585735405</v>
      </c>
      <c r="AS78" s="174">
        <f t="shared" si="89"/>
        <v>12038.778897895127</v>
      </c>
      <c r="AT78" s="174">
        <f t="shared" si="89"/>
        <v>12731.858367487708</v>
      </c>
      <c r="AU78" s="174">
        <f t="shared" si="89"/>
        <v>13267.889815883796</v>
      </c>
      <c r="AV78" s="174">
        <f t="shared" si="89"/>
        <v>13827.120124515448</v>
      </c>
      <c r="AW78" s="174">
        <f t="shared" si="89"/>
        <v>14410.57017941117</v>
      </c>
      <c r="AX78" s="174">
        <f t="shared" si="89"/>
        <v>15019.306227698224</v>
      </c>
      <c r="AY78" s="174">
        <f t="shared" si="89"/>
        <v>15654.441907875387</v>
      </c>
      <c r="AZ78" s="174">
        <f t="shared" si="89"/>
        <v>16317.14036629801</v>
      </c>
      <c r="BA78" s="174">
        <f t="shared" si="89"/>
        <v>17008.616469580931</v>
      </c>
      <c r="BB78" s="174">
        <f t="shared" si="89"/>
        <v>17730.139117188777</v>
      </c>
      <c r="BC78" s="174">
        <f t="shared" si="89"/>
        <v>18483.033656625921</v>
      </c>
      <c r="BD78" s="262">
        <f t="shared" si="89"/>
        <v>19268.684407296831</v>
      </c>
    </row>
    <row r="79" spans="2:56" x14ac:dyDescent="0.3">
      <c r="B79" s="263" t="s">
        <v>169</v>
      </c>
      <c r="C79" s="17" t="s">
        <v>21</v>
      </c>
      <c r="D79" s="181">
        <f t="shared" ref="D79:AI79" si="90">CPV</f>
        <v>0</v>
      </c>
      <c r="E79" s="181">
        <f t="shared" si="90"/>
        <v>0</v>
      </c>
      <c r="F79" s="181">
        <f t="shared" si="90"/>
        <v>0</v>
      </c>
      <c r="G79" s="181">
        <f t="shared" si="90"/>
        <v>-1062.8999999999999</v>
      </c>
      <c r="H79" s="181">
        <f t="shared" si="90"/>
        <v>-1280.9000000000001</v>
      </c>
      <c r="I79" s="181">
        <f t="shared" si="90"/>
        <v>-1561.3</v>
      </c>
      <c r="J79" s="181">
        <f t="shared" si="90"/>
        <v>-1542.3</v>
      </c>
      <c r="K79" s="181">
        <f t="shared" si="90"/>
        <v>-1657.1</v>
      </c>
      <c r="L79" s="181">
        <f t="shared" si="90"/>
        <v>-1692.3</v>
      </c>
      <c r="M79" s="181">
        <f t="shared" si="90"/>
        <v>-1621.1</v>
      </c>
      <c r="N79" s="181">
        <f t="shared" si="90"/>
        <v>-1678.1609999999998</v>
      </c>
      <c r="O79" s="181">
        <f t="shared" si="90"/>
        <v>-1714.3217138622508</v>
      </c>
      <c r="P79" s="181">
        <f t="shared" si="90"/>
        <v>-1801.5227700585797</v>
      </c>
      <c r="Q79" s="181">
        <f t="shared" si="90"/>
        <v>-1893.1559312163754</v>
      </c>
      <c r="R79" s="181">
        <f t="shared" si="90"/>
        <v>-1990.6438756271898</v>
      </c>
      <c r="S79" s="181">
        <f t="shared" si="90"/>
        <v>-2098.7550654152692</v>
      </c>
      <c r="T79" s="181">
        <f t="shared" si="90"/>
        <v>-2211.4059962172691</v>
      </c>
      <c r="U79" s="181">
        <f t="shared" si="90"/>
        <v>-2332.2874674324958</v>
      </c>
      <c r="V79" s="181">
        <f t="shared" si="90"/>
        <v>-2461.9398271381892</v>
      </c>
      <c r="W79" s="181">
        <f t="shared" si="90"/>
        <v>-2599.7286437883786</v>
      </c>
      <c r="X79" s="181">
        <f t="shared" si="90"/>
        <v>-2747.1378377792125</v>
      </c>
      <c r="Y79" s="181">
        <f t="shared" si="90"/>
        <v>-2904.6134150890339</v>
      </c>
      <c r="Z79" s="181">
        <f t="shared" si="90"/>
        <v>-3072.6884783945075</v>
      </c>
      <c r="AA79" s="181">
        <f t="shared" si="90"/>
        <v>-3227.1022043096364</v>
      </c>
      <c r="AB79" s="181">
        <f t="shared" si="90"/>
        <v>-3388.9259173807859</v>
      </c>
      <c r="AC79" s="181">
        <f t="shared" si="90"/>
        <v>-3560.2268957408573</v>
      </c>
      <c r="AD79" s="181">
        <f t="shared" si="90"/>
        <v>-3741.6645312744345</v>
      </c>
      <c r="AE79" s="181">
        <f t="shared" si="90"/>
        <v>-3933.874777673499</v>
      </c>
      <c r="AF79" s="181">
        <f t="shared" si="90"/>
        <v>-4137.56946534702</v>
      </c>
      <c r="AG79" s="181">
        <f t="shared" si="90"/>
        <v>-4353.5139316340028</v>
      </c>
      <c r="AH79" s="181">
        <f t="shared" si="90"/>
        <v>-4582.5135736695802</v>
      </c>
      <c r="AI79" s="181">
        <f t="shared" si="90"/>
        <v>-4825.4397544269477</v>
      </c>
      <c r="AJ79" s="181">
        <f t="shared" ref="AJ79:BD79" si="91">CPV</f>
        <v>-5083.2242701707646</v>
      </c>
      <c r="AK79" s="181">
        <f t="shared" si="91"/>
        <v>-5356.8626635319033</v>
      </c>
      <c r="AL79" s="181">
        <f t="shared" si="91"/>
        <v>-5647.4235246400158</v>
      </c>
      <c r="AM79" s="181">
        <f t="shared" si="91"/>
        <v>-5956.0508307699774</v>
      </c>
      <c r="AN79" s="181">
        <f t="shared" si="91"/>
        <v>-6283.9698915912859</v>
      </c>
      <c r="AO79" s="181">
        <f t="shared" si="91"/>
        <v>-6632.4941162894602</v>
      </c>
      <c r="AP79" s="181">
        <f t="shared" si="91"/>
        <v>-7003.0307208319164</v>
      </c>
      <c r="AQ79" s="181">
        <f t="shared" si="91"/>
        <v>-7397.0878624924881</v>
      </c>
      <c r="AR79" s="181">
        <f t="shared" si="91"/>
        <v>-7816.2821705837841</v>
      </c>
      <c r="AS79" s="181">
        <f t="shared" si="91"/>
        <v>-8262.3465638927937</v>
      </c>
      <c r="AT79" s="181">
        <f t="shared" si="91"/>
        <v>-8731.3700383890973</v>
      </c>
      <c r="AU79" s="181">
        <f t="shared" si="91"/>
        <v>-9097.5145964957555</v>
      </c>
      <c r="AV79" s="181">
        <f t="shared" si="91"/>
        <v>-9478.9316514149868</v>
      </c>
      <c r="AW79" s="181">
        <f t="shared" si="91"/>
        <v>-9876.3331129819562</v>
      </c>
      <c r="AX79" s="181">
        <f t="shared" si="91"/>
        <v>-10290.457522889981</v>
      </c>
      <c r="AY79" s="181">
        <f t="shared" si="91"/>
        <v>-10722.071774850503</v>
      </c>
      <c r="AZ79" s="181">
        <f t="shared" si="91"/>
        <v>-11171.972863473935</v>
      </c>
      <c r="BA79" s="181">
        <f t="shared" si="91"/>
        <v>-11640.989651461296</v>
      </c>
      <c r="BB79" s="181">
        <f t="shared" si="91"/>
        <v>-12129.984670033133</v>
      </c>
      <c r="BC79" s="181">
        <f t="shared" si="91"/>
        <v>-12639.855960067542</v>
      </c>
      <c r="BD79" s="182">
        <f t="shared" si="91"/>
        <v>-13171.538956775392</v>
      </c>
    </row>
    <row r="80" spans="2:56" s="31" customFormat="1" x14ac:dyDescent="0.3">
      <c r="B80" s="250" t="s">
        <v>87</v>
      </c>
      <c r="C80" s="3" t="s">
        <v>77</v>
      </c>
      <c r="D80" s="174">
        <f>D78+D79</f>
        <v>0</v>
      </c>
      <c r="E80" s="174">
        <f t="shared" ref="E80:M80" si="92">E78+E79</f>
        <v>0</v>
      </c>
      <c r="F80" s="174">
        <f t="shared" si="92"/>
        <v>0</v>
      </c>
      <c r="G80" s="174">
        <f t="shared" si="92"/>
        <v>344.90000000000009</v>
      </c>
      <c r="H80" s="174">
        <f t="shared" si="92"/>
        <v>402</v>
      </c>
      <c r="I80" s="174">
        <f t="shared" si="92"/>
        <v>481.70000000000027</v>
      </c>
      <c r="J80" s="174">
        <f t="shared" si="92"/>
        <v>549.70000000000005</v>
      </c>
      <c r="K80" s="174">
        <f t="shared" si="92"/>
        <v>609.99499999999989</v>
      </c>
      <c r="L80" s="174">
        <f t="shared" si="92"/>
        <v>618.97100000000023</v>
      </c>
      <c r="M80" s="174">
        <f t="shared" si="92"/>
        <v>577.59500000000025</v>
      </c>
      <c r="N80" s="174">
        <f t="shared" ref="N80:O80" si="93">N78+N79</f>
        <v>577.15800000000013</v>
      </c>
      <c r="O80" s="174">
        <f t="shared" si="93"/>
        <v>687.22865198749423</v>
      </c>
      <c r="P80" s="174">
        <f t="shared" ref="P80:BD80" si="94">P78+P79</f>
        <v>713.99800491161022</v>
      </c>
      <c r="Q80" s="174">
        <f t="shared" si="94"/>
        <v>761.3704810402819</v>
      </c>
      <c r="R80" s="174">
        <f t="shared" si="94"/>
        <v>812.1313142584338</v>
      </c>
      <c r="S80" s="174">
        <f t="shared" si="94"/>
        <v>860.27631827581627</v>
      </c>
      <c r="T80" s="174">
        <f t="shared" si="94"/>
        <v>915.37873971455519</v>
      </c>
      <c r="U80" s="174">
        <f t="shared" si="94"/>
        <v>973.22265984826845</v>
      </c>
      <c r="V80" s="174">
        <f t="shared" si="94"/>
        <v>1033.9204442891414</v>
      </c>
      <c r="W80" s="174">
        <f t="shared" si="94"/>
        <v>1099.5412302704772</v>
      </c>
      <c r="X80" s="174">
        <f t="shared" si="94"/>
        <v>1169.1725116565722</v>
      </c>
      <c r="Y80" s="174">
        <f t="shared" si="94"/>
        <v>1243.3923679719974</v>
      </c>
      <c r="Z80" s="174">
        <f t="shared" si="94"/>
        <v>1322.8408677813927</v>
      </c>
      <c r="AA80" s="174">
        <f t="shared" si="94"/>
        <v>1394.5519451157006</v>
      </c>
      <c r="AB80" s="174">
        <f t="shared" si="94"/>
        <v>1469.7670772878982</v>
      </c>
      <c r="AC80" s="174">
        <f t="shared" si="94"/>
        <v>1549.5898262701744</v>
      </c>
      <c r="AD80" s="174">
        <f t="shared" si="94"/>
        <v>1634.2633336687745</v>
      </c>
      <c r="AE80" s="174">
        <f t="shared" si="94"/>
        <v>1724.1467547928723</v>
      </c>
      <c r="AF80" s="174">
        <f t="shared" si="94"/>
        <v>1819.5864784145506</v>
      </c>
      <c r="AG80" s="174">
        <f t="shared" si="94"/>
        <v>1920.943186911356</v>
      </c>
      <c r="AH80" s="174">
        <f t="shared" si="94"/>
        <v>2028.6234930444207</v>
      </c>
      <c r="AI80" s="174">
        <f t="shared" si="94"/>
        <v>2143.0509367940431</v>
      </c>
      <c r="AJ80" s="174">
        <f t="shared" si="94"/>
        <v>2264.6792094356933</v>
      </c>
      <c r="AK80" s="174">
        <f t="shared" si="94"/>
        <v>2393.9977394723201</v>
      </c>
      <c r="AL80" s="174">
        <f t="shared" si="94"/>
        <v>2531.5274284235966</v>
      </c>
      <c r="AM80" s="174">
        <f t="shared" si="94"/>
        <v>2677.8266633520734</v>
      </c>
      <c r="AN80" s="174">
        <f t="shared" si="94"/>
        <v>2833.4939554824714</v>
      </c>
      <c r="AO80" s="174">
        <f t="shared" si="94"/>
        <v>2999.1695797010916</v>
      </c>
      <c r="AP80" s="174">
        <f t="shared" si="94"/>
        <v>3175.5396190344427</v>
      </c>
      <c r="AQ80" s="174">
        <f t="shared" si="94"/>
        <v>3363.3391068866877</v>
      </c>
      <c r="AR80" s="174">
        <f t="shared" si="94"/>
        <v>3563.3554151516209</v>
      </c>
      <c r="AS80" s="174">
        <f t="shared" si="94"/>
        <v>3776.4323340023329</v>
      </c>
      <c r="AT80" s="174">
        <f t="shared" si="94"/>
        <v>4000.4883290986108</v>
      </c>
      <c r="AU80" s="174">
        <f t="shared" si="94"/>
        <v>4170.3752193880409</v>
      </c>
      <c r="AV80" s="174">
        <f t="shared" si="94"/>
        <v>4348.1884731004611</v>
      </c>
      <c r="AW80" s="174">
        <f t="shared" si="94"/>
        <v>4534.2370664292139</v>
      </c>
      <c r="AX80" s="174">
        <f t="shared" si="94"/>
        <v>4728.8487048082425</v>
      </c>
      <c r="AY80" s="174">
        <f t="shared" si="94"/>
        <v>4932.3701330248841</v>
      </c>
      <c r="AZ80" s="174">
        <f t="shared" si="94"/>
        <v>5145.1675028240752</v>
      </c>
      <c r="BA80" s="174">
        <f t="shared" si="94"/>
        <v>5367.6268181196356</v>
      </c>
      <c r="BB80" s="174">
        <f t="shared" si="94"/>
        <v>5600.1544471556444</v>
      </c>
      <c r="BC80" s="174">
        <f t="shared" si="94"/>
        <v>5843.1776965583795</v>
      </c>
      <c r="BD80" s="262">
        <f t="shared" si="94"/>
        <v>6097.1454505214388</v>
      </c>
    </row>
    <row r="81" spans="2:56" x14ac:dyDescent="0.3">
      <c r="B81" s="263" t="s">
        <v>155</v>
      </c>
      <c r="C81" s="20" t="s">
        <v>30</v>
      </c>
      <c r="D81" s="265">
        <f>BD!D20</f>
        <v>0</v>
      </c>
      <c r="E81" s="265">
        <f>BD!E20</f>
        <v>0</v>
      </c>
      <c r="F81" s="265">
        <f>BD!F20</f>
        <v>0</v>
      </c>
      <c r="G81" s="265">
        <f>BD!G20</f>
        <v>-179.9</v>
      </c>
      <c r="H81" s="265">
        <f>BD!H20</f>
        <v>-243.3</v>
      </c>
      <c r="I81" s="265">
        <f>BD!I20</f>
        <v>-299.89999999999998</v>
      </c>
      <c r="J81" s="265">
        <f>BD!J20</f>
        <v>-303.89999999999998</v>
      </c>
      <c r="K81" s="265">
        <f>BD!K20</f>
        <v>-294.79500000000002</v>
      </c>
      <c r="L81" s="265">
        <f>BD!L20</f>
        <v>-280.66399999999999</v>
      </c>
      <c r="M81" s="265">
        <f>BD!M20</f>
        <v>-272.81599999999997</v>
      </c>
      <c r="N81" s="265">
        <f>BD!N20</f>
        <v>-274.69499999999999</v>
      </c>
      <c r="O81" s="181">
        <f>O78*O100</f>
        <v>-294.0397128526655</v>
      </c>
      <c r="P81" s="181">
        <f t="shared" ref="P81:BD81" si="95">P78*P100</f>
        <v>-308.83640865002684</v>
      </c>
      <c r="Q81" s="181">
        <f t="shared" si="95"/>
        <v>-324.74462386181654</v>
      </c>
      <c r="R81" s="181">
        <f t="shared" si="95"/>
        <v>-343.38292718990328</v>
      </c>
      <c r="S81" s="181">
        <f t="shared" si="95"/>
        <v>-362.60351863464797</v>
      </c>
      <c r="T81" s="181">
        <f t="shared" si="95"/>
        <v>-382.91939929224867</v>
      </c>
      <c r="U81" s="181">
        <f t="shared" si="95"/>
        <v>-404.94800250425192</v>
      </c>
      <c r="V81" s="181">
        <f t="shared" si="95"/>
        <v>-428.25746887776285</v>
      </c>
      <c r="W81" s="181">
        <f t="shared" si="95"/>
        <v>-453.13022614207142</v>
      </c>
      <c r="X81" s="181">
        <f t="shared" si="95"/>
        <v>-479.75184808439923</v>
      </c>
      <c r="Y81" s="181">
        <f t="shared" si="95"/>
        <v>-508.12649190395643</v>
      </c>
      <c r="Z81" s="181">
        <f t="shared" si="95"/>
        <v>-538.44027430289293</v>
      </c>
      <c r="AA81" s="181">
        <f t="shared" si="95"/>
        <v>-566.1483434938126</v>
      </c>
      <c r="AB81" s="181">
        <f t="shared" si="95"/>
        <v>-595.18229475407111</v>
      </c>
      <c r="AC81" s="181">
        <f t="shared" si="95"/>
        <v>-625.94362684995792</v>
      </c>
      <c r="AD81" s="181">
        <f t="shared" si="95"/>
        <v>-658.543569458604</v>
      </c>
      <c r="AE81" s="181">
        <f t="shared" si="95"/>
        <v>-693.09873167492742</v>
      </c>
      <c r="AF81" s="181">
        <f t="shared" si="95"/>
        <v>-729.74220545432183</v>
      </c>
      <c r="AG81" s="181">
        <f t="shared" si="95"/>
        <v>-768.61145108105109</v>
      </c>
      <c r="AH81" s="181">
        <f t="shared" si="95"/>
        <v>-809.85399273445387</v>
      </c>
      <c r="AI81" s="181">
        <f t="shared" si="95"/>
        <v>-853.62929317623787</v>
      </c>
      <c r="AJ81" s="181">
        <f t="shared" si="95"/>
        <v>-900.10683289326926</v>
      </c>
      <c r="AK81" s="181">
        <f t="shared" si="95"/>
        <v>-949.46837618007771</v>
      </c>
      <c r="AL81" s="181">
        <f t="shared" si="95"/>
        <v>-1001.9088221127379</v>
      </c>
      <c r="AM81" s="181">
        <f t="shared" si="95"/>
        <v>-1057.6366277432508</v>
      </c>
      <c r="AN81" s="181">
        <f t="shared" si="95"/>
        <v>-1116.8751944671149</v>
      </c>
      <c r="AO81" s="181">
        <f t="shared" si="95"/>
        <v>-1179.8638849771569</v>
      </c>
      <c r="AP81" s="181">
        <f t="shared" si="95"/>
        <v>-1246.8591025583364</v>
      </c>
      <c r="AQ81" s="181">
        <f t="shared" si="95"/>
        <v>-1318.1356358455853</v>
      </c>
      <c r="AR81" s="181">
        <f t="shared" si="95"/>
        <v>-1393.9879787920452</v>
      </c>
      <c r="AS81" s="181">
        <f t="shared" si="95"/>
        <v>-1474.73176848397</v>
      </c>
      <c r="AT81" s="181">
        <f t="shared" si="95"/>
        <v>-1559.6329295138935</v>
      </c>
      <c r="AU81" s="181">
        <f t="shared" si="95"/>
        <v>-1625.2959520765612</v>
      </c>
      <c r="AV81" s="181">
        <f t="shared" si="95"/>
        <v>-1693.8007986091109</v>
      </c>
      <c r="AW81" s="181">
        <f t="shared" si="95"/>
        <v>-1765.2725265568554</v>
      </c>
      <c r="AX81" s="181">
        <f t="shared" si="95"/>
        <v>-1839.8417496943628</v>
      </c>
      <c r="AY81" s="181">
        <f t="shared" si="95"/>
        <v>-1917.6448867298507</v>
      </c>
      <c r="AZ81" s="181">
        <f t="shared" si="95"/>
        <v>-1998.8244214314914</v>
      </c>
      <c r="BA81" s="181">
        <f t="shared" si="95"/>
        <v>-2083.529173082251</v>
      </c>
      <c r="BB81" s="181">
        <f t="shared" si="95"/>
        <v>-2171.9145798470026</v>
      </c>
      <c r="BC81" s="181">
        <f t="shared" si="95"/>
        <v>-2264.1429947782804</v>
      </c>
      <c r="BD81" s="181">
        <f t="shared" si="95"/>
        <v>-2360.3839948535297</v>
      </c>
    </row>
    <row r="82" spans="2:56" x14ac:dyDescent="0.3">
      <c r="B82" s="263" t="s">
        <v>156</v>
      </c>
      <c r="C82" s="20" t="s">
        <v>31</v>
      </c>
      <c r="D82" s="181">
        <f>Premissas!D129-D81</f>
        <v>0</v>
      </c>
      <c r="E82" s="181">
        <f>Premissas!E129-E81</f>
        <v>0</v>
      </c>
      <c r="F82" s="181">
        <f>Premissas!F129-F81</f>
        <v>0</v>
      </c>
      <c r="G82" s="181">
        <f>Premissas!G129-G81</f>
        <v>-102.49999999999997</v>
      </c>
      <c r="H82" s="181">
        <f>Premissas!H129-H81</f>
        <v>-111</v>
      </c>
      <c r="I82" s="181">
        <f>Premissas!I129-I81</f>
        <v>-125.69999999999999</v>
      </c>
      <c r="J82" s="181">
        <f>Premissas!J129-J81</f>
        <v>-133.5</v>
      </c>
      <c r="K82" s="181">
        <f>Premissas!K129-K81</f>
        <v>-148.70499999999998</v>
      </c>
      <c r="L82" s="181">
        <f>Premissas!L129-L81</f>
        <v>-145.43600000000004</v>
      </c>
      <c r="M82" s="181">
        <f>Premissas!M129-M81</f>
        <v>-142.48400000000004</v>
      </c>
      <c r="N82" s="181">
        <f>Premissas!N129-N81</f>
        <v>-152.24199999999996</v>
      </c>
      <c r="O82" s="181">
        <f>Premissas!O129-O81</f>
        <v>-154.02193416165488</v>
      </c>
      <c r="P82" s="181">
        <f>Premissas!P129-P81</f>
        <v>-160.08250249194674</v>
      </c>
      <c r="Q82" s="181">
        <f>Premissas!Q129-Q81</f>
        <v>-170.74184162280216</v>
      </c>
      <c r="R82" s="181">
        <f>Premissas!R129-R81</f>
        <v>-178.33839558225156</v>
      </c>
      <c r="S82" s="181">
        <f>Premissas!S129-S81</f>
        <v>-188.37189489756685</v>
      </c>
      <c r="T82" s="181">
        <f>Premissas!T129-T81</f>
        <v>-199.51758810803807</v>
      </c>
      <c r="U82" s="181">
        <f>Premissas!U129-U81</f>
        <v>-210.90473779877038</v>
      </c>
      <c r="V82" s="181">
        <f>Premissas!V129-V81</f>
        <v>-223.64655412251903</v>
      </c>
      <c r="W82" s="181">
        <f>Premissas!W129-W81</f>
        <v>-237.38517028950338</v>
      </c>
      <c r="X82" s="181">
        <f>Premissas!X129-X81</f>
        <v>-252.09458841040242</v>
      </c>
      <c r="Y82" s="181">
        <f>Premissas!Y129-Y81</f>
        <v>-268.02961060606833</v>
      </c>
      <c r="Z82" s="181">
        <f>Premissas!Z129-Z81</f>
        <v>-285.15762824761225</v>
      </c>
      <c r="AA82" s="181">
        <f>Premissas!AA129-AA81</f>
        <v>-301.10894763970032</v>
      </c>
      <c r="AB82" s="181">
        <f>Premissas!AB129-AB81</f>
        <v>-317.97839172483111</v>
      </c>
      <c r="AC82" s="181">
        <f>Premissas!AC129-AC81</f>
        <v>-335.94844871779958</v>
      </c>
      <c r="AD82" s="181">
        <f>Premissas!AD129-AD81</f>
        <v>-355.08606493229081</v>
      </c>
      <c r="AE82" s="181">
        <f>Premissas!AE129-AE81</f>
        <v>-375.46382963387236</v>
      </c>
      <c r="AF82" s="181">
        <f>Premissas!AF129-AF81</f>
        <v>-397.1504829030381</v>
      </c>
      <c r="AG82" s="181">
        <f>Premissas!AG129-AG81</f>
        <v>-420.22607824023169</v>
      </c>
      <c r="AH82" s="181">
        <f>Premissas!AH129-AH81</f>
        <v>-444.77578671027004</v>
      </c>
      <c r="AI82" s="181">
        <f>Premissas!AI129-AI81</f>
        <v>-470.88961351421574</v>
      </c>
      <c r="AJ82" s="181">
        <f>Premissas!AJ129-AJ81</f>
        <v>-498.66538931593391</v>
      </c>
      <c r="AK82" s="181">
        <f>Premissas!AK129-AK81</f>
        <v>-528.20770958118419</v>
      </c>
      <c r="AL82" s="181">
        <f>Premissas!AL129-AL81</f>
        <v>-559.62850629169202</v>
      </c>
      <c r="AM82" s="181">
        <f>Premissas!AM129-AM81</f>
        <v>-593.04797316417739</v>
      </c>
      <c r="AN82" s="181">
        <f>Premissas!AN129-AN81</f>
        <v>-628.59479088717012</v>
      </c>
      <c r="AO82" s="181">
        <f>Premissas!AO129-AO81</f>
        <v>-666.40677221820988</v>
      </c>
      <c r="AP82" s="181">
        <f>Premissas!AP129-AP81</f>
        <v>-706.63155376883333</v>
      </c>
      <c r="AQ82" s="181">
        <f>Premissas!AQ129-AQ81</f>
        <v>-749.42720884588812</v>
      </c>
      <c r="AR82" s="181">
        <f>Premissas!AR129-AR81</f>
        <v>-794.96299445144564</v>
      </c>
      <c r="AS82" s="181">
        <f>Premissas!AS129-AS81</f>
        <v>-843.4201430532089</v>
      </c>
      <c r="AT82" s="181">
        <f>Premissas!AT129-AT81</f>
        <v>-894.43107176794229</v>
      </c>
      <c r="AU82" s="181">
        <f>Premissas!AU129-AU81</f>
        <v>-935.76109873774612</v>
      </c>
      <c r="AV82" s="181">
        <f>Premissas!AV129-AV81</f>
        <v>-978.9915577322638</v>
      </c>
      <c r="AW82" s="181">
        <f>Premissas!AW129-AW81</f>
        <v>-1024.2077341475176</v>
      </c>
      <c r="AX82" s="181">
        <f>Premissas!AX129-AX81</f>
        <v>-1071.4988604517314</v>
      </c>
      <c r="AY82" s="181">
        <f>Premissas!AY129-AY81</f>
        <v>-1120.9582859674363</v>
      </c>
      <c r="AZ82" s="181">
        <f>Premissas!AZ129-AZ81</f>
        <v>-1172.6836546452523</v>
      </c>
      <c r="BA82" s="181">
        <f>Premissas!BA129-BA81</f>
        <v>-1226.777092226509</v>
      </c>
      <c r="BB82" s="181">
        <f>Premissas!BB129-BB81</f>
        <v>-1283.3454021735506</v>
      </c>
      <c r="BC82" s="181">
        <f>Premissas!BC129-BC81</f>
        <v>-1342.5002709625496</v>
      </c>
      <c r="BD82" s="181">
        <f>Premissas!BD129-BD81</f>
        <v>-1404.3584832746124</v>
      </c>
    </row>
    <row r="83" spans="2:56" x14ac:dyDescent="0.3">
      <c r="B83" s="255" t="s">
        <v>150</v>
      </c>
      <c r="C83" s="17" t="s">
        <v>160</v>
      </c>
      <c r="D83" s="181">
        <f>Premissas!D142</f>
        <v>0</v>
      </c>
      <c r="E83" s="181">
        <f>Premissas!E142</f>
        <v>0</v>
      </c>
      <c r="F83" s="181">
        <f>Premissas!F142</f>
        <v>0</v>
      </c>
      <c r="G83" s="672">
        <f>Premissas!G142+BD!G23</f>
        <v>-0.4</v>
      </c>
      <c r="H83" s="672">
        <f>Premissas!H142+BD!H23</f>
        <v>132</v>
      </c>
      <c r="I83" s="672">
        <f>Premissas!I142+BD!I23</f>
        <v>7.4</v>
      </c>
      <c r="J83" s="672">
        <f>Premissas!J142+BD!J23</f>
        <v>-8.6</v>
      </c>
      <c r="K83" s="672">
        <f>Premissas!K142+BD!K23</f>
        <v>-12.1</v>
      </c>
      <c r="L83" s="672">
        <f>Premissas!L142+BD!L23</f>
        <v>-24.04</v>
      </c>
      <c r="M83" s="672">
        <f>Premissas!M142+BD!M23</f>
        <v>18.600000000000001</v>
      </c>
      <c r="N83" s="672">
        <f>Premissas!N142+BD!N23</f>
        <v>19.303000000000001</v>
      </c>
      <c r="O83" s="672">
        <f>Premissas!O142+BD!O23</f>
        <v>27.510877659638485</v>
      </c>
      <c r="P83" s="672">
        <f>Premissas!P142+BD!P23</f>
        <v>29.492236567437317</v>
      </c>
      <c r="Q83" s="672">
        <f>Premissas!Q142+BD!Q23</f>
        <v>29.531655056839202</v>
      </c>
      <c r="R83" s="672">
        <f>Premissas!R142+BD!R23</f>
        <v>30.191750396114781</v>
      </c>
      <c r="S83" s="672">
        <f>Premissas!S142+BD!S23</f>
        <v>31.226522469435629</v>
      </c>
      <c r="T83" s="672">
        <f>Premissas!T142+BD!T23</f>
        <v>31.836696696834267</v>
      </c>
      <c r="U83" s="672">
        <f>Premissas!U142+BD!U23</f>
        <v>32.631223371535796</v>
      </c>
      <c r="V83" s="672">
        <f>Premissas!V142+BD!V23</f>
        <v>33.493006302895317</v>
      </c>
      <c r="W83" s="672">
        <f>Premissas!W142+BD!W23</f>
        <v>34.285813742628889</v>
      </c>
      <c r="X83" s="672">
        <f>Premissas!X142+BD!X23</f>
        <v>35.140867726844398</v>
      </c>
      <c r="Y83" s="672">
        <f>Premissas!Y142+BD!Y23</f>
        <v>36.021114848026166</v>
      </c>
      <c r="Z83" s="672">
        <f>Premissas!Z142+BD!Z23</f>
        <v>36.905465893426673</v>
      </c>
      <c r="AA83" s="672">
        <f>Premissas!AA142+BD!AA23</f>
        <v>37.513265516579267</v>
      </c>
      <c r="AB83" s="672">
        <f>Premissas!AB142+BD!AB23</f>
        <v>38.12001096197433</v>
      </c>
      <c r="AC83" s="672">
        <f>Premissas!AC142+BD!AC23</f>
        <v>38.74270087722109</v>
      </c>
      <c r="AD83" s="672">
        <f>Premissas!AD142+BD!AD23</f>
        <v>39.387430202882229</v>
      </c>
      <c r="AE83" s="672">
        <f>Premissas!AE142+BD!AE23</f>
        <v>40.052058475872144</v>
      </c>
      <c r="AF83" s="672">
        <f>Premissas!AF142+BD!AF23</f>
        <v>40.736803297150907</v>
      </c>
      <c r="AG83" s="672">
        <f>Premissas!AG142+BD!AG23</f>
        <v>41.443301919340144</v>
      </c>
      <c r="AH83" s="672">
        <f>Premissas!AH142+BD!AH23</f>
        <v>42.171424368837627</v>
      </c>
      <c r="AI83" s="672">
        <f>Premissas!AI142+BD!AI23</f>
        <v>42.92171072783691</v>
      </c>
      <c r="AJ83" s="672">
        <f>Premissas!AJ142+BD!AJ23</f>
        <v>43.694909569262528</v>
      </c>
      <c r="AK83" s="672">
        <f>Premissas!AK142+BD!AK23</f>
        <v>44.491401621416067</v>
      </c>
      <c r="AL83" s="672">
        <f>Premissas!AL142+BD!AL23</f>
        <v>45.311747547883961</v>
      </c>
      <c r="AM83" s="672">
        <f>Premissas!AM142+BD!AM23</f>
        <v>46.156531335167266</v>
      </c>
      <c r="AN83" s="672">
        <f>Premissas!AN142+BD!AN23</f>
        <v>47.026263842305248</v>
      </c>
      <c r="AO83" s="672">
        <f>Premissas!AO142+BD!AO23</f>
        <v>47.921501999042277</v>
      </c>
      <c r="AP83" s="672">
        <f>Premissas!AP142+BD!AP23</f>
        <v>48.842801926847699</v>
      </c>
      <c r="AQ83" s="672">
        <f>Premissas!AQ142+BD!AQ23</f>
        <v>49.790704282195605</v>
      </c>
      <c r="AR83" s="672">
        <f>Premissas!AR142+BD!AR23</f>
        <v>50.76575825607771</v>
      </c>
      <c r="AS83" s="672">
        <f>Premissas!AS142+BD!AS23</f>
        <v>51.768507534741083</v>
      </c>
      <c r="AT83" s="672">
        <f>Premissas!AT142+BD!AT23</f>
        <v>52.774556226120822</v>
      </c>
      <c r="AU83" s="672">
        <f>Premissas!AU142+BD!AU23</f>
        <v>53.266893190139974</v>
      </c>
      <c r="AV83" s="672">
        <f>Premissas!AV142+BD!AV23</f>
        <v>53.786785715991023</v>
      </c>
      <c r="AW83" s="672">
        <f>Premissas!AW142+BD!AW23</f>
        <v>54.335228089958939</v>
      </c>
      <c r="AX83" s="672">
        <f>Premissas!AX142+BD!AX23</f>
        <v>54.913256533095691</v>
      </c>
      <c r="AY83" s="672">
        <f>Premissas!AY142+BD!AY23</f>
        <v>55.521950202979596</v>
      </c>
      <c r="AZ83" s="672">
        <f>Premissas!AZ142+BD!AZ23</f>
        <v>56.162433164686995</v>
      </c>
      <c r="BA83" s="672">
        <f>Premissas!BA142+BD!BA23</f>
        <v>56.835876494299313</v>
      </c>
      <c r="BB83" s="672">
        <f>Premissas!BB142+BD!BB23</f>
        <v>57.543500097328838</v>
      </c>
      <c r="BC83" s="672">
        <f>Premissas!BC142+BD!BC23</f>
        <v>58.286574845982294</v>
      </c>
      <c r="BD83" s="672">
        <f>Premissas!BD142+BD!BD23</f>
        <v>59.066424787075704</v>
      </c>
    </row>
    <row r="84" spans="2:56" x14ac:dyDescent="0.3">
      <c r="B84" s="255" t="s">
        <v>161</v>
      </c>
      <c r="C84" s="17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1"/>
      <c r="AH84" s="181"/>
      <c r="AI84" s="181"/>
      <c r="AJ84" s="181"/>
      <c r="AK84" s="181"/>
      <c r="AL84" s="181"/>
      <c r="AM84" s="181"/>
      <c r="AN84" s="181"/>
      <c r="AO84" s="181"/>
      <c r="AP84" s="181"/>
      <c r="AQ84" s="181"/>
      <c r="AR84" s="181"/>
      <c r="AS84" s="181"/>
      <c r="AT84" s="181"/>
      <c r="AU84" s="181"/>
      <c r="AV84" s="181"/>
      <c r="AW84" s="181"/>
      <c r="AX84" s="181"/>
      <c r="AY84" s="181"/>
      <c r="AZ84" s="181"/>
      <c r="BA84" s="181"/>
      <c r="BB84" s="181"/>
      <c r="BC84" s="181"/>
      <c r="BD84" s="182"/>
    </row>
    <row r="85" spans="2:56" s="31" customFormat="1" x14ac:dyDescent="0.3">
      <c r="B85" s="250" t="s">
        <v>296</v>
      </c>
      <c r="C85" s="3" t="s">
        <v>162</v>
      </c>
      <c r="D85" s="174">
        <f>SUM(D80:D84)</f>
        <v>0</v>
      </c>
      <c r="E85" s="174">
        <f t="shared" ref="E85:M85" si="96">SUM(E80:E84)</f>
        <v>0</v>
      </c>
      <c r="F85" s="174">
        <f t="shared" si="96"/>
        <v>0</v>
      </c>
      <c r="G85" s="174">
        <f t="shared" si="96"/>
        <v>62.100000000000115</v>
      </c>
      <c r="H85" s="174">
        <f t="shared" si="96"/>
        <v>179.7</v>
      </c>
      <c r="I85" s="174">
        <f t="shared" si="96"/>
        <v>63.500000000000306</v>
      </c>
      <c r="J85" s="174">
        <f t="shared" si="96"/>
        <v>103.70000000000007</v>
      </c>
      <c r="K85" s="174">
        <f t="shared" si="96"/>
        <v>154.3949999999999</v>
      </c>
      <c r="L85" s="174">
        <f t="shared" si="96"/>
        <v>168.83100000000022</v>
      </c>
      <c r="M85" s="174">
        <f t="shared" si="96"/>
        <v>180.89500000000024</v>
      </c>
      <c r="N85" s="174">
        <f t="shared" ref="N85:O85" si="97">SUM(N80:N84)</f>
        <v>169.52400000000017</v>
      </c>
      <c r="O85" s="174">
        <f t="shared" si="97"/>
        <v>266.67788263281233</v>
      </c>
      <c r="P85" s="174">
        <f t="shared" ref="P85:BD85" si="98">SUM(P80:P84)</f>
        <v>274.57133033707396</v>
      </c>
      <c r="Q85" s="174">
        <f t="shared" si="98"/>
        <v>295.41567061250242</v>
      </c>
      <c r="R85" s="174">
        <f t="shared" si="98"/>
        <v>320.60174188239375</v>
      </c>
      <c r="S85" s="174">
        <f t="shared" si="98"/>
        <v>340.52742721303707</v>
      </c>
      <c r="T85" s="174">
        <f t="shared" si="98"/>
        <v>364.77844901110268</v>
      </c>
      <c r="U85" s="174">
        <f t="shared" si="98"/>
        <v>390.00114291678193</v>
      </c>
      <c r="V85" s="174">
        <f t="shared" si="98"/>
        <v>415.50942759175479</v>
      </c>
      <c r="W85" s="174">
        <f t="shared" si="98"/>
        <v>443.31164758153119</v>
      </c>
      <c r="X85" s="174">
        <f t="shared" si="98"/>
        <v>472.46694288861499</v>
      </c>
      <c r="Y85" s="174">
        <f t="shared" si="98"/>
        <v>503.25738030999878</v>
      </c>
      <c r="Z85" s="174">
        <f t="shared" si="98"/>
        <v>536.14843112431424</v>
      </c>
      <c r="AA85" s="174">
        <f t="shared" si="98"/>
        <v>564.80791949876698</v>
      </c>
      <c r="AB85" s="174">
        <f t="shared" si="98"/>
        <v>594.72640177097037</v>
      </c>
      <c r="AC85" s="174">
        <f t="shared" si="98"/>
        <v>626.44045157963797</v>
      </c>
      <c r="AD85" s="174">
        <f t="shared" si="98"/>
        <v>660.02112948076194</v>
      </c>
      <c r="AE85" s="174">
        <f t="shared" si="98"/>
        <v>695.63625195994473</v>
      </c>
      <c r="AF85" s="174">
        <f t="shared" si="98"/>
        <v>733.43059335434168</v>
      </c>
      <c r="AG85" s="174">
        <f t="shared" si="98"/>
        <v>773.54895950941318</v>
      </c>
      <c r="AH85" s="174">
        <f t="shared" si="98"/>
        <v>816.1651379685344</v>
      </c>
      <c r="AI85" s="174">
        <f t="shared" si="98"/>
        <v>861.45374083142656</v>
      </c>
      <c r="AJ85" s="174">
        <f t="shared" si="98"/>
        <v>909.60189679575274</v>
      </c>
      <c r="AK85" s="174">
        <f t="shared" si="98"/>
        <v>960.81305533247428</v>
      </c>
      <c r="AL85" s="174">
        <f t="shared" si="98"/>
        <v>1015.3018475670507</v>
      </c>
      <c r="AM85" s="174">
        <f t="shared" si="98"/>
        <v>1073.2985937798126</v>
      </c>
      <c r="AN85" s="174">
        <f t="shared" si="98"/>
        <v>1135.0502339704917</v>
      </c>
      <c r="AO85" s="174">
        <f t="shared" si="98"/>
        <v>1200.8204245047671</v>
      </c>
      <c r="AP85" s="174">
        <f t="shared" si="98"/>
        <v>1270.8917646341206</v>
      </c>
      <c r="AQ85" s="174">
        <f t="shared" si="98"/>
        <v>1345.5669664774098</v>
      </c>
      <c r="AR85" s="174">
        <f t="shared" si="98"/>
        <v>1425.1702001642077</v>
      </c>
      <c r="AS85" s="174">
        <f t="shared" si="98"/>
        <v>1510.0489299998951</v>
      </c>
      <c r="AT85" s="174">
        <f t="shared" si="98"/>
        <v>1599.198884042896</v>
      </c>
      <c r="AU85" s="174">
        <f t="shared" si="98"/>
        <v>1662.5850617638737</v>
      </c>
      <c r="AV85" s="174">
        <f t="shared" si="98"/>
        <v>1729.1829024750778</v>
      </c>
      <c r="AW85" s="174">
        <f t="shared" si="98"/>
        <v>1799.0920338148001</v>
      </c>
      <c r="AX85" s="174">
        <f t="shared" si="98"/>
        <v>1872.4213511952437</v>
      </c>
      <c r="AY85" s="174">
        <f t="shared" si="98"/>
        <v>1949.2889105305769</v>
      </c>
      <c r="AZ85" s="174">
        <f t="shared" si="98"/>
        <v>2029.8218599120185</v>
      </c>
      <c r="BA85" s="174">
        <f t="shared" si="98"/>
        <v>2114.1564293051747</v>
      </c>
      <c r="BB85" s="174">
        <f t="shared" si="98"/>
        <v>2202.4379652324201</v>
      </c>
      <c r="BC85" s="174">
        <f t="shared" si="98"/>
        <v>2294.8210056635317</v>
      </c>
      <c r="BD85" s="262">
        <f t="shared" si="98"/>
        <v>2391.4693971803727</v>
      </c>
    </row>
    <row r="86" spans="2:56" x14ac:dyDescent="0.3">
      <c r="B86" s="255" t="s">
        <v>151</v>
      </c>
      <c r="C86" s="17" t="s">
        <v>163</v>
      </c>
      <c r="D86" s="181">
        <f t="shared" ref="D86:L86" si="99">SUM(D87:D90)</f>
        <v>0</v>
      </c>
      <c r="E86" s="181">
        <f t="shared" si="99"/>
        <v>0</v>
      </c>
      <c r="F86" s="181">
        <f t="shared" si="99"/>
        <v>0</v>
      </c>
      <c r="G86" s="181">
        <f t="shared" si="99"/>
        <v>-107.39999999999999</v>
      </c>
      <c r="H86" s="181">
        <f t="shared" si="99"/>
        <v>-119.8</v>
      </c>
      <c r="I86" s="181">
        <f t="shared" si="99"/>
        <v>-113.1</v>
      </c>
      <c r="J86" s="181">
        <f t="shared" si="99"/>
        <v>-140.1</v>
      </c>
      <c r="K86" s="181">
        <f t="shared" si="99"/>
        <v>-118.767</v>
      </c>
      <c r="L86" s="181">
        <f t="shared" si="99"/>
        <v>-233.53299999999999</v>
      </c>
      <c r="M86" s="181">
        <f>SUM(M87:M90)</f>
        <v>-185.23599999999999</v>
      </c>
      <c r="N86" s="181">
        <f>SUM(N87:N90)</f>
        <v>-217.77099999999999</v>
      </c>
      <c r="O86" s="181">
        <f t="shared" ref="O86" si="100">SUM(O87:O90)</f>
        <v>-157.28545256699488</v>
      </c>
      <c r="P86" s="181">
        <f t="shared" ref="P86:BD86" si="101">SUM(P87:P90)</f>
        <v>-146.61002068832548</v>
      </c>
      <c r="Q86" s="181">
        <f t="shared" si="101"/>
        <v>-140.96682549988233</v>
      </c>
      <c r="R86" s="181">
        <f t="shared" si="101"/>
        <v>-134.45584267105852</v>
      </c>
      <c r="S86" s="181">
        <f t="shared" si="101"/>
        <v>-128.78400904395264</v>
      </c>
      <c r="T86" s="181">
        <f t="shared" si="101"/>
        <v>-125.71846201160741</v>
      </c>
      <c r="U86" s="181">
        <f t="shared" si="101"/>
        <v>-124.35050361281029</v>
      </c>
      <c r="V86" s="181">
        <f t="shared" si="101"/>
        <v>-125.19443245936611</v>
      </c>
      <c r="W86" s="181">
        <f t="shared" si="101"/>
        <v>-127.1631102561653</v>
      </c>
      <c r="X86" s="181">
        <f t="shared" si="101"/>
        <v>-129.26814845139694</v>
      </c>
      <c r="Y86" s="181">
        <f t="shared" si="101"/>
        <v>-131.09691729048939</v>
      </c>
      <c r="Z86" s="181">
        <f t="shared" si="101"/>
        <v>-133.28441087707699</v>
      </c>
      <c r="AA86" s="181">
        <f t="shared" si="101"/>
        <v>-135.11496732755182</v>
      </c>
      <c r="AB86" s="181">
        <f t="shared" si="101"/>
        <v>-136.22059417364733</v>
      </c>
      <c r="AC86" s="181">
        <f t="shared" si="101"/>
        <v>-137.33749243979179</v>
      </c>
      <c r="AD86" s="181">
        <f t="shared" si="101"/>
        <v>-138.44120627364387</v>
      </c>
      <c r="AE86" s="181">
        <f t="shared" si="101"/>
        <v>-139.54218749992913</v>
      </c>
      <c r="AF86" s="181">
        <f t="shared" si="101"/>
        <v>-140.66511774243173</v>
      </c>
      <c r="AG86" s="181">
        <f t="shared" si="101"/>
        <v>-141.79189290415093</v>
      </c>
      <c r="AH86" s="181">
        <f t="shared" si="101"/>
        <v>-142.92909880119382</v>
      </c>
      <c r="AI86" s="181">
        <f t="shared" si="101"/>
        <v>-144.0821584371854</v>
      </c>
      <c r="AJ86" s="181">
        <f t="shared" si="101"/>
        <v>-145.24861366734638</v>
      </c>
      <c r="AK86" s="181">
        <f t="shared" si="101"/>
        <v>-146.43242642612114</v>
      </c>
      <c r="AL86" s="181">
        <f t="shared" si="101"/>
        <v>-147.63647765507287</v>
      </c>
      <c r="AM86" s="181">
        <f t="shared" si="101"/>
        <v>-148.86259809497233</v>
      </c>
      <c r="AN86" s="181">
        <f t="shared" si="101"/>
        <v>-150.11438148805405</v>
      </c>
      <c r="AO86" s="181">
        <f t="shared" si="101"/>
        <v>-151.39526145758305</v>
      </c>
      <c r="AP86" s="181">
        <f t="shared" si="101"/>
        <v>-152.70888995840414</v>
      </c>
      <c r="AQ86" s="181">
        <f t="shared" si="101"/>
        <v>-154.05966041833582</v>
      </c>
      <c r="AR86" s="181">
        <f t="shared" si="101"/>
        <v>-155.45228173506081</v>
      </c>
      <c r="AS86" s="181">
        <f t="shared" si="101"/>
        <v>-156.89197301956523</v>
      </c>
      <c r="AT86" s="181">
        <f t="shared" si="101"/>
        <v>-158.28682143288125</v>
      </c>
      <c r="AU86" s="181">
        <f t="shared" si="101"/>
        <v>-157.31796060033668</v>
      </c>
      <c r="AV86" s="181">
        <f t="shared" si="101"/>
        <v>-152.4384326839766</v>
      </c>
      <c r="AW86" s="181">
        <f t="shared" si="101"/>
        <v>-146.96290973166259</v>
      </c>
      <c r="AX86" s="181">
        <f t="shared" si="101"/>
        <v>-140.93811598362294</v>
      </c>
      <c r="AY86" s="181">
        <f t="shared" si="101"/>
        <v>-134.34698773791246</v>
      </c>
      <c r="AZ86" s="181">
        <f t="shared" si="101"/>
        <v>-127.16921144951819</v>
      </c>
      <c r="BA86" s="181">
        <f t="shared" si="101"/>
        <v>-119.38239595218469</v>
      </c>
      <c r="BB86" s="181">
        <f t="shared" si="101"/>
        <v>-110.96211823068877</v>
      </c>
      <c r="BC86" s="181">
        <f t="shared" si="101"/>
        <v>-101.88193240090489</v>
      </c>
      <c r="BD86" s="181">
        <f t="shared" si="101"/>
        <v>-92.113367633234489</v>
      </c>
    </row>
    <row r="87" spans="2:56" x14ac:dyDescent="0.3">
      <c r="B87" s="264" t="s">
        <v>152</v>
      </c>
      <c r="C87" s="17" t="s">
        <v>164</v>
      </c>
      <c r="D87" s="265">
        <f>BD!D28</f>
        <v>0</v>
      </c>
      <c r="E87" s="265">
        <f>BD!E28</f>
        <v>0</v>
      </c>
      <c r="F87" s="265">
        <f>BD!F28</f>
        <v>0</v>
      </c>
      <c r="G87" s="265">
        <f>BD!G28</f>
        <v>26.7</v>
      </c>
      <c r="H87" s="265">
        <f>BD!H28</f>
        <v>17.5</v>
      </c>
      <c r="I87" s="265">
        <f>BD!I28</f>
        <v>8.3000000000000007</v>
      </c>
      <c r="J87" s="265">
        <f>BD!J28</f>
        <v>16.3</v>
      </c>
      <c r="K87" s="265">
        <f>BD!K28</f>
        <v>25.81</v>
      </c>
      <c r="L87" s="265">
        <f>BD!L28</f>
        <v>22.766999999999999</v>
      </c>
      <c r="M87" s="265">
        <f>BD!M28</f>
        <v>26.959</v>
      </c>
      <c r="N87" s="265">
        <f>BD!N28</f>
        <v>27.284999999999997</v>
      </c>
      <c r="O87" s="125">
        <f t="shared" ref="O87" si="102">(N8+N16)*O101</f>
        <v>16.307500000000001</v>
      </c>
      <c r="P87" s="125">
        <f t="shared" ref="P87:BD87" si="103">(O8+O16)*P101</f>
        <v>19.20025696119755</v>
      </c>
      <c r="Q87" s="125">
        <f t="shared" si="103"/>
        <v>21.758489521710867</v>
      </c>
      <c r="R87" s="125">
        <f t="shared" si="103"/>
        <v>24.739404857568964</v>
      </c>
      <c r="S87" s="125">
        <f t="shared" si="103"/>
        <v>29.327281426649296</v>
      </c>
      <c r="T87" s="125">
        <f t="shared" si="103"/>
        <v>34.238115333642639</v>
      </c>
      <c r="U87" s="125">
        <f t="shared" si="103"/>
        <v>38.673889746371714</v>
      </c>
      <c r="V87" s="125">
        <f t="shared" si="103"/>
        <v>39.21040469538201</v>
      </c>
      <c r="W87" s="125">
        <f t="shared" si="103"/>
        <v>39.638843589824155</v>
      </c>
      <c r="X87" s="125">
        <f t="shared" si="103"/>
        <v>40.146802810186465</v>
      </c>
      <c r="Y87" s="125">
        <f t="shared" si="103"/>
        <v>40.7246809310966</v>
      </c>
      <c r="Z87" s="125">
        <f t="shared" si="103"/>
        <v>41.357930638865149</v>
      </c>
      <c r="AA87" s="125">
        <f t="shared" si="103"/>
        <v>42.079751508597795</v>
      </c>
      <c r="AB87" s="125">
        <f t="shared" si="103"/>
        <v>43.580834540537751</v>
      </c>
      <c r="AC87" s="125">
        <f t="shared" si="103"/>
        <v>45.286279520133959</v>
      </c>
      <c r="AD87" s="125">
        <f t="shared" si="103"/>
        <v>47.156257954218063</v>
      </c>
      <c r="AE87" s="125">
        <f t="shared" si="103"/>
        <v>49.197149462437807</v>
      </c>
      <c r="AF87" s="125">
        <f t="shared" si="103"/>
        <v>51.419506342734834</v>
      </c>
      <c r="AG87" s="125">
        <f t="shared" si="103"/>
        <v>53.835470892580787</v>
      </c>
      <c r="AH87" s="125">
        <f t="shared" si="103"/>
        <v>56.456347161228344</v>
      </c>
      <c r="AI87" s="125">
        <f t="shared" si="103"/>
        <v>59.294966437075828</v>
      </c>
      <c r="AJ87" s="125">
        <f t="shared" si="103"/>
        <v>62.364982315562358</v>
      </c>
      <c r="AK87" s="125">
        <f t="shared" si="103"/>
        <v>65.680613777324623</v>
      </c>
      <c r="AL87" s="125">
        <f t="shared" si="103"/>
        <v>69.257189921183198</v>
      </c>
      <c r="AM87" s="125">
        <f t="shared" si="103"/>
        <v>73.110973107340854</v>
      </c>
      <c r="AN87" s="125">
        <f t="shared" si="103"/>
        <v>77.259209254487502</v>
      </c>
      <c r="AO87" s="125">
        <f t="shared" si="103"/>
        <v>81.720288025176714</v>
      </c>
      <c r="AP87" s="125">
        <f t="shared" si="103"/>
        <v>86.513751597139404</v>
      </c>
      <c r="AQ87" s="125">
        <f t="shared" si="103"/>
        <v>91.660380301722441</v>
      </c>
      <c r="AR87" s="125">
        <f t="shared" si="103"/>
        <v>97.182289402559505</v>
      </c>
      <c r="AS87" s="125">
        <f t="shared" si="103"/>
        <v>103.10300101936826</v>
      </c>
      <c r="AT87" s="125">
        <f t="shared" si="103"/>
        <v>109.44754152677538</v>
      </c>
      <c r="AU87" s="125">
        <f t="shared" si="103"/>
        <v>116.40208892097482</v>
      </c>
      <c r="AV87" s="125">
        <f t="shared" si="103"/>
        <v>127.52635329758465</v>
      </c>
      <c r="AW87" s="125">
        <f t="shared" si="103"/>
        <v>139.51706916567537</v>
      </c>
      <c r="AX87" s="125">
        <f t="shared" si="103"/>
        <v>152.33941573003995</v>
      </c>
      <c r="AY87" s="125">
        <f t="shared" si="103"/>
        <v>166.0228919815201</v>
      </c>
      <c r="AZ87" s="125">
        <f t="shared" si="103"/>
        <v>180.60080124912278</v>
      </c>
      <c r="BA87" s="125">
        <f t="shared" si="103"/>
        <v>196.10909991847214</v>
      </c>
      <c r="BB87" s="125">
        <f t="shared" si="103"/>
        <v>212.5863804551901</v>
      </c>
      <c r="BC87" s="125">
        <f t="shared" si="103"/>
        <v>230.07388869297864</v>
      </c>
      <c r="BD87" s="266">
        <f t="shared" si="103"/>
        <v>248.6155535044835</v>
      </c>
    </row>
    <row r="88" spans="2:56" x14ac:dyDescent="0.3">
      <c r="B88" s="264" t="s">
        <v>153</v>
      </c>
      <c r="C88" s="17" t="s">
        <v>165</v>
      </c>
      <c r="D88" s="265">
        <f>BD!D26</f>
        <v>0</v>
      </c>
      <c r="E88" s="265">
        <f>BD!E26</f>
        <v>0</v>
      </c>
      <c r="F88" s="265">
        <f>BD!F26</f>
        <v>0</v>
      </c>
      <c r="G88" s="265">
        <f>BD!G26</f>
        <v>-72.599999999999994</v>
      </c>
      <c r="H88" s="265">
        <f>BD!H26</f>
        <v>-80.599999999999994</v>
      </c>
      <c r="I88" s="265">
        <f>BD!I26</f>
        <v>-79</v>
      </c>
      <c r="J88" s="265">
        <f>BD!J26</f>
        <v>-110.3</v>
      </c>
      <c r="K88" s="265">
        <f>BD!K26</f>
        <v>-150.739</v>
      </c>
      <c r="L88" s="265">
        <f>BD!L26</f>
        <v>-171.39599999999999</v>
      </c>
      <c r="M88" s="265">
        <f>BD!M26</f>
        <v>-142.93100000000001</v>
      </c>
      <c r="N88" s="265">
        <f>BD!N26</f>
        <v>-129.17999999999998</v>
      </c>
      <c r="O88" s="125">
        <f>-O102*(O30+O40+O32+O42)-O103*(O31+O41)</f>
        <v>-125.56194524999999</v>
      </c>
      <c r="P88" s="125">
        <f t="shared" ref="P88:BD88" si="104">-P102*(P30+P40+P32+P42)-P103*(P31+P41)</f>
        <v>-125.56194524999999</v>
      </c>
      <c r="Q88" s="125">
        <f t="shared" si="104"/>
        <v>-125.56194524999999</v>
      </c>
      <c r="R88" s="125">
        <f t="shared" si="104"/>
        <v>-125.56194524999999</v>
      </c>
      <c r="S88" s="125">
        <f t="shared" si="104"/>
        <v>-125.56194524999999</v>
      </c>
      <c r="T88" s="125">
        <f t="shared" si="104"/>
        <v>-125.56194524999999</v>
      </c>
      <c r="U88" s="125">
        <f t="shared" si="104"/>
        <v>-125.56194524999999</v>
      </c>
      <c r="V88" s="125">
        <f t="shared" si="104"/>
        <v>-125.56194524999999</v>
      </c>
      <c r="W88" s="125">
        <f t="shared" si="104"/>
        <v>-125.56194524999999</v>
      </c>
      <c r="X88" s="125">
        <f t="shared" si="104"/>
        <v>-125.56194524999999</v>
      </c>
      <c r="Y88" s="125">
        <f t="shared" si="104"/>
        <v>-125.56194524999999</v>
      </c>
      <c r="Z88" s="125">
        <f t="shared" si="104"/>
        <v>-125.56194524999999</v>
      </c>
      <c r="AA88" s="125">
        <f t="shared" si="104"/>
        <v>-125.56194524999999</v>
      </c>
      <c r="AB88" s="125">
        <f t="shared" si="104"/>
        <v>-125.56194524999999</v>
      </c>
      <c r="AC88" s="125">
        <f t="shared" si="104"/>
        <v>-125.56194524999999</v>
      </c>
      <c r="AD88" s="125">
        <f t="shared" si="104"/>
        <v>-125.56194524999999</v>
      </c>
      <c r="AE88" s="125">
        <f t="shared" si="104"/>
        <v>-125.56194524999999</v>
      </c>
      <c r="AF88" s="125">
        <f t="shared" si="104"/>
        <v>-125.56194524999999</v>
      </c>
      <c r="AG88" s="125">
        <f t="shared" si="104"/>
        <v>-125.56194524999999</v>
      </c>
      <c r="AH88" s="125">
        <f t="shared" si="104"/>
        <v>-125.56194524999999</v>
      </c>
      <c r="AI88" s="125">
        <f t="shared" si="104"/>
        <v>-125.56194524999999</v>
      </c>
      <c r="AJ88" s="125">
        <f t="shared" si="104"/>
        <v>-125.56194524999999</v>
      </c>
      <c r="AK88" s="125">
        <f t="shared" si="104"/>
        <v>-125.56194524999999</v>
      </c>
      <c r="AL88" s="125">
        <f t="shared" si="104"/>
        <v>-125.56194524999999</v>
      </c>
      <c r="AM88" s="125">
        <f t="shared" si="104"/>
        <v>-125.56194524999999</v>
      </c>
      <c r="AN88" s="125">
        <f t="shared" si="104"/>
        <v>-125.56194524999999</v>
      </c>
      <c r="AO88" s="125">
        <f t="shared" si="104"/>
        <v>-125.56194524999999</v>
      </c>
      <c r="AP88" s="125">
        <f t="shared" si="104"/>
        <v>-125.56194524999999</v>
      </c>
      <c r="AQ88" s="125">
        <f t="shared" si="104"/>
        <v>-125.56194524999999</v>
      </c>
      <c r="AR88" s="125">
        <f t="shared" si="104"/>
        <v>-125.56194524999999</v>
      </c>
      <c r="AS88" s="125">
        <f t="shared" si="104"/>
        <v>-125.56194524999999</v>
      </c>
      <c r="AT88" s="125">
        <f t="shared" si="104"/>
        <v>-125.56194524999999</v>
      </c>
      <c r="AU88" s="125">
        <f t="shared" si="104"/>
        <v>-125.56194524999999</v>
      </c>
      <c r="AV88" s="125">
        <f t="shared" si="104"/>
        <v>-125.56194524999999</v>
      </c>
      <c r="AW88" s="125">
        <f t="shared" si="104"/>
        <v>-125.56194524999999</v>
      </c>
      <c r="AX88" s="125">
        <f t="shared" si="104"/>
        <v>-125.56194524999999</v>
      </c>
      <c r="AY88" s="125">
        <f t="shared" si="104"/>
        <v>-125.56194524999999</v>
      </c>
      <c r="AZ88" s="125">
        <f t="shared" si="104"/>
        <v>-125.56194524999999</v>
      </c>
      <c r="BA88" s="125">
        <f t="shared" si="104"/>
        <v>-125.56194524999999</v>
      </c>
      <c r="BB88" s="125">
        <f t="shared" si="104"/>
        <v>-125.56194524999999</v>
      </c>
      <c r="BC88" s="125">
        <f t="shared" si="104"/>
        <v>-125.56194524999999</v>
      </c>
      <c r="BD88" s="266">
        <f t="shared" si="104"/>
        <v>-125.56194524999999</v>
      </c>
    </row>
    <row r="89" spans="2:56" x14ac:dyDescent="0.3">
      <c r="B89" s="264" t="s">
        <v>154</v>
      </c>
      <c r="C89" s="17" t="s">
        <v>166</v>
      </c>
      <c r="D89" s="265">
        <f>BD!D29</f>
        <v>0</v>
      </c>
      <c r="E89" s="265">
        <f>BD!E29</f>
        <v>0</v>
      </c>
      <c r="F89" s="265">
        <f>BD!F29</f>
        <v>0</v>
      </c>
      <c r="G89" s="265">
        <f>BD!G29</f>
        <v>-16.5</v>
      </c>
      <c r="H89" s="265">
        <f>BD!H29</f>
        <v>-5.7</v>
      </c>
      <c r="I89" s="265">
        <f>BD!I29</f>
        <v>13.6</v>
      </c>
      <c r="J89" s="265">
        <f>BD!J29</f>
        <v>12.5</v>
      </c>
      <c r="K89" s="265">
        <f>BD!K29</f>
        <v>69.701999999999998</v>
      </c>
      <c r="L89" s="265">
        <f>BD!L29</f>
        <v>-23.94</v>
      </c>
      <c r="M89" s="265">
        <f>BD!M29</f>
        <v>-9.6630000000000003</v>
      </c>
      <c r="N89" s="265">
        <f>BD!N29</f>
        <v>-63.695999999999998</v>
      </c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39"/>
    </row>
    <row r="90" spans="2:56" x14ac:dyDescent="0.3">
      <c r="B90" s="264" t="s">
        <v>294</v>
      </c>
      <c r="C90" s="17"/>
      <c r="D90" s="265">
        <f>BD!D27</f>
        <v>0</v>
      </c>
      <c r="E90" s="265">
        <f>BD!E27</f>
        <v>0</v>
      </c>
      <c r="F90" s="265">
        <f>BD!F27</f>
        <v>0</v>
      </c>
      <c r="G90" s="265">
        <f>BD!G27</f>
        <v>-45</v>
      </c>
      <c r="H90" s="265">
        <f>BD!H27</f>
        <v>-51</v>
      </c>
      <c r="I90" s="265">
        <f>BD!I27</f>
        <v>-56</v>
      </c>
      <c r="J90" s="265">
        <f>BD!J27</f>
        <v>-58.6</v>
      </c>
      <c r="K90" s="265">
        <f>BD!K27</f>
        <v>-63.54</v>
      </c>
      <c r="L90" s="265">
        <f>BD!L27</f>
        <v>-60.963999999999999</v>
      </c>
      <c r="M90" s="265">
        <f>BD!M27</f>
        <v>-59.600999999999999</v>
      </c>
      <c r="N90" s="265">
        <f>BD!N27</f>
        <v>-52.18</v>
      </c>
      <c r="O90" s="125">
        <f>O107*O78</f>
        <v>-48.031007316994902</v>
      </c>
      <c r="P90" s="125">
        <f t="shared" ref="P90:BD90" si="105">P107*P78</f>
        <v>-40.248332399523036</v>
      </c>
      <c r="Q90" s="125">
        <f t="shared" si="105"/>
        <v>-37.163369771593203</v>
      </c>
      <c r="R90" s="125">
        <f t="shared" si="105"/>
        <v>-33.633302278627482</v>
      </c>
      <c r="S90" s="125">
        <f t="shared" si="105"/>
        <v>-32.549345220601936</v>
      </c>
      <c r="T90" s="125">
        <f t="shared" si="105"/>
        <v>-34.394632095250067</v>
      </c>
      <c r="U90" s="125">
        <f t="shared" si="105"/>
        <v>-37.462448109181999</v>
      </c>
      <c r="V90" s="125">
        <f t="shared" si="105"/>
        <v>-38.842891904748122</v>
      </c>
      <c r="W90" s="125">
        <f t="shared" si="105"/>
        <v>-41.240008595989465</v>
      </c>
      <c r="X90" s="125">
        <f t="shared" si="105"/>
        <v>-43.853006011583417</v>
      </c>
      <c r="Y90" s="125">
        <f t="shared" si="105"/>
        <v>-46.259652971585993</v>
      </c>
      <c r="Z90" s="125">
        <f t="shared" si="105"/>
        <v>-49.080396265942149</v>
      </c>
      <c r="AA90" s="125">
        <f t="shared" si="105"/>
        <v>-51.632773586149632</v>
      </c>
      <c r="AB90" s="125">
        <f t="shared" si="105"/>
        <v>-54.239483464185092</v>
      </c>
      <c r="AC90" s="125">
        <f t="shared" si="105"/>
        <v>-57.061826709925761</v>
      </c>
      <c r="AD90" s="125">
        <f t="shared" si="105"/>
        <v>-60.035518977861948</v>
      </c>
      <c r="AE90" s="125">
        <f t="shared" si="105"/>
        <v>-63.177391712366926</v>
      </c>
      <c r="AF90" s="125">
        <f t="shared" si="105"/>
        <v>-66.522678835166559</v>
      </c>
      <c r="AG90" s="125">
        <f t="shared" si="105"/>
        <v>-70.065418546731706</v>
      </c>
      <c r="AH90" s="125">
        <f t="shared" si="105"/>
        <v>-73.823500712422174</v>
      </c>
      <c r="AI90" s="125">
        <f t="shared" si="105"/>
        <v>-77.815179624261233</v>
      </c>
      <c r="AJ90" s="125">
        <f t="shared" si="105"/>
        <v>-82.051650732908755</v>
      </c>
      <c r="AK90" s="125">
        <f t="shared" si="105"/>
        <v>-86.551094953445755</v>
      </c>
      <c r="AL90" s="125">
        <f t="shared" si="105"/>
        <v>-91.33172232625607</v>
      </c>
      <c r="AM90" s="125">
        <f t="shared" si="105"/>
        <v>-96.411625952313202</v>
      </c>
      <c r="AN90" s="125">
        <f t="shared" si="105"/>
        <v>-101.81164549254157</v>
      </c>
      <c r="AO90" s="125">
        <f t="shared" si="105"/>
        <v>-107.55360423275975</v>
      </c>
      <c r="AP90" s="125">
        <f t="shared" si="105"/>
        <v>-113.66069630554357</v>
      </c>
      <c r="AQ90" s="125">
        <f t="shared" si="105"/>
        <v>-120.15809547005827</v>
      </c>
      <c r="AR90" s="125">
        <f t="shared" si="105"/>
        <v>-127.07262588762033</v>
      </c>
      <c r="AS90" s="125">
        <f t="shared" si="105"/>
        <v>-134.43302878893351</v>
      </c>
      <c r="AT90" s="125">
        <f t="shared" si="105"/>
        <v>-142.17241770965666</v>
      </c>
      <c r="AU90" s="125">
        <f t="shared" si="105"/>
        <v>-148.15810427131149</v>
      </c>
      <c r="AV90" s="125">
        <f t="shared" si="105"/>
        <v>-154.40284073156127</v>
      </c>
      <c r="AW90" s="125">
        <f t="shared" si="105"/>
        <v>-160.91803364733795</v>
      </c>
      <c r="AX90" s="125">
        <f t="shared" si="105"/>
        <v>-167.71558646366287</v>
      </c>
      <c r="AY90" s="125">
        <f t="shared" si="105"/>
        <v>-174.80793446943255</v>
      </c>
      <c r="AZ90" s="125">
        <f t="shared" si="105"/>
        <v>-182.20806744864097</v>
      </c>
      <c r="BA90" s="125">
        <f t="shared" si="105"/>
        <v>-189.92955062065684</v>
      </c>
      <c r="BB90" s="125">
        <f t="shared" si="105"/>
        <v>-197.98655343587888</v>
      </c>
      <c r="BC90" s="125">
        <f t="shared" si="105"/>
        <v>-206.39387584388354</v>
      </c>
      <c r="BD90" s="125">
        <f t="shared" si="105"/>
        <v>-215.166975887718</v>
      </c>
    </row>
    <row r="91" spans="2:56" s="31" customFormat="1" x14ac:dyDescent="0.3">
      <c r="B91" s="250" t="s">
        <v>157</v>
      </c>
      <c r="C91" s="3" t="s">
        <v>167</v>
      </c>
      <c r="D91" s="181">
        <f>D85+D86</f>
        <v>0</v>
      </c>
      <c r="E91" s="181">
        <f t="shared" ref="E91:BD91" si="106">E85+E86</f>
        <v>0</v>
      </c>
      <c r="F91" s="181">
        <f t="shared" si="106"/>
        <v>0</v>
      </c>
      <c r="G91" s="181">
        <f t="shared" si="106"/>
        <v>-45.299999999999876</v>
      </c>
      <c r="H91" s="181">
        <f t="shared" si="106"/>
        <v>59.899999999999991</v>
      </c>
      <c r="I91" s="181">
        <f t="shared" si="106"/>
        <v>-49.599999999999689</v>
      </c>
      <c r="J91" s="181">
        <f t="shared" si="106"/>
        <v>-36.39999999999992</v>
      </c>
      <c r="K91" s="181">
        <f t="shared" si="106"/>
        <v>35.627999999999901</v>
      </c>
      <c r="L91" s="181">
        <f t="shared" si="106"/>
        <v>-64.701999999999771</v>
      </c>
      <c r="M91" s="181">
        <f t="shared" si="106"/>
        <v>-4.3409999999997524</v>
      </c>
      <c r="N91" s="181">
        <f t="shared" ref="N91:O91" si="107">N85+N86</f>
        <v>-48.246999999999815</v>
      </c>
      <c r="O91" s="181">
        <f t="shared" si="107"/>
        <v>109.39243006581745</v>
      </c>
      <c r="P91" s="181">
        <f t="shared" si="106"/>
        <v>127.96130964874848</v>
      </c>
      <c r="Q91" s="181">
        <f t="shared" si="106"/>
        <v>154.44884511262009</v>
      </c>
      <c r="R91" s="181">
        <f t="shared" si="106"/>
        <v>186.14589921133523</v>
      </c>
      <c r="S91" s="181">
        <f t="shared" si="106"/>
        <v>211.74341816908444</v>
      </c>
      <c r="T91" s="181">
        <f t="shared" si="106"/>
        <v>239.05998699949527</v>
      </c>
      <c r="U91" s="181">
        <f t="shared" si="106"/>
        <v>265.65063930397162</v>
      </c>
      <c r="V91" s="181">
        <f t="shared" si="106"/>
        <v>290.31499513238867</v>
      </c>
      <c r="W91" s="181">
        <f t="shared" si="106"/>
        <v>316.14853732536591</v>
      </c>
      <c r="X91" s="181">
        <f t="shared" si="106"/>
        <v>343.19879443721806</v>
      </c>
      <c r="Y91" s="181">
        <f t="shared" si="106"/>
        <v>372.16046301950939</v>
      </c>
      <c r="Z91" s="181">
        <f t="shared" si="106"/>
        <v>402.86402024723725</v>
      </c>
      <c r="AA91" s="181">
        <f t="shared" si="106"/>
        <v>429.69295217121515</v>
      </c>
      <c r="AB91" s="181">
        <f t="shared" si="106"/>
        <v>458.50580759732304</v>
      </c>
      <c r="AC91" s="181">
        <f t="shared" si="106"/>
        <v>489.10295913984618</v>
      </c>
      <c r="AD91" s="181">
        <f t="shared" si="106"/>
        <v>521.5799232071181</v>
      </c>
      <c r="AE91" s="181">
        <f t="shared" si="106"/>
        <v>556.0940644600156</v>
      </c>
      <c r="AF91" s="181">
        <f t="shared" si="106"/>
        <v>592.76547561191001</v>
      </c>
      <c r="AG91" s="181">
        <f t="shared" si="106"/>
        <v>631.75706660526225</v>
      </c>
      <c r="AH91" s="181">
        <f t="shared" si="106"/>
        <v>673.23603916734055</v>
      </c>
      <c r="AI91" s="181">
        <f t="shared" si="106"/>
        <v>717.37158239424116</v>
      </c>
      <c r="AJ91" s="181">
        <f t="shared" si="106"/>
        <v>764.35328312840636</v>
      </c>
      <c r="AK91" s="181">
        <f t="shared" si="106"/>
        <v>814.38062890635319</v>
      </c>
      <c r="AL91" s="181">
        <f t="shared" si="106"/>
        <v>867.66536991197779</v>
      </c>
      <c r="AM91" s="181">
        <f t="shared" si="106"/>
        <v>924.43599568484024</v>
      </c>
      <c r="AN91" s="181">
        <f t="shared" si="106"/>
        <v>984.93585248243767</v>
      </c>
      <c r="AO91" s="181">
        <f t="shared" si="106"/>
        <v>1049.425163047184</v>
      </c>
      <c r="AP91" s="181">
        <f t="shared" si="106"/>
        <v>1118.1828746757164</v>
      </c>
      <c r="AQ91" s="181">
        <f t="shared" si="106"/>
        <v>1191.5073060590739</v>
      </c>
      <c r="AR91" s="181">
        <f t="shared" si="106"/>
        <v>1269.7179184291469</v>
      </c>
      <c r="AS91" s="181">
        <f t="shared" si="106"/>
        <v>1353.1569569803298</v>
      </c>
      <c r="AT91" s="181">
        <f t="shared" si="106"/>
        <v>1440.9120626100148</v>
      </c>
      <c r="AU91" s="181">
        <f t="shared" si="106"/>
        <v>1505.2671011635371</v>
      </c>
      <c r="AV91" s="181">
        <f t="shared" si="106"/>
        <v>1576.7444697911012</v>
      </c>
      <c r="AW91" s="181">
        <f t="shared" si="106"/>
        <v>1652.1291240831374</v>
      </c>
      <c r="AX91" s="181">
        <f t="shared" si="106"/>
        <v>1731.4832352116207</v>
      </c>
      <c r="AY91" s="181">
        <f t="shared" si="106"/>
        <v>1814.9419227926644</v>
      </c>
      <c r="AZ91" s="181">
        <f t="shared" si="106"/>
        <v>1902.6526484625003</v>
      </c>
      <c r="BA91" s="181">
        <f t="shared" si="106"/>
        <v>1994.77403335299</v>
      </c>
      <c r="BB91" s="181">
        <f t="shared" si="106"/>
        <v>2091.4758470017314</v>
      </c>
      <c r="BC91" s="181">
        <f t="shared" si="106"/>
        <v>2192.9390732626266</v>
      </c>
      <c r="BD91" s="182">
        <f t="shared" si="106"/>
        <v>2299.356029547138</v>
      </c>
    </row>
    <row r="92" spans="2:56" x14ac:dyDescent="0.3">
      <c r="B92" s="255" t="s">
        <v>158</v>
      </c>
      <c r="C92" s="267">
        <f>BD!C31+BD!C32</f>
        <v>0</v>
      </c>
      <c r="D92" s="267">
        <f>BD!D31+BD!D32</f>
        <v>0</v>
      </c>
      <c r="E92" s="267">
        <f>BD!E31+BD!E32</f>
        <v>0</v>
      </c>
      <c r="F92" s="267">
        <f>BD!F31+BD!F32</f>
        <v>0</v>
      </c>
      <c r="G92" s="267">
        <f>BD!G31+BD!G32</f>
        <v>-92.4</v>
      </c>
      <c r="H92" s="267">
        <f>BD!H31+BD!H32</f>
        <v>-2.6999999999999997</v>
      </c>
      <c r="I92" s="267">
        <f>BD!I31+BD!I32</f>
        <v>-3.1999999999999997</v>
      </c>
      <c r="J92" s="267">
        <f>BD!J31+BD!J32</f>
        <v>7.3</v>
      </c>
      <c r="K92" s="267">
        <f>BD!K31+BD!K32</f>
        <v>-12.992999999999999</v>
      </c>
      <c r="L92" s="267">
        <f>BD!L31+BD!L32</f>
        <v>58.253</v>
      </c>
      <c r="M92" s="267">
        <f>BD!M31+BD!M32</f>
        <v>25.965</v>
      </c>
      <c r="N92" s="267">
        <f>BD!N31+BD!N32</f>
        <v>55.73</v>
      </c>
      <c r="O92" s="181">
        <f>O91*O104</f>
        <v>-21.878486013163492</v>
      </c>
      <c r="P92" s="181">
        <f t="shared" ref="P92:BD92" si="108">P91*P104</f>
        <v>-25.592261929749696</v>
      </c>
      <c r="Q92" s="181">
        <f t="shared" si="108"/>
        <v>-30.889769022524021</v>
      </c>
      <c r="R92" s="181">
        <f t="shared" si="108"/>
        <v>-37.229179842267051</v>
      </c>
      <c r="S92" s="181">
        <f t="shared" si="108"/>
        <v>-42.34868363381689</v>
      </c>
      <c r="T92" s="181">
        <f t="shared" si="108"/>
        <v>-71.717996099848577</v>
      </c>
      <c r="U92" s="181">
        <f t="shared" si="108"/>
        <v>-79.695191791191476</v>
      </c>
      <c r="V92" s="181">
        <f t="shared" si="108"/>
        <v>-87.094498539716596</v>
      </c>
      <c r="W92" s="181">
        <f t="shared" si="108"/>
        <v>-94.844561197609764</v>
      </c>
      <c r="X92" s="181">
        <f t="shared" si="108"/>
        <v>-102.95963833116541</v>
      </c>
      <c r="Y92" s="181">
        <f t="shared" si="108"/>
        <v>-111.64813890585282</v>
      </c>
      <c r="Z92" s="181">
        <f t="shared" si="108"/>
        <v>-120.85920607417117</v>
      </c>
      <c r="AA92" s="181">
        <f t="shared" si="108"/>
        <v>-128.90788565136455</v>
      </c>
      <c r="AB92" s="181">
        <f t="shared" si="108"/>
        <v>-137.5517422791969</v>
      </c>
      <c r="AC92" s="181">
        <f t="shared" si="108"/>
        <v>-146.73088774195384</v>
      </c>
      <c r="AD92" s="181">
        <f t="shared" si="108"/>
        <v>-156.47397696213542</v>
      </c>
      <c r="AE92" s="181">
        <f t="shared" si="108"/>
        <v>-166.82821933800469</v>
      </c>
      <c r="AF92" s="181">
        <f t="shared" si="108"/>
        <v>-177.82964268357298</v>
      </c>
      <c r="AG92" s="181">
        <f t="shared" si="108"/>
        <v>-189.52711998157866</v>
      </c>
      <c r="AH92" s="181">
        <f t="shared" si="108"/>
        <v>-201.97081175020216</v>
      </c>
      <c r="AI92" s="181">
        <f t="shared" si="108"/>
        <v>-215.21147471827234</v>
      </c>
      <c r="AJ92" s="181">
        <f t="shared" si="108"/>
        <v>-229.3059849385219</v>
      </c>
      <c r="AK92" s="181">
        <f t="shared" si="108"/>
        <v>-244.31418867190595</v>
      </c>
      <c r="AL92" s="181">
        <f t="shared" si="108"/>
        <v>-260.2996109735933</v>
      </c>
      <c r="AM92" s="181">
        <f t="shared" si="108"/>
        <v>-277.33079870545208</v>
      </c>
      <c r="AN92" s="181">
        <f t="shared" si="108"/>
        <v>-295.48075574473131</v>
      </c>
      <c r="AO92" s="181">
        <f t="shared" si="108"/>
        <v>-314.82754891415522</v>
      </c>
      <c r="AP92" s="181">
        <f t="shared" si="108"/>
        <v>-335.45486240271492</v>
      </c>
      <c r="AQ92" s="181">
        <f t="shared" si="108"/>
        <v>-357.45219181772217</v>
      </c>
      <c r="AR92" s="181">
        <f t="shared" si="108"/>
        <v>-380.91537552874405</v>
      </c>
      <c r="AS92" s="181">
        <f t="shared" si="108"/>
        <v>-405.94708709409895</v>
      </c>
      <c r="AT92" s="181">
        <f t="shared" si="108"/>
        <v>-432.27361878300445</v>
      </c>
      <c r="AU92" s="181">
        <f t="shared" si="108"/>
        <v>-451.58013034906111</v>
      </c>
      <c r="AV92" s="181">
        <f t="shared" si="108"/>
        <v>-473.02334093733032</v>
      </c>
      <c r="AW92" s="181">
        <f t="shared" si="108"/>
        <v>-495.63873722494122</v>
      </c>
      <c r="AX92" s="181">
        <f t="shared" si="108"/>
        <v>-519.44497056348621</v>
      </c>
      <c r="AY92" s="181">
        <f t="shared" si="108"/>
        <v>-544.48257683779934</v>
      </c>
      <c r="AZ92" s="181">
        <f t="shared" si="108"/>
        <v>-570.7957945387501</v>
      </c>
      <c r="BA92" s="181">
        <f t="shared" si="108"/>
        <v>-598.43221000589699</v>
      </c>
      <c r="BB92" s="181">
        <f t="shared" si="108"/>
        <v>-627.44275410051944</v>
      </c>
      <c r="BC92" s="181">
        <f t="shared" si="108"/>
        <v>-657.88172197878794</v>
      </c>
      <c r="BD92" s="182">
        <f t="shared" si="108"/>
        <v>-689.80680886414132</v>
      </c>
    </row>
    <row r="93" spans="2:56" s="31" customFormat="1" x14ac:dyDescent="0.3">
      <c r="B93" s="250" t="s">
        <v>159</v>
      </c>
      <c r="C93" s="3" t="s">
        <v>168</v>
      </c>
      <c r="D93" s="174">
        <f>D91+D92</f>
        <v>0</v>
      </c>
      <c r="E93" s="174">
        <f t="shared" ref="E93:M93" si="109">E91+E92</f>
        <v>0</v>
      </c>
      <c r="F93" s="174">
        <f t="shared" si="109"/>
        <v>0</v>
      </c>
      <c r="G93" s="174">
        <f t="shared" si="109"/>
        <v>-137.69999999999987</v>
      </c>
      <c r="H93" s="174">
        <f t="shared" si="109"/>
        <v>57.199999999999989</v>
      </c>
      <c r="I93" s="174">
        <f t="shared" si="109"/>
        <v>-52.799999999999692</v>
      </c>
      <c r="J93" s="174">
        <f t="shared" si="109"/>
        <v>-29.09999999999992</v>
      </c>
      <c r="K93" s="174">
        <f t="shared" si="109"/>
        <v>22.634999999999902</v>
      </c>
      <c r="L93" s="174">
        <f t="shared" si="109"/>
        <v>-6.4489999999997707</v>
      </c>
      <c r="M93" s="174">
        <f t="shared" si="109"/>
        <v>21.624000000000247</v>
      </c>
      <c r="N93" s="174">
        <f t="shared" ref="N93" si="110">N91+N92</f>
        <v>7.4830000000001817</v>
      </c>
      <c r="O93" s="174">
        <f>O91+O92</f>
        <v>87.513944052653954</v>
      </c>
      <c r="P93" s="174">
        <f t="shared" ref="P93:BD93" si="111">P91+P92</f>
        <v>102.36904771899879</v>
      </c>
      <c r="Q93" s="174">
        <f t="shared" si="111"/>
        <v>123.55907609009607</v>
      </c>
      <c r="R93" s="174">
        <f t="shared" si="111"/>
        <v>148.91671936906818</v>
      </c>
      <c r="S93" s="174">
        <f t="shared" si="111"/>
        <v>169.39473453526756</v>
      </c>
      <c r="T93" s="174">
        <f t="shared" si="111"/>
        <v>167.3419908996467</v>
      </c>
      <c r="U93" s="174">
        <f t="shared" si="111"/>
        <v>185.95544751278015</v>
      </c>
      <c r="V93" s="174">
        <f t="shared" si="111"/>
        <v>203.22049659267208</v>
      </c>
      <c r="W93" s="174">
        <f t="shared" si="111"/>
        <v>221.30397612775613</v>
      </c>
      <c r="X93" s="174">
        <f t="shared" si="111"/>
        <v>240.23915610605263</v>
      </c>
      <c r="Y93" s="174">
        <f t="shared" si="111"/>
        <v>260.51232411365658</v>
      </c>
      <c r="Z93" s="174">
        <f t="shared" si="111"/>
        <v>282.00481417306605</v>
      </c>
      <c r="AA93" s="174">
        <f t="shared" si="111"/>
        <v>300.7850665198506</v>
      </c>
      <c r="AB93" s="174">
        <f t="shared" si="111"/>
        <v>320.95406531812614</v>
      </c>
      <c r="AC93" s="174">
        <f t="shared" si="111"/>
        <v>342.37207139789234</v>
      </c>
      <c r="AD93" s="174">
        <f t="shared" si="111"/>
        <v>365.10594624498265</v>
      </c>
      <c r="AE93" s="174">
        <f t="shared" si="111"/>
        <v>389.26584512201089</v>
      </c>
      <c r="AF93" s="174">
        <f t="shared" si="111"/>
        <v>414.93583292833705</v>
      </c>
      <c r="AG93" s="174">
        <f t="shared" si="111"/>
        <v>442.22994662368359</v>
      </c>
      <c r="AH93" s="174">
        <f t="shared" si="111"/>
        <v>471.26522741713836</v>
      </c>
      <c r="AI93" s="174">
        <f t="shared" si="111"/>
        <v>502.16010767596879</v>
      </c>
      <c r="AJ93" s="174">
        <f t="shared" si="111"/>
        <v>535.04729818988449</v>
      </c>
      <c r="AK93" s="174">
        <f t="shared" si="111"/>
        <v>570.06644023444721</v>
      </c>
      <c r="AL93" s="174">
        <f t="shared" si="111"/>
        <v>607.36575893838449</v>
      </c>
      <c r="AM93" s="174">
        <f t="shared" si="111"/>
        <v>647.10519697938821</v>
      </c>
      <c r="AN93" s="174">
        <f t="shared" si="111"/>
        <v>689.4550967377063</v>
      </c>
      <c r="AO93" s="174">
        <f t="shared" si="111"/>
        <v>734.59761413302886</v>
      </c>
      <c r="AP93" s="174">
        <f t="shared" si="111"/>
        <v>782.72801227300147</v>
      </c>
      <c r="AQ93" s="174">
        <f t="shared" si="111"/>
        <v>834.0551142413517</v>
      </c>
      <c r="AR93" s="174">
        <f t="shared" si="111"/>
        <v>888.80254290040284</v>
      </c>
      <c r="AS93" s="174">
        <f t="shared" si="111"/>
        <v>947.20986988623088</v>
      </c>
      <c r="AT93" s="174">
        <f t="shared" si="111"/>
        <v>1008.6384438270104</v>
      </c>
      <c r="AU93" s="174">
        <f t="shared" si="111"/>
        <v>1053.6869708144759</v>
      </c>
      <c r="AV93" s="174">
        <f t="shared" si="111"/>
        <v>1103.721128853771</v>
      </c>
      <c r="AW93" s="174">
        <f t="shared" si="111"/>
        <v>1156.4903868581962</v>
      </c>
      <c r="AX93" s="174">
        <f t="shared" si="111"/>
        <v>1212.0382646481344</v>
      </c>
      <c r="AY93" s="174">
        <f t="shared" si="111"/>
        <v>1270.4593459548651</v>
      </c>
      <c r="AZ93" s="174">
        <f t="shared" si="111"/>
        <v>1331.8568539237504</v>
      </c>
      <c r="BA93" s="174">
        <f t="shared" si="111"/>
        <v>1396.3418233470929</v>
      </c>
      <c r="BB93" s="174">
        <f t="shared" si="111"/>
        <v>1464.0330929012121</v>
      </c>
      <c r="BC93" s="174">
        <f t="shared" si="111"/>
        <v>1535.0573512838387</v>
      </c>
      <c r="BD93" s="262">
        <f t="shared" si="111"/>
        <v>1609.5492206829967</v>
      </c>
    </row>
    <row r="94" spans="2:56" s="31" customFormat="1" x14ac:dyDescent="0.3">
      <c r="B94" s="268" t="s">
        <v>192</v>
      </c>
      <c r="C94" s="3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  <c r="AM94" s="174"/>
      <c r="AN94" s="174"/>
      <c r="AO94" s="174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  <c r="AZ94" s="174"/>
      <c r="BA94" s="174"/>
      <c r="BB94" s="174"/>
      <c r="BC94" s="174"/>
      <c r="BD94" s="262"/>
    </row>
    <row r="95" spans="2:56" s="601" customFormat="1" x14ac:dyDescent="0.3">
      <c r="B95" s="647" t="s">
        <v>99</v>
      </c>
      <c r="C95" s="648"/>
      <c r="D95" s="648"/>
      <c r="E95" s="648"/>
      <c r="F95" s="648"/>
      <c r="G95" s="620">
        <f>BD!G35-G93</f>
        <v>-269.5</v>
      </c>
      <c r="H95" s="620">
        <f>BD!H35-H93</f>
        <v>-201.4</v>
      </c>
      <c r="I95" s="620">
        <f>BD!I35-I93</f>
        <v>9.9999999999710099E-2</v>
      </c>
      <c r="J95" s="620">
        <f>BD!J35-J93</f>
        <v>-3.1974423109204508E-14</v>
      </c>
      <c r="K95" s="620">
        <f>BD!K35-K93</f>
        <v>-5.8000000000134833E-2</v>
      </c>
      <c r="L95" s="620">
        <f>BD!L35-L93</f>
        <v>0.10800000000007515</v>
      </c>
      <c r="M95" s="620">
        <f>BD!M35-M93</f>
        <v>-6.0396132539608516E-14</v>
      </c>
      <c r="N95" s="620">
        <f>BD!N35-N93</f>
        <v>4.8999999999993271E-2</v>
      </c>
      <c r="O95" s="648"/>
      <c r="P95" s="648"/>
      <c r="Q95" s="648"/>
      <c r="R95" s="648"/>
      <c r="S95" s="648"/>
      <c r="T95" s="648"/>
      <c r="U95" s="648"/>
      <c r="V95" s="648"/>
      <c r="W95" s="648"/>
      <c r="X95" s="648"/>
      <c r="Y95" s="648"/>
      <c r="Z95" s="648"/>
      <c r="AA95" s="648"/>
      <c r="AB95" s="648"/>
      <c r="AC95" s="648"/>
      <c r="AD95" s="648"/>
      <c r="AE95" s="648"/>
      <c r="AF95" s="648"/>
      <c r="AG95" s="648"/>
      <c r="AH95" s="648"/>
      <c r="AI95" s="648"/>
      <c r="AJ95" s="648"/>
      <c r="AK95" s="648"/>
      <c r="AL95" s="648"/>
      <c r="AM95" s="648"/>
      <c r="AN95" s="648"/>
      <c r="AO95" s="648"/>
      <c r="AP95" s="648"/>
      <c r="AQ95" s="648"/>
      <c r="AR95" s="648"/>
      <c r="AS95" s="648"/>
      <c r="AT95" s="648"/>
      <c r="AU95" s="648"/>
      <c r="AV95" s="648"/>
      <c r="AW95" s="648"/>
      <c r="AX95" s="648"/>
      <c r="AY95" s="648"/>
      <c r="AZ95" s="648"/>
      <c r="BA95" s="648"/>
      <c r="BB95" s="648"/>
      <c r="BC95" s="648"/>
      <c r="BD95" s="649"/>
    </row>
    <row r="96" spans="2:56" x14ac:dyDescent="0.3">
      <c r="B96" s="155" t="s">
        <v>174</v>
      </c>
      <c r="C96" s="17"/>
      <c r="D96" s="183"/>
      <c r="E96" s="183"/>
      <c r="F96" s="183"/>
      <c r="G96" s="183"/>
      <c r="H96" s="183"/>
      <c r="I96" s="183"/>
      <c r="J96" s="183"/>
      <c r="K96" s="183"/>
      <c r="L96" s="183"/>
      <c r="M96" s="183"/>
      <c r="N96" s="183"/>
      <c r="O96" s="181">
        <f>O93*O105</f>
        <v>0</v>
      </c>
      <c r="P96" s="181">
        <f t="shared" ref="P96:BD96" si="112">P93*P105</f>
        <v>0</v>
      </c>
      <c r="Q96" s="181">
        <f t="shared" si="112"/>
        <v>0</v>
      </c>
      <c r="R96" s="181">
        <f t="shared" si="112"/>
        <v>0</v>
      </c>
      <c r="S96" s="181">
        <f t="shared" si="112"/>
        <v>0</v>
      </c>
      <c r="T96" s="181">
        <f t="shared" si="112"/>
        <v>83.670995449823351</v>
      </c>
      <c r="U96" s="181">
        <f t="shared" si="112"/>
        <v>92.977723756390077</v>
      </c>
      <c r="V96" s="181">
        <f t="shared" si="112"/>
        <v>101.61024829633604</v>
      </c>
      <c r="W96" s="181">
        <f t="shared" si="112"/>
        <v>110.65198806387806</v>
      </c>
      <c r="X96" s="181">
        <f t="shared" si="112"/>
        <v>120.11957805302632</v>
      </c>
      <c r="Y96" s="181">
        <f t="shared" si="112"/>
        <v>130.25616205682829</v>
      </c>
      <c r="Z96" s="181">
        <f t="shared" si="112"/>
        <v>141.00240708653303</v>
      </c>
      <c r="AA96" s="181">
        <f t="shared" si="112"/>
        <v>150.3925332599253</v>
      </c>
      <c r="AB96" s="181">
        <f t="shared" si="112"/>
        <v>160.47703265906307</v>
      </c>
      <c r="AC96" s="181">
        <f t="shared" si="112"/>
        <v>171.18603569894617</v>
      </c>
      <c r="AD96" s="181">
        <f t="shared" si="112"/>
        <v>182.55297312249132</v>
      </c>
      <c r="AE96" s="181">
        <f t="shared" si="112"/>
        <v>194.63292256100544</v>
      </c>
      <c r="AF96" s="181">
        <f t="shared" si="112"/>
        <v>207.46791646416852</v>
      </c>
      <c r="AG96" s="181">
        <f t="shared" si="112"/>
        <v>221.11497331184179</v>
      </c>
      <c r="AH96" s="181">
        <f t="shared" si="112"/>
        <v>235.63261370856918</v>
      </c>
      <c r="AI96" s="181">
        <f t="shared" si="112"/>
        <v>251.08005383798439</v>
      </c>
      <c r="AJ96" s="181">
        <f t="shared" si="112"/>
        <v>267.52364909494224</v>
      </c>
      <c r="AK96" s="181">
        <f t="shared" si="112"/>
        <v>285.03322011722361</v>
      </c>
      <c r="AL96" s="181">
        <f t="shared" si="112"/>
        <v>303.68287946919224</v>
      </c>
      <c r="AM96" s="181">
        <f t="shared" si="112"/>
        <v>323.55259848969411</v>
      </c>
      <c r="AN96" s="181">
        <f t="shared" si="112"/>
        <v>344.72754836885315</v>
      </c>
      <c r="AO96" s="181">
        <f t="shared" si="112"/>
        <v>367.29880706651443</v>
      </c>
      <c r="AP96" s="181">
        <f t="shared" si="112"/>
        <v>391.36400613650073</v>
      </c>
      <c r="AQ96" s="181">
        <f t="shared" si="112"/>
        <v>417.02755712067585</v>
      </c>
      <c r="AR96" s="181">
        <f t="shared" si="112"/>
        <v>444.40127145020142</v>
      </c>
      <c r="AS96" s="181">
        <f t="shared" si="112"/>
        <v>473.60493494311544</v>
      </c>
      <c r="AT96" s="181">
        <f t="shared" si="112"/>
        <v>504.3192219135052</v>
      </c>
      <c r="AU96" s="181">
        <f t="shared" si="112"/>
        <v>526.84348540723795</v>
      </c>
      <c r="AV96" s="181">
        <f t="shared" si="112"/>
        <v>551.8605644268855</v>
      </c>
      <c r="AW96" s="181">
        <f t="shared" si="112"/>
        <v>578.24519342909809</v>
      </c>
      <c r="AX96" s="181">
        <f t="shared" si="112"/>
        <v>606.01913232406719</v>
      </c>
      <c r="AY96" s="181">
        <f t="shared" si="112"/>
        <v>635.22967297743253</v>
      </c>
      <c r="AZ96" s="181">
        <f t="shared" si="112"/>
        <v>665.92842696187518</v>
      </c>
      <c r="BA96" s="181">
        <f t="shared" si="112"/>
        <v>698.17091167354647</v>
      </c>
      <c r="BB96" s="181">
        <f t="shared" si="112"/>
        <v>732.01654645060603</v>
      </c>
      <c r="BC96" s="181">
        <f t="shared" si="112"/>
        <v>767.52867564191934</v>
      </c>
      <c r="BD96" s="182">
        <f t="shared" si="112"/>
        <v>804.77461034149837</v>
      </c>
    </row>
    <row r="97" spans="1:56" x14ac:dyDescent="0.3">
      <c r="B97" s="155"/>
      <c r="C97" s="17"/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81"/>
      <c r="AF97" s="181"/>
      <c r="AG97" s="181"/>
      <c r="AH97" s="181"/>
      <c r="AI97" s="181"/>
      <c r="AJ97" s="181"/>
      <c r="AK97" s="181"/>
      <c r="AL97" s="181"/>
      <c r="AM97" s="181"/>
      <c r="AN97" s="181"/>
      <c r="AO97" s="181"/>
      <c r="AP97" s="181"/>
      <c r="AQ97" s="181"/>
      <c r="AR97" s="181"/>
      <c r="AS97" s="181"/>
      <c r="AT97" s="181"/>
      <c r="AU97" s="181"/>
      <c r="AV97" s="181"/>
      <c r="AW97" s="181"/>
      <c r="AX97" s="181"/>
      <c r="AY97" s="181"/>
      <c r="AZ97" s="181"/>
      <c r="BA97" s="181"/>
      <c r="BB97" s="181"/>
      <c r="BC97" s="181"/>
      <c r="BD97" s="182"/>
    </row>
    <row r="98" spans="1:56" x14ac:dyDescent="0.3">
      <c r="B98" s="157" t="s">
        <v>89</v>
      </c>
      <c r="C98" s="43"/>
      <c r="D98" s="269">
        <f>Premissas!D176</f>
        <v>0</v>
      </c>
      <c r="E98" s="269">
        <f>Premissas!E176</f>
        <v>0</v>
      </c>
      <c r="F98" s="269">
        <f>Premissas!F176</f>
        <v>0</v>
      </c>
      <c r="G98" s="269">
        <f>Premissas!G176</f>
        <v>344.90000000000009</v>
      </c>
      <c r="H98" s="269">
        <f>Premissas!H176</f>
        <v>402</v>
      </c>
      <c r="I98" s="269">
        <f>Premissas!I176</f>
        <v>155.00000000000028</v>
      </c>
      <c r="J98" s="269">
        <f>Premissas!J176</f>
        <v>189.70000000000005</v>
      </c>
      <c r="K98" s="269">
        <f>Premissas!K176</f>
        <v>233.09499999999986</v>
      </c>
      <c r="L98" s="269">
        <f>Premissas!L176</f>
        <v>265.67100000000022</v>
      </c>
      <c r="M98" s="269">
        <f>Premissas!M176</f>
        <v>254.59500000000025</v>
      </c>
      <c r="N98" s="269">
        <f>Premissas!N176</f>
        <v>244.52400000000063</v>
      </c>
      <c r="O98" s="269">
        <f>Premissas!O176</f>
        <v>340.96213663281236</v>
      </c>
      <c r="P98" s="269">
        <f>Premissas!P176</f>
        <v>348.95813771749948</v>
      </c>
      <c r="Q98" s="269">
        <f>Premissas!Q176</f>
        <v>370.28640135500842</v>
      </c>
      <c r="R98" s="269">
        <f>Premissas!R176</f>
        <v>396.38206663873075</v>
      </c>
      <c r="S98" s="269">
        <f>Premissas!S176</f>
        <v>417.62803733037094</v>
      </c>
      <c r="T98" s="269">
        <f>Premissas!T176</f>
        <v>443.5924469386224</v>
      </c>
      <c r="U98" s="269">
        <f>Premissas!U176</f>
        <v>470.91799984450682</v>
      </c>
      <c r="V98" s="269">
        <f>Premissas!V176</f>
        <v>498.91357374793762</v>
      </c>
      <c r="W98" s="269">
        <f>Premissas!W176</f>
        <v>529.58527546765538</v>
      </c>
      <c r="X98" s="269">
        <f>Premissas!X176</f>
        <v>561.99519627737288</v>
      </c>
      <c r="Y98" s="269">
        <f>Premissas!Y176</f>
        <v>596.42999824186961</v>
      </c>
      <c r="Z98" s="269">
        <f>Premissas!Z176</f>
        <v>633.36277060748114</v>
      </c>
      <c r="AA98" s="269">
        <f>Premissas!AA176</f>
        <v>666.47215934223073</v>
      </c>
      <c r="AB98" s="269">
        <f>Premissas!AB176</f>
        <v>701.13009810725327</v>
      </c>
      <c r="AC98" s="269">
        <f>Premissas!AC176</f>
        <v>737.87891042416231</v>
      </c>
      <c r="AD98" s="269">
        <f>Premissas!AD176</f>
        <v>776.80569842306102</v>
      </c>
      <c r="AE98" s="269">
        <f>Premissas!AE176</f>
        <v>818.09566499889331</v>
      </c>
      <c r="AF98" s="269">
        <f>Premissas!AF176</f>
        <v>861.91248674265876</v>
      </c>
      <c r="AG98" s="269">
        <f>Premissas!AG176</f>
        <v>908.42143828246321</v>
      </c>
      <c r="AH98" s="269">
        <f>Premissas!AH176</f>
        <v>957.81840374136129</v>
      </c>
      <c r="AI98" s="269">
        <f>Premissas!AI176</f>
        <v>1010.3018367914854</v>
      </c>
      <c r="AJ98" s="269">
        <f>Premissas!AJ176</f>
        <v>1066.0845463295996</v>
      </c>
      <c r="AK98" s="269">
        <f>Premissas!AK176</f>
        <v>1125.3976104855383</v>
      </c>
      <c r="AL98" s="269">
        <f>Premissas!AL176</f>
        <v>1188.4853659137077</v>
      </c>
      <c r="AM98" s="269">
        <f>Premissas!AM176</f>
        <v>1255.6100469318324</v>
      </c>
      <c r="AN98" s="269">
        <f>Premissas!AN176</f>
        <v>1327.0528620185385</v>
      </c>
      <c r="AO98" s="269">
        <f>Premissas!AO176</f>
        <v>1403.1142499134673</v>
      </c>
      <c r="AP98" s="269">
        <f>Premissas!AP176</f>
        <v>1484.1162770132903</v>
      </c>
      <c r="AQ98" s="269">
        <f>Premissas!AQ176</f>
        <v>1570.4039930297783</v>
      </c>
      <c r="AR98" s="269">
        <f>Premissas!AR176</f>
        <v>1662.3469767907213</v>
      </c>
      <c r="AS98" s="269">
        <f>Premissas!AS176</f>
        <v>1760.3413886078677</v>
      </c>
      <c r="AT98" s="269">
        <f>Premissas!AT176</f>
        <v>1863.4351732630194</v>
      </c>
      <c r="AU98" s="269">
        <f>Premissas!AU176</f>
        <v>1941.6191576174522</v>
      </c>
      <c r="AV98" s="269">
        <f>Premissas!AV176</f>
        <v>2023.2337817784451</v>
      </c>
      <c r="AW98" s="269">
        <f>Premissas!AW176</f>
        <v>2108.4345106477776</v>
      </c>
      <c r="AX98" s="269">
        <f>Premissas!AX176</f>
        <v>2197.3834519587017</v>
      </c>
      <c r="AY98" s="269">
        <f>Premissas!AY176</f>
        <v>2290.2496940257201</v>
      </c>
      <c r="AZ98" s="269">
        <f>Premissas!AZ176</f>
        <v>2387.2096404837084</v>
      </c>
      <c r="BA98" s="269">
        <f>Premissas!BA176</f>
        <v>2488.4473660039489</v>
      </c>
      <c r="BB98" s="269">
        <f>Premissas!BB176</f>
        <v>2594.1549843553289</v>
      </c>
      <c r="BC98" s="269">
        <f>Premissas!BC176</f>
        <v>2704.5330279694595</v>
      </c>
      <c r="BD98" s="270">
        <f>Premissas!BD176</f>
        <v>2819.7908445864559</v>
      </c>
    </row>
    <row r="99" spans="1:56" x14ac:dyDescent="0.3">
      <c r="D99" s="650"/>
      <c r="E99" s="650"/>
      <c r="F99" s="650"/>
      <c r="G99" s="650"/>
      <c r="H99" s="650"/>
      <c r="I99" s="650">
        <f>BD!I43-I98</f>
        <v>9.999999999973852E-2</v>
      </c>
      <c r="J99" s="650">
        <f>BD!J43-J98</f>
        <v>0</v>
      </c>
      <c r="K99" s="650">
        <f>BD!K43-K98</f>
        <v>-7.1000000000083219E-2</v>
      </c>
      <c r="L99" s="650">
        <f>BD!L43-L98</f>
        <v>-19.070999999999913</v>
      </c>
      <c r="M99" s="650">
        <f>BD!M43-M98</f>
        <v>9.9999999999340616E-3</v>
      </c>
      <c r="N99" s="650">
        <f>BD!N43-N98</f>
        <v>7.7999999999519787E-2</v>
      </c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</row>
    <row r="100" spans="1:56" x14ac:dyDescent="0.3">
      <c r="B100" t="s">
        <v>501</v>
      </c>
      <c r="D100" s="28" t="e">
        <f t="shared" ref="D100:M100" si="113">D81/D78</f>
        <v>#DIV/0!</v>
      </c>
      <c r="E100" s="28" t="e">
        <f t="shared" si="113"/>
        <v>#DIV/0!</v>
      </c>
      <c r="F100" s="28" t="e">
        <f t="shared" si="113"/>
        <v>#DIV/0!</v>
      </c>
      <c r="G100" s="28">
        <f t="shared" si="113"/>
        <v>-0.12778803807359002</v>
      </c>
      <c r="H100" s="28">
        <f t="shared" si="113"/>
        <v>-0.14457186998633312</v>
      </c>
      <c r="I100" s="28">
        <f t="shared" si="113"/>
        <v>-0.14679393049437101</v>
      </c>
      <c r="J100" s="28">
        <f t="shared" si="113"/>
        <v>-0.14526768642447419</v>
      </c>
      <c r="K100" s="28">
        <f t="shared" si="113"/>
        <v>-0.13003204541494734</v>
      </c>
      <c r="L100" s="28">
        <f t="shared" si="113"/>
        <v>-0.1214327528013807</v>
      </c>
      <c r="M100" s="28">
        <f t="shared" si="113"/>
        <v>-0.12408087524645299</v>
      </c>
      <c r="N100" s="28">
        <f t="shared" ref="N100" si="114">N81/N78</f>
        <v>-0.12179873445840698</v>
      </c>
      <c r="O100" s="600">
        <f>AVERAGE(L100:N100)</f>
        <v>-0.12243745416874689</v>
      </c>
      <c r="P100" s="600">
        <f t="shared" ref="P100:BD100" si="115">AVERAGE(M100:O100)</f>
        <v>-0.12277235462453562</v>
      </c>
      <c r="Q100" s="600">
        <f t="shared" si="115"/>
        <v>-0.1223361810838965</v>
      </c>
      <c r="R100" s="600">
        <f t="shared" si="115"/>
        <v>-0.12251532995905967</v>
      </c>
      <c r="S100" s="600">
        <f t="shared" si="115"/>
        <v>-0.12254128855583059</v>
      </c>
      <c r="T100" s="600">
        <f t="shared" si="115"/>
        <v>-0.12246426653292891</v>
      </c>
      <c r="U100" s="600">
        <f t="shared" si="115"/>
        <v>-0.12250696168260639</v>
      </c>
      <c r="V100" s="600">
        <f t="shared" si="115"/>
        <v>-0.12250417225712196</v>
      </c>
      <c r="W100" s="600">
        <f t="shared" si="115"/>
        <v>-0.12249180015755241</v>
      </c>
      <c r="X100" s="600">
        <f t="shared" si="115"/>
        <v>-0.12250097803242692</v>
      </c>
      <c r="Y100" s="600">
        <f t="shared" si="115"/>
        <v>-0.1224989834823671</v>
      </c>
      <c r="Z100" s="600">
        <f t="shared" si="115"/>
        <v>-0.12249725389078214</v>
      </c>
      <c r="AA100" s="600">
        <f t="shared" si="115"/>
        <v>-0.12249907180185872</v>
      </c>
      <c r="AB100" s="600">
        <f t="shared" si="115"/>
        <v>-0.12249843639166931</v>
      </c>
      <c r="AC100" s="600">
        <f t="shared" si="115"/>
        <v>-0.12249825402810338</v>
      </c>
      <c r="AD100" s="600">
        <f t="shared" si="115"/>
        <v>-0.12249858740721047</v>
      </c>
      <c r="AE100" s="600">
        <f t="shared" si="115"/>
        <v>-0.12249842594232772</v>
      </c>
      <c r="AF100" s="600">
        <f t="shared" si="115"/>
        <v>-0.12249842245921387</v>
      </c>
      <c r="AG100" s="600">
        <f t="shared" si="115"/>
        <v>-0.12249847860291735</v>
      </c>
      <c r="AH100" s="600">
        <f t="shared" si="115"/>
        <v>-0.12249844233481966</v>
      </c>
      <c r="AI100" s="600">
        <f t="shared" si="115"/>
        <v>-0.12249844779898363</v>
      </c>
      <c r="AJ100" s="600">
        <f t="shared" si="115"/>
        <v>-0.12249845624557354</v>
      </c>
      <c r="AK100" s="600">
        <f t="shared" si="115"/>
        <v>-0.1224984487931256</v>
      </c>
      <c r="AL100" s="600">
        <f t="shared" si="115"/>
        <v>-0.12249845094589425</v>
      </c>
      <c r="AM100" s="600">
        <f t="shared" si="115"/>
        <v>-0.12249845199486446</v>
      </c>
      <c r="AN100" s="600">
        <f t="shared" si="115"/>
        <v>-0.12249845057796144</v>
      </c>
      <c r="AO100" s="600">
        <f t="shared" si="115"/>
        <v>-0.12249845117290671</v>
      </c>
      <c r="AP100" s="600">
        <f t="shared" si="115"/>
        <v>-0.12249845124857754</v>
      </c>
      <c r="AQ100" s="600">
        <f t="shared" si="115"/>
        <v>-0.12249845099981523</v>
      </c>
      <c r="AR100" s="600">
        <f t="shared" si="115"/>
        <v>-0.12249845114043316</v>
      </c>
      <c r="AS100" s="600">
        <f t="shared" si="115"/>
        <v>-0.12249845112960865</v>
      </c>
      <c r="AT100" s="600">
        <f t="shared" si="115"/>
        <v>-0.12249845108995235</v>
      </c>
      <c r="AU100" s="600">
        <f t="shared" si="115"/>
        <v>-0.12249845111999806</v>
      </c>
      <c r="AV100" s="600">
        <f t="shared" si="115"/>
        <v>-0.12249845111318636</v>
      </c>
      <c r="AW100" s="600">
        <f t="shared" si="115"/>
        <v>-0.12249845110771225</v>
      </c>
      <c r="AX100" s="600">
        <f t="shared" si="115"/>
        <v>-0.12249845111363222</v>
      </c>
      <c r="AY100" s="600">
        <f t="shared" si="115"/>
        <v>-0.12249845111151027</v>
      </c>
      <c r="AZ100" s="600">
        <f t="shared" si="115"/>
        <v>-0.12249845111095158</v>
      </c>
      <c r="BA100" s="600">
        <f t="shared" si="115"/>
        <v>-0.12249845111203135</v>
      </c>
      <c r="BB100" s="600">
        <f t="shared" si="115"/>
        <v>-0.12249845111149772</v>
      </c>
      <c r="BC100" s="600">
        <f t="shared" si="115"/>
        <v>-0.12249845111149354</v>
      </c>
      <c r="BD100" s="600">
        <f t="shared" si="115"/>
        <v>-0.12249845111167419</v>
      </c>
    </row>
    <row r="101" spans="1:56" x14ac:dyDescent="0.3">
      <c r="B101" t="s">
        <v>170</v>
      </c>
      <c r="D101" s="28">
        <f t="shared" ref="D101:AI101" si="116">SELIC</f>
        <v>0</v>
      </c>
      <c r="E101" s="28">
        <f t="shared" si="116"/>
        <v>0</v>
      </c>
      <c r="F101" s="28">
        <f t="shared" si="116"/>
        <v>9.7987737133433228E-2</v>
      </c>
      <c r="G101" s="28">
        <f t="shared" si="116"/>
        <v>0.11620917254433681</v>
      </c>
      <c r="H101" s="28">
        <f t="shared" si="116"/>
        <v>9.1249999999999998E-2</v>
      </c>
      <c r="I101" s="28">
        <f t="shared" si="116"/>
        <v>0.11</v>
      </c>
      <c r="J101" s="28">
        <f t="shared" si="116"/>
        <v>0.11</v>
      </c>
      <c r="K101" s="28">
        <f t="shared" si="116"/>
        <v>0.14249999999999999</v>
      </c>
      <c r="L101" s="28">
        <f t="shared" si="116"/>
        <v>0.16</v>
      </c>
      <c r="M101" s="28">
        <f t="shared" si="116"/>
        <v>9.7500000000000003E-2</v>
      </c>
      <c r="N101" s="28">
        <f t="shared" si="116"/>
        <v>7.0000000000000007E-2</v>
      </c>
      <c r="O101" s="28">
        <f t="shared" si="116"/>
        <v>5.5E-2</v>
      </c>
      <c r="P101" s="28">
        <f t="shared" si="116"/>
        <v>5.5E-2</v>
      </c>
      <c r="Q101" s="28">
        <f t="shared" si="116"/>
        <v>5.5E-2</v>
      </c>
      <c r="R101" s="28">
        <f t="shared" si="116"/>
        <v>5.5E-2</v>
      </c>
      <c r="S101" s="28">
        <f t="shared" si="116"/>
        <v>5.5E-2</v>
      </c>
      <c r="T101" s="28">
        <f t="shared" si="116"/>
        <v>5.5E-2</v>
      </c>
      <c r="U101" s="28">
        <f t="shared" si="116"/>
        <v>5.5E-2</v>
      </c>
      <c r="V101" s="28">
        <f t="shared" si="116"/>
        <v>5.5E-2</v>
      </c>
      <c r="W101" s="28">
        <f t="shared" si="116"/>
        <v>5.5E-2</v>
      </c>
      <c r="X101" s="28">
        <f t="shared" si="116"/>
        <v>5.5E-2</v>
      </c>
      <c r="Y101" s="28">
        <f t="shared" si="116"/>
        <v>5.5E-2</v>
      </c>
      <c r="Z101" s="28">
        <f t="shared" si="116"/>
        <v>5.5E-2</v>
      </c>
      <c r="AA101" s="28">
        <f t="shared" si="116"/>
        <v>5.5E-2</v>
      </c>
      <c r="AB101" s="28">
        <f t="shared" si="116"/>
        <v>5.5E-2</v>
      </c>
      <c r="AC101" s="28">
        <f t="shared" si="116"/>
        <v>5.5E-2</v>
      </c>
      <c r="AD101" s="28">
        <f t="shared" si="116"/>
        <v>5.5E-2</v>
      </c>
      <c r="AE101" s="28">
        <f t="shared" si="116"/>
        <v>5.5E-2</v>
      </c>
      <c r="AF101" s="28">
        <f t="shared" si="116"/>
        <v>5.5E-2</v>
      </c>
      <c r="AG101" s="28">
        <f t="shared" si="116"/>
        <v>5.5E-2</v>
      </c>
      <c r="AH101" s="28">
        <f t="shared" si="116"/>
        <v>5.5E-2</v>
      </c>
      <c r="AI101" s="28">
        <f t="shared" si="116"/>
        <v>5.5E-2</v>
      </c>
      <c r="AJ101" s="28">
        <f t="shared" ref="AJ101:BD101" si="117">SELIC</f>
        <v>5.5E-2</v>
      </c>
      <c r="AK101" s="28">
        <f t="shared" si="117"/>
        <v>5.5E-2</v>
      </c>
      <c r="AL101" s="28">
        <f t="shared" si="117"/>
        <v>5.5E-2</v>
      </c>
      <c r="AM101" s="28">
        <f t="shared" si="117"/>
        <v>5.5E-2</v>
      </c>
      <c r="AN101" s="28">
        <f t="shared" si="117"/>
        <v>5.5E-2</v>
      </c>
      <c r="AO101" s="28">
        <f t="shared" si="117"/>
        <v>5.5E-2</v>
      </c>
      <c r="AP101" s="28">
        <f t="shared" si="117"/>
        <v>5.5E-2</v>
      </c>
      <c r="AQ101" s="28">
        <f t="shared" si="117"/>
        <v>5.5E-2</v>
      </c>
      <c r="AR101" s="28">
        <f t="shared" si="117"/>
        <v>5.5E-2</v>
      </c>
      <c r="AS101" s="28">
        <f t="shared" si="117"/>
        <v>5.5E-2</v>
      </c>
      <c r="AT101" s="28">
        <f t="shared" si="117"/>
        <v>5.5E-2</v>
      </c>
      <c r="AU101" s="28">
        <f t="shared" si="117"/>
        <v>5.5E-2</v>
      </c>
      <c r="AV101" s="28">
        <f t="shared" si="117"/>
        <v>5.5E-2</v>
      </c>
      <c r="AW101" s="28">
        <f t="shared" si="117"/>
        <v>5.5E-2</v>
      </c>
      <c r="AX101" s="28">
        <f t="shared" si="117"/>
        <v>5.5E-2</v>
      </c>
      <c r="AY101" s="28">
        <f t="shared" si="117"/>
        <v>5.5E-2</v>
      </c>
      <c r="AZ101" s="28">
        <f t="shared" si="117"/>
        <v>5.5E-2</v>
      </c>
      <c r="BA101" s="28">
        <f t="shared" si="117"/>
        <v>5.5E-2</v>
      </c>
      <c r="BB101" s="28">
        <f t="shared" si="117"/>
        <v>5.5E-2</v>
      </c>
      <c r="BC101" s="28">
        <f t="shared" si="117"/>
        <v>5.5E-2</v>
      </c>
      <c r="BD101" s="28">
        <f t="shared" si="117"/>
        <v>5.5E-2</v>
      </c>
    </row>
    <row r="102" spans="1:56" x14ac:dyDescent="0.3">
      <c r="A102" s="28"/>
      <c r="B102" s="28" t="s">
        <v>289</v>
      </c>
      <c r="C102" s="28"/>
      <c r="D102" s="28">
        <f t="shared" ref="D102:N102" si="118">SELIC+4%</f>
        <v>0.04</v>
      </c>
      <c r="E102" s="28">
        <f t="shared" si="118"/>
        <v>0.04</v>
      </c>
      <c r="F102" s="28">
        <f t="shared" si="118"/>
        <v>0.13798773713343324</v>
      </c>
      <c r="G102" s="28">
        <f t="shared" si="118"/>
        <v>0.15620917254433681</v>
      </c>
      <c r="H102" s="28">
        <f t="shared" si="118"/>
        <v>0.13125000000000001</v>
      </c>
      <c r="I102" s="28">
        <f t="shared" si="118"/>
        <v>0.15</v>
      </c>
      <c r="J102" s="28">
        <f t="shared" si="118"/>
        <v>0.15</v>
      </c>
      <c r="K102" s="28">
        <f t="shared" si="118"/>
        <v>0.1825</v>
      </c>
      <c r="L102" s="28">
        <f t="shared" si="118"/>
        <v>0.2</v>
      </c>
      <c r="M102" s="28">
        <f t="shared" si="118"/>
        <v>0.13750000000000001</v>
      </c>
      <c r="N102" s="28">
        <f t="shared" si="118"/>
        <v>0.11000000000000001</v>
      </c>
      <c r="O102" s="28">
        <f t="shared" ref="O102:BD102" si="119">SELIC+6%</f>
        <v>0.11499999999999999</v>
      </c>
      <c r="P102" s="28">
        <f t="shared" si="119"/>
        <v>0.11499999999999999</v>
      </c>
      <c r="Q102" s="28">
        <f t="shared" si="119"/>
        <v>0.11499999999999999</v>
      </c>
      <c r="R102" s="28">
        <f t="shared" si="119"/>
        <v>0.11499999999999999</v>
      </c>
      <c r="S102" s="28">
        <f t="shared" si="119"/>
        <v>0.11499999999999999</v>
      </c>
      <c r="T102" s="28">
        <f t="shared" si="119"/>
        <v>0.11499999999999999</v>
      </c>
      <c r="U102" s="28">
        <f t="shared" si="119"/>
        <v>0.11499999999999999</v>
      </c>
      <c r="V102" s="28">
        <f t="shared" si="119"/>
        <v>0.11499999999999999</v>
      </c>
      <c r="W102" s="28">
        <f t="shared" si="119"/>
        <v>0.11499999999999999</v>
      </c>
      <c r="X102" s="28">
        <f t="shared" si="119"/>
        <v>0.11499999999999999</v>
      </c>
      <c r="Y102" s="28">
        <f t="shared" si="119"/>
        <v>0.11499999999999999</v>
      </c>
      <c r="Z102" s="28">
        <f t="shared" si="119"/>
        <v>0.11499999999999999</v>
      </c>
      <c r="AA102" s="28">
        <f t="shared" si="119"/>
        <v>0.11499999999999999</v>
      </c>
      <c r="AB102" s="28">
        <f t="shared" si="119"/>
        <v>0.11499999999999999</v>
      </c>
      <c r="AC102" s="28">
        <f t="shared" si="119"/>
        <v>0.11499999999999999</v>
      </c>
      <c r="AD102" s="28">
        <f t="shared" si="119"/>
        <v>0.11499999999999999</v>
      </c>
      <c r="AE102" s="28">
        <f t="shared" si="119"/>
        <v>0.11499999999999999</v>
      </c>
      <c r="AF102" s="28">
        <f t="shared" si="119"/>
        <v>0.11499999999999999</v>
      </c>
      <c r="AG102" s="28">
        <f t="shared" si="119"/>
        <v>0.11499999999999999</v>
      </c>
      <c r="AH102" s="28">
        <f t="shared" si="119"/>
        <v>0.11499999999999999</v>
      </c>
      <c r="AI102" s="28">
        <f t="shared" si="119"/>
        <v>0.11499999999999999</v>
      </c>
      <c r="AJ102" s="28">
        <f t="shared" si="119"/>
        <v>0.11499999999999999</v>
      </c>
      <c r="AK102" s="28">
        <f t="shared" si="119"/>
        <v>0.11499999999999999</v>
      </c>
      <c r="AL102" s="28">
        <f t="shared" si="119"/>
        <v>0.11499999999999999</v>
      </c>
      <c r="AM102" s="28">
        <f t="shared" si="119"/>
        <v>0.11499999999999999</v>
      </c>
      <c r="AN102" s="28">
        <f t="shared" si="119"/>
        <v>0.11499999999999999</v>
      </c>
      <c r="AO102" s="28">
        <f t="shared" si="119"/>
        <v>0.11499999999999999</v>
      </c>
      <c r="AP102" s="28">
        <f t="shared" si="119"/>
        <v>0.11499999999999999</v>
      </c>
      <c r="AQ102" s="28">
        <f t="shared" si="119"/>
        <v>0.11499999999999999</v>
      </c>
      <c r="AR102" s="28">
        <f t="shared" si="119"/>
        <v>0.11499999999999999</v>
      </c>
      <c r="AS102" s="28">
        <f t="shared" si="119"/>
        <v>0.11499999999999999</v>
      </c>
      <c r="AT102" s="28">
        <f t="shared" si="119"/>
        <v>0.11499999999999999</v>
      </c>
      <c r="AU102" s="28">
        <f t="shared" si="119"/>
        <v>0.11499999999999999</v>
      </c>
      <c r="AV102" s="28">
        <f t="shared" si="119"/>
        <v>0.11499999999999999</v>
      </c>
      <c r="AW102" s="28">
        <f t="shared" si="119"/>
        <v>0.11499999999999999</v>
      </c>
      <c r="AX102" s="28">
        <f t="shared" si="119"/>
        <v>0.11499999999999999</v>
      </c>
      <c r="AY102" s="28">
        <f t="shared" si="119"/>
        <v>0.11499999999999999</v>
      </c>
      <c r="AZ102" s="28">
        <f t="shared" si="119"/>
        <v>0.11499999999999999</v>
      </c>
      <c r="BA102" s="28">
        <f t="shared" si="119"/>
        <v>0.11499999999999999</v>
      </c>
      <c r="BB102" s="28">
        <f t="shared" si="119"/>
        <v>0.11499999999999999</v>
      </c>
      <c r="BC102" s="28">
        <f t="shared" si="119"/>
        <v>0.11499999999999999</v>
      </c>
      <c r="BD102" s="28">
        <f t="shared" si="119"/>
        <v>0.11499999999999999</v>
      </c>
    </row>
    <row r="103" spans="1:56" x14ac:dyDescent="0.3">
      <c r="B103" t="s">
        <v>171</v>
      </c>
      <c r="D103" s="91">
        <f>D102</f>
        <v>0.04</v>
      </c>
      <c r="E103" s="272">
        <v>6.5000000000000002E-2</v>
      </c>
      <c r="F103" s="272">
        <v>6.5000000000000002E-2</v>
      </c>
      <c r="G103" s="272">
        <v>6.5000000000000002E-2</v>
      </c>
      <c r="H103" s="272">
        <v>6.5000000000000002E-2</v>
      </c>
      <c r="I103" s="272">
        <v>6.5000000000000002E-2</v>
      </c>
      <c r="J103" s="272">
        <v>6.5000000000000002E-2</v>
      </c>
      <c r="K103" s="272">
        <v>6.5000000000000002E-2</v>
      </c>
      <c r="L103" s="272">
        <v>6.5000000000000002E-2</v>
      </c>
      <c r="M103" s="272">
        <v>6.5000000000000002E-2</v>
      </c>
      <c r="N103" s="272">
        <v>6.5000000000000002E-2</v>
      </c>
      <c r="O103" s="272">
        <v>0.09</v>
      </c>
      <c r="P103" s="272">
        <v>0.09</v>
      </c>
      <c r="Q103" s="272">
        <v>0.09</v>
      </c>
      <c r="R103" s="272">
        <v>0.09</v>
      </c>
      <c r="S103" s="272">
        <v>0.09</v>
      </c>
      <c r="T103" s="272">
        <v>0.09</v>
      </c>
      <c r="U103" s="272">
        <v>0.09</v>
      </c>
      <c r="V103" s="272">
        <v>0.09</v>
      </c>
      <c r="W103" s="272">
        <v>0.09</v>
      </c>
      <c r="X103" s="272">
        <v>0.09</v>
      </c>
      <c r="Y103" s="272">
        <v>0.09</v>
      </c>
      <c r="Z103" s="272">
        <v>0.09</v>
      </c>
      <c r="AA103" s="272">
        <v>0.09</v>
      </c>
      <c r="AB103" s="272">
        <v>0.09</v>
      </c>
      <c r="AC103" s="272">
        <v>0.09</v>
      </c>
      <c r="AD103" s="272">
        <v>0.09</v>
      </c>
      <c r="AE103" s="272">
        <v>0.09</v>
      </c>
      <c r="AF103" s="272">
        <v>0.09</v>
      </c>
      <c r="AG103" s="272">
        <v>0.09</v>
      </c>
      <c r="AH103" s="272">
        <v>0.09</v>
      </c>
      <c r="AI103" s="272">
        <v>0.09</v>
      </c>
      <c r="AJ103" s="272">
        <v>0.09</v>
      </c>
      <c r="AK103" s="272">
        <v>0.09</v>
      </c>
      <c r="AL103" s="272">
        <v>0.09</v>
      </c>
      <c r="AM103" s="272">
        <v>0.09</v>
      </c>
      <c r="AN103" s="272">
        <v>0.09</v>
      </c>
      <c r="AO103" s="272">
        <v>0.09</v>
      </c>
      <c r="AP103" s="272">
        <v>0.09</v>
      </c>
      <c r="AQ103" s="272">
        <v>0.09</v>
      </c>
      <c r="AR103" s="272">
        <v>0.09</v>
      </c>
      <c r="AS103" s="272">
        <v>0.09</v>
      </c>
      <c r="AT103" s="272">
        <v>0.09</v>
      </c>
      <c r="AU103" s="272">
        <v>0.09</v>
      </c>
      <c r="AV103" s="272">
        <v>0.09</v>
      </c>
      <c r="AW103" s="272">
        <v>0.09</v>
      </c>
      <c r="AX103" s="272">
        <v>0.09</v>
      </c>
      <c r="AY103" s="272">
        <v>0.09</v>
      </c>
      <c r="AZ103" s="272">
        <v>0.09</v>
      </c>
      <c r="BA103" s="272">
        <v>0.09</v>
      </c>
      <c r="BB103" s="272">
        <v>0.09</v>
      </c>
      <c r="BC103" s="272">
        <v>0.09</v>
      </c>
      <c r="BD103" s="272">
        <v>0.09</v>
      </c>
    </row>
    <row r="104" spans="1:56" x14ac:dyDescent="0.3">
      <c r="B104" t="s">
        <v>177</v>
      </c>
      <c r="D104" s="28" t="e">
        <f t="shared" ref="D104:L104" si="120">D92/D91</f>
        <v>#DIV/0!</v>
      </c>
      <c r="E104" s="28" t="e">
        <f t="shared" si="120"/>
        <v>#DIV/0!</v>
      </c>
      <c r="F104" s="28" t="e">
        <f t="shared" si="120"/>
        <v>#DIV/0!</v>
      </c>
      <c r="G104" s="28">
        <f t="shared" si="120"/>
        <v>2.0397350993377539</v>
      </c>
      <c r="H104" s="28">
        <f t="shared" si="120"/>
        <v>-4.5075125208681135E-2</v>
      </c>
      <c r="I104" s="28">
        <f t="shared" si="120"/>
        <v>6.4516129032258465E-2</v>
      </c>
      <c r="J104" s="28">
        <f t="shared" si="120"/>
        <v>-0.20054945054945097</v>
      </c>
      <c r="K104" s="28">
        <f t="shared" si="120"/>
        <v>-0.36468507915123033</v>
      </c>
      <c r="L104" s="28">
        <f t="shared" si="120"/>
        <v>-0.90032765602300091</v>
      </c>
      <c r="M104" s="28">
        <f>M92/M91</f>
        <v>-5.9813407049070451</v>
      </c>
      <c r="N104" s="28">
        <f>N92/N91</f>
        <v>-1.1550977262835038</v>
      </c>
      <c r="O104" s="93">
        <v>-0.2</v>
      </c>
      <c r="P104" s="51">
        <f t="shared" ref="P104:BD105" si="121">O104</f>
        <v>-0.2</v>
      </c>
      <c r="Q104" s="51">
        <f t="shared" si="121"/>
        <v>-0.2</v>
      </c>
      <c r="R104" s="51">
        <f t="shared" si="121"/>
        <v>-0.2</v>
      </c>
      <c r="S104" s="51">
        <f t="shared" si="121"/>
        <v>-0.2</v>
      </c>
      <c r="T104" s="93">
        <f>-AlíquotaIR</f>
        <v>-0.3</v>
      </c>
      <c r="U104" s="51">
        <f t="shared" si="121"/>
        <v>-0.3</v>
      </c>
      <c r="V104" s="51">
        <f t="shared" si="121"/>
        <v>-0.3</v>
      </c>
      <c r="W104" s="51">
        <f t="shared" si="121"/>
        <v>-0.3</v>
      </c>
      <c r="X104" s="51">
        <f t="shared" si="121"/>
        <v>-0.3</v>
      </c>
      <c r="Y104" s="51">
        <f t="shared" si="121"/>
        <v>-0.3</v>
      </c>
      <c r="Z104" s="51">
        <f t="shared" si="121"/>
        <v>-0.3</v>
      </c>
      <c r="AA104" s="51">
        <f t="shared" si="121"/>
        <v>-0.3</v>
      </c>
      <c r="AB104" s="51">
        <f t="shared" si="121"/>
        <v>-0.3</v>
      </c>
      <c r="AC104" s="51">
        <f t="shared" si="121"/>
        <v>-0.3</v>
      </c>
      <c r="AD104" s="51">
        <f t="shared" si="121"/>
        <v>-0.3</v>
      </c>
      <c r="AE104" s="51">
        <f t="shared" si="121"/>
        <v>-0.3</v>
      </c>
      <c r="AF104" s="51">
        <f t="shared" si="121"/>
        <v>-0.3</v>
      </c>
      <c r="AG104" s="51">
        <f t="shared" si="121"/>
        <v>-0.3</v>
      </c>
      <c r="AH104" s="51">
        <f t="shared" si="121"/>
        <v>-0.3</v>
      </c>
      <c r="AI104" s="51">
        <f t="shared" si="121"/>
        <v>-0.3</v>
      </c>
      <c r="AJ104" s="51">
        <f t="shared" si="121"/>
        <v>-0.3</v>
      </c>
      <c r="AK104" s="51">
        <f t="shared" si="121"/>
        <v>-0.3</v>
      </c>
      <c r="AL104" s="51">
        <f t="shared" si="121"/>
        <v>-0.3</v>
      </c>
      <c r="AM104" s="51">
        <f t="shared" si="121"/>
        <v>-0.3</v>
      </c>
      <c r="AN104" s="51">
        <f t="shared" si="121"/>
        <v>-0.3</v>
      </c>
      <c r="AO104" s="51">
        <f t="shared" si="121"/>
        <v>-0.3</v>
      </c>
      <c r="AP104" s="51">
        <f t="shared" si="121"/>
        <v>-0.3</v>
      </c>
      <c r="AQ104" s="51">
        <f t="shared" si="121"/>
        <v>-0.3</v>
      </c>
      <c r="AR104" s="51">
        <f t="shared" si="121"/>
        <v>-0.3</v>
      </c>
      <c r="AS104" s="51">
        <f t="shared" si="121"/>
        <v>-0.3</v>
      </c>
      <c r="AT104" s="51">
        <f t="shared" si="121"/>
        <v>-0.3</v>
      </c>
      <c r="AU104" s="51">
        <f t="shared" si="121"/>
        <v>-0.3</v>
      </c>
      <c r="AV104" s="51">
        <f t="shared" si="121"/>
        <v>-0.3</v>
      </c>
      <c r="AW104" s="51">
        <f t="shared" si="121"/>
        <v>-0.3</v>
      </c>
      <c r="AX104" s="51">
        <f t="shared" si="121"/>
        <v>-0.3</v>
      </c>
      <c r="AY104" s="51">
        <f t="shared" si="121"/>
        <v>-0.3</v>
      </c>
      <c r="AZ104" s="51">
        <f t="shared" si="121"/>
        <v>-0.3</v>
      </c>
      <c r="BA104" s="51">
        <f t="shared" si="121"/>
        <v>-0.3</v>
      </c>
      <c r="BB104" s="51">
        <f t="shared" si="121"/>
        <v>-0.3</v>
      </c>
      <c r="BC104" s="51">
        <f t="shared" si="121"/>
        <v>-0.3</v>
      </c>
      <c r="BD104" s="51">
        <f t="shared" si="121"/>
        <v>-0.3</v>
      </c>
    </row>
    <row r="105" spans="1:56" x14ac:dyDescent="0.3">
      <c r="B105" t="s">
        <v>172</v>
      </c>
      <c r="C105" t="s">
        <v>173</v>
      </c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3">
        <v>0</v>
      </c>
      <c r="P105" s="51">
        <f t="shared" si="121"/>
        <v>0</v>
      </c>
      <c r="Q105" s="51">
        <f t="shared" si="121"/>
        <v>0</v>
      </c>
      <c r="R105" s="51">
        <f t="shared" si="121"/>
        <v>0</v>
      </c>
      <c r="S105" s="51">
        <f t="shared" si="121"/>
        <v>0</v>
      </c>
      <c r="T105" s="93">
        <v>0.5</v>
      </c>
      <c r="U105" s="51">
        <f t="shared" si="121"/>
        <v>0.5</v>
      </c>
      <c r="V105" s="51">
        <f t="shared" si="121"/>
        <v>0.5</v>
      </c>
      <c r="W105" s="51">
        <f t="shared" si="121"/>
        <v>0.5</v>
      </c>
      <c r="X105" s="51">
        <f t="shared" si="121"/>
        <v>0.5</v>
      </c>
      <c r="Y105" s="51">
        <f t="shared" si="121"/>
        <v>0.5</v>
      </c>
      <c r="Z105" s="51">
        <f t="shared" si="121"/>
        <v>0.5</v>
      </c>
      <c r="AA105" s="51">
        <f t="shared" si="121"/>
        <v>0.5</v>
      </c>
      <c r="AB105" s="51">
        <f t="shared" si="121"/>
        <v>0.5</v>
      </c>
      <c r="AC105" s="51">
        <f t="shared" si="121"/>
        <v>0.5</v>
      </c>
      <c r="AD105" s="51">
        <f t="shared" si="121"/>
        <v>0.5</v>
      </c>
      <c r="AE105" s="51">
        <f t="shared" si="121"/>
        <v>0.5</v>
      </c>
      <c r="AF105" s="51">
        <f t="shared" si="121"/>
        <v>0.5</v>
      </c>
      <c r="AG105" s="51">
        <f t="shared" si="121"/>
        <v>0.5</v>
      </c>
      <c r="AH105" s="51">
        <f t="shared" si="121"/>
        <v>0.5</v>
      </c>
      <c r="AI105" s="51">
        <f t="shared" si="121"/>
        <v>0.5</v>
      </c>
      <c r="AJ105" s="51">
        <f t="shared" si="121"/>
        <v>0.5</v>
      </c>
      <c r="AK105" s="51">
        <f t="shared" si="121"/>
        <v>0.5</v>
      </c>
      <c r="AL105" s="51">
        <f t="shared" si="121"/>
        <v>0.5</v>
      </c>
      <c r="AM105" s="51">
        <f t="shared" si="121"/>
        <v>0.5</v>
      </c>
      <c r="AN105" s="51">
        <f t="shared" si="121"/>
        <v>0.5</v>
      </c>
      <c r="AO105" s="51">
        <f t="shared" si="121"/>
        <v>0.5</v>
      </c>
      <c r="AP105" s="51">
        <f t="shared" si="121"/>
        <v>0.5</v>
      </c>
      <c r="AQ105" s="51">
        <f t="shared" si="121"/>
        <v>0.5</v>
      </c>
      <c r="AR105" s="51">
        <f t="shared" si="121"/>
        <v>0.5</v>
      </c>
      <c r="AS105" s="51">
        <f t="shared" si="121"/>
        <v>0.5</v>
      </c>
      <c r="AT105" s="51">
        <f t="shared" si="121"/>
        <v>0.5</v>
      </c>
      <c r="AU105" s="51">
        <f t="shared" si="121"/>
        <v>0.5</v>
      </c>
      <c r="AV105" s="51">
        <f t="shared" si="121"/>
        <v>0.5</v>
      </c>
      <c r="AW105" s="51">
        <f t="shared" si="121"/>
        <v>0.5</v>
      </c>
      <c r="AX105" s="51">
        <f t="shared" si="121"/>
        <v>0.5</v>
      </c>
      <c r="AY105" s="51">
        <f t="shared" si="121"/>
        <v>0.5</v>
      </c>
      <c r="AZ105" s="51">
        <f t="shared" si="121"/>
        <v>0.5</v>
      </c>
      <c r="BA105" s="51">
        <f t="shared" si="121"/>
        <v>0.5</v>
      </c>
      <c r="BB105" s="51">
        <f t="shared" si="121"/>
        <v>0.5</v>
      </c>
      <c r="BC105" s="51">
        <f t="shared" si="121"/>
        <v>0.5</v>
      </c>
      <c r="BD105" s="51">
        <f t="shared" si="121"/>
        <v>0.5</v>
      </c>
    </row>
    <row r="106" spans="1:56" x14ac:dyDescent="0.3">
      <c r="B106" t="s">
        <v>293</v>
      </c>
      <c r="L106" s="28">
        <f>L103*L64+L102*(1-L64)</f>
        <v>0.15005000000000002</v>
      </c>
      <c r="M106" s="28">
        <f>M103*M64+M102*(1-M64)</f>
        <v>0.11067500000000001</v>
      </c>
      <c r="N106" s="28">
        <f>N103*N64+N102*(1-N64)</f>
        <v>9.3350000000000016E-2</v>
      </c>
      <c r="O106" s="28">
        <f t="shared" ref="O106" si="122">O103*O64+O102*(1-O64)</f>
        <v>0.10574999999999998</v>
      </c>
      <c r="P106" s="28">
        <f t="shared" ref="P106:BD106" si="123">P103*P64+P102*(1-P64)</f>
        <v>0.10574999999999998</v>
      </c>
      <c r="Q106" s="28">
        <f t="shared" si="123"/>
        <v>0.10574999999999998</v>
      </c>
      <c r="R106" s="28">
        <f t="shared" si="123"/>
        <v>0.10574999999999998</v>
      </c>
      <c r="S106" s="28">
        <f t="shared" si="123"/>
        <v>0.10574999999999998</v>
      </c>
      <c r="T106" s="28">
        <f t="shared" si="123"/>
        <v>0.10574999999999998</v>
      </c>
      <c r="U106" s="28">
        <f t="shared" si="123"/>
        <v>0.10574999999999998</v>
      </c>
      <c r="V106" s="172">
        <f t="shared" si="123"/>
        <v>0.10574999999999998</v>
      </c>
      <c r="W106" s="28">
        <f t="shared" si="123"/>
        <v>0.10574999999999998</v>
      </c>
      <c r="X106" s="28">
        <f t="shared" si="123"/>
        <v>0.10574999999999998</v>
      </c>
      <c r="Y106" s="28">
        <f t="shared" si="123"/>
        <v>0.10574999999999998</v>
      </c>
      <c r="Z106" s="28">
        <f t="shared" si="123"/>
        <v>0.10574999999999998</v>
      </c>
      <c r="AA106" s="28">
        <f t="shared" si="123"/>
        <v>0.10574999999999998</v>
      </c>
      <c r="AB106" s="28">
        <f t="shared" si="123"/>
        <v>0.10574999999999998</v>
      </c>
      <c r="AC106" s="28">
        <f t="shared" si="123"/>
        <v>0.10574999999999998</v>
      </c>
      <c r="AD106" s="28">
        <f t="shared" si="123"/>
        <v>0.10574999999999998</v>
      </c>
      <c r="AE106" s="28">
        <f t="shared" si="123"/>
        <v>0.10574999999999998</v>
      </c>
      <c r="AF106" s="28">
        <f t="shared" si="123"/>
        <v>0.10574999999999998</v>
      </c>
      <c r="AG106" s="28">
        <f t="shared" si="123"/>
        <v>0.10574999999999998</v>
      </c>
      <c r="AH106" s="28">
        <f t="shared" si="123"/>
        <v>0.10574999999999998</v>
      </c>
      <c r="AI106" s="28">
        <f t="shared" si="123"/>
        <v>0.10574999999999998</v>
      </c>
      <c r="AJ106" s="28">
        <f t="shared" si="123"/>
        <v>0.10574999999999998</v>
      </c>
      <c r="AK106" s="28">
        <f t="shared" si="123"/>
        <v>0.10574999999999998</v>
      </c>
      <c r="AL106" s="28">
        <f t="shared" si="123"/>
        <v>0.10574999999999998</v>
      </c>
      <c r="AM106" s="28">
        <f t="shared" si="123"/>
        <v>0.10574999999999998</v>
      </c>
      <c r="AN106" s="28">
        <f t="shared" si="123"/>
        <v>0.10574999999999998</v>
      </c>
      <c r="AO106" s="28">
        <f t="shared" si="123"/>
        <v>0.10574999999999998</v>
      </c>
      <c r="AP106" s="28">
        <f t="shared" si="123"/>
        <v>0.10574999999999998</v>
      </c>
      <c r="AQ106" s="28">
        <f t="shared" si="123"/>
        <v>0.10574999999999998</v>
      </c>
      <c r="AR106" s="28">
        <f t="shared" si="123"/>
        <v>0.10574999999999998</v>
      </c>
      <c r="AS106" s="28">
        <f t="shared" si="123"/>
        <v>0.10574999999999998</v>
      </c>
      <c r="AT106" s="28">
        <f t="shared" si="123"/>
        <v>0.10574999999999998</v>
      </c>
      <c r="AU106" s="28">
        <f t="shared" si="123"/>
        <v>0.10574999999999998</v>
      </c>
      <c r="AV106" s="28">
        <f t="shared" si="123"/>
        <v>0.10574999999999998</v>
      </c>
      <c r="AW106" s="28">
        <f t="shared" si="123"/>
        <v>0.10574999999999998</v>
      </c>
      <c r="AX106" s="28">
        <f t="shared" si="123"/>
        <v>0.10574999999999998</v>
      </c>
      <c r="AY106" s="28">
        <f t="shared" si="123"/>
        <v>0.10574999999999998</v>
      </c>
      <c r="AZ106" s="28">
        <f t="shared" si="123"/>
        <v>0.10574999999999998</v>
      </c>
      <c r="BA106" s="28">
        <f t="shared" si="123"/>
        <v>0.10574999999999998</v>
      </c>
      <c r="BB106" s="28">
        <f t="shared" si="123"/>
        <v>0.10574999999999998</v>
      </c>
      <c r="BC106" s="28">
        <f t="shared" si="123"/>
        <v>0.10574999999999998</v>
      </c>
      <c r="BD106" s="28">
        <f t="shared" si="123"/>
        <v>0.10574999999999998</v>
      </c>
    </row>
    <row r="107" spans="1:56" x14ac:dyDescent="0.3">
      <c r="B107" t="s">
        <v>502</v>
      </c>
      <c r="D107" s="28" t="e">
        <f t="shared" ref="D107:L107" si="124">D90/D78</f>
        <v>#DIV/0!</v>
      </c>
      <c r="E107" s="28" t="e">
        <f t="shared" si="124"/>
        <v>#DIV/0!</v>
      </c>
      <c r="F107" s="28" t="e">
        <f t="shared" si="124"/>
        <v>#DIV/0!</v>
      </c>
      <c r="G107" s="172">
        <f t="shared" si="124"/>
        <v>-3.196476772268788E-2</v>
      </c>
      <c r="H107" s="172">
        <f t="shared" si="124"/>
        <v>-3.0304830946580305E-2</v>
      </c>
      <c r="I107" s="172">
        <f t="shared" si="124"/>
        <v>-2.7410670582476745E-2</v>
      </c>
      <c r="J107" s="172">
        <f t="shared" si="124"/>
        <v>-2.8011472275334608E-2</v>
      </c>
      <c r="K107" s="172">
        <f t="shared" si="124"/>
        <v>-2.8027056651794478E-2</v>
      </c>
      <c r="L107" s="172">
        <f t="shared" si="124"/>
        <v>-2.6376829026107277E-2</v>
      </c>
      <c r="M107" s="172">
        <f>M90/M78</f>
        <v>-2.7107443278854046E-2</v>
      </c>
      <c r="N107" s="172">
        <f>N90/N78</f>
        <v>-2.3136416622216192E-2</v>
      </c>
      <c r="O107" s="651">
        <v>-0.02</v>
      </c>
      <c r="P107" s="651">
        <v>-1.6E-2</v>
      </c>
      <c r="Q107" s="651">
        <v>-1.4E-2</v>
      </c>
      <c r="R107" s="651">
        <v>-1.2E-2</v>
      </c>
      <c r="S107" s="651">
        <v>-1.0999999999999999E-2</v>
      </c>
      <c r="T107" s="651">
        <v>-1.0999999999999999E-2</v>
      </c>
      <c r="U107" s="564">
        <f t="shared" ref="U107:BD107" si="125">AVERAGE(R107:T107)</f>
        <v>-1.1333333333333334E-2</v>
      </c>
      <c r="V107" s="564">
        <f t="shared" si="125"/>
        <v>-1.1111111111111112E-2</v>
      </c>
      <c r="W107" s="564">
        <f t="shared" si="125"/>
        <v>-1.1148148148148148E-2</v>
      </c>
      <c r="X107" s="564">
        <f t="shared" si="125"/>
        <v>-1.1197530864197532E-2</v>
      </c>
      <c r="Y107" s="564">
        <f t="shared" si="125"/>
        <v>-1.1152263374485598E-2</v>
      </c>
      <c r="Z107" s="564">
        <f t="shared" si="125"/>
        <v>-1.1165980795610425E-2</v>
      </c>
      <c r="AA107" s="564">
        <f t="shared" si="125"/>
        <v>-1.1171925011431183E-2</v>
      </c>
      <c r="AB107" s="564">
        <f t="shared" si="125"/>
        <v>-1.1163389727175734E-2</v>
      </c>
      <c r="AC107" s="564">
        <f t="shared" si="125"/>
        <v>-1.1167098511405781E-2</v>
      </c>
      <c r="AD107" s="564">
        <f t="shared" si="125"/>
        <v>-1.1167471083337566E-2</v>
      </c>
      <c r="AE107" s="564">
        <f t="shared" si="125"/>
        <v>-1.1165986440639694E-2</v>
      </c>
      <c r="AF107" s="564">
        <f t="shared" si="125"/>
        <v>-1.1166852011794348E-2</v>
      </c>
      <c r="AG107" s="564">
        <f t="shared" si="125"/>
        <v>-1.1166769845257203E-2</v>
      </c>
      <c r="AH107" s="564">
        <f t="shared" si="125"/>
        <v>-1.1166536099230415E-2</v>
      </c>
      <c r="AI107" s="564">
        <f t="shared" si="125"/>
        <v>-1.1166719318760655E-2</v>
      </c>
      <c r="AJ107" s="564">
        <f t="shared" si="125"/>
        <v>-1.1166675087749425E-2</v>
      </c>
      <c r="AK107" s="564">
        <f t="shared" si="125"/>
        <v>-1.1166643501913499E-2</v>
      </c>
      <c r="AL107" s="564">
        <f t="shared" si="125"/>
        <v>-1.1166679302807861E-2</v>
      </c>
      <c r="AM107" s="564">
        <f t="shared" si="125"/>
        <v>-1.1166665964156927E-2</v>
      </c>
      <c r="AN107" s="564">
        <f t="shared" si="125"/>
        <v>-1.116666292295943E-2</v>
      </c>
      <c r="AO107" s="564">
        <f t="shared" si="125"/>
        <v>-1.1166669396641406E-2</v>
      </c>
      <c r="AP107" s="564">
        <f t="shared" si="125"/>
        <v>-1.1166666094585921E-2</v>
      </c>
      <c r="AQ107" s="564">
        <f t="shared" si="125"/>
        <v>-1.1166666138062253E-2</v>
      </c>
      <c r="AR107" s="564">
        <f t="shared" si="125"/>
        <v>-1.1166667209763193E-2</v>
      </c>
      <c r="AS107" s="564">
        <f t="shared" si="125"/>
        <v>-1.116666648080379E-2</v>
      </c>
      <c r="AT107" s="564">
        <f t="shared" si="125"/>
        <v>-1.116666660954308E-2</v>
      </c>
      <c r="AU107" s="564">
        <f t="shared" si="125"/>
        <v>-1.1166666766703354E-2</v>
      </c>
      <c r="AV107" s="564">
        <f t="shared" si="125"/>
        <v>-1.1166666619016741E-2</v>
      </c>
      <c r="AW107" s="564">
        <f t="shared" si="125"/>
        <v>-1.1166666665087725E-2</v>
      </c>
      <c r="AX107" s="564">
        <f t="shared" si="125"/>
        <v>-1.1166666683602606E-2</v>
      </c>
      <c r="AY107" s="564">
        <f t="shared" si="125"/>
        <v>-1.1166666655902357E-2</v>
      </c>
      <c r="AZ107" s="564">
        <f t="shared" si="125"/>
        <v>-1.1166666668197564E-2</v>
      </c>
      <c r="BA107" s="564">
        <f t="shared" si="125"/>
        <v>-1.1166666669234175E-2</v>
      </c>
      <c r="BB107" s="564">
        <f t="shared" si="125"/>
        <v>-1.1166666664444699E-2</v>
      </c>
      <c r="BC107" s="564">
        <f t="shared" si="125"/>
        <v>-1.1166666667292146E-2</v>
      </c>
      <c r="BD107" s="564">
        <f t="shared" si="125"/>
        <v>-1.1166666666990338E-2</v>
      </c>
    </row>
    <row r="111" spans="1:56" s="87" customFormat="1" x14ac:dyDescent="0.3">
      <c r="B111" s="86" t="s">
        <v>175</v>
      </c>
      <c r="C111" s="86" t="s">
        <v>176</v>
      </c>
    </row>
    <row r="113" spans="2:56" s="31" customFormat="1" x14ac:dyDescent="0.3">
      <c r="B113" s="110" t="s">
        <v>162</v>
      </c>
      <c r="C113" s="32"/>
      <c r="D113" s="32"/>
      <c r="E113" s="75">
        <f t="shared" ref="E113:AJ113" si="126">EBIT</f>
        <v>0</v>
      </c>
      <c r="F113" s="75">
        <f t="shared" si="126"/>
        <v>0</v>
      </c>
      <c r="G113" s="75">
        <f t="shared" si="126"/>
        <v>62.100000000000115</v>
      </c>
      <c r="H113" s="75">
        <f t="shared" si="126"/>
        <v>179.7</v>
      </c>
      <c r="I113" s="75">
        <f t="shared" si="126"/>
        <v>63.500000000000306</v>
      </c>
      <c r="J113" s="75">
        <f t="shared" si="126"/>
        <v>103.70000000000007</v>
      </c>
      <c r="K113" s="75">
        <f t="shared" si="126"/>
        <v>154.3949999999999</v>
      </c>
      <c r="L113" s="75">
        <f t="shared" si="126"/>
        <v>168.83100000000022</v>
      </c>
      <c r="M113" s="75">
        <f t="shared" si="126"/>
        <v>180.89500000000024</v>
      </c>
      <c r="N113" s="75">
        <f t="shared" si="126"/>
        <v>169.52400000000017</v>
      </c>
      <c r="O113" s="75">
        <f t="shared" si="126"/>
        <v>266.67788263281233</v>
      </c>
      <c r="P113" s="75">
        <f t="shared" si="126"/>
        <v>274.57133033707396</v>
      </c>
      <c r="Q113" s="75">
        <f t="shared" si="126"/>
        <v>295.41567061250242</v>
      </c>
      <c r="R113" s="75">
        <f t="shared" si="126"/>
        <v>320.60174188239375</v>
      </c>
      <c r="S113" s="75">
        <f t="shared" si="126"/>
        <v>340.52742721303707</v>
      </c>
      <c r="T113" s="75">
        <f t="shared" si="126"/>
        <v>364.77844901110268</v>
      </c>
      <c r="U113" s="75">
        <f t="shared" si="126"/>
        <v>390.00114291678193</v>
      </c>
      <c r="V113" s="75">
        <f t="shared" si="126"/>
        <v>415.50942759175479</v>
      </c>
      <c r="W113" s="75">
        <f t="shared" si="126"/>
        <v>443.31164758153119</v>
      </c>
      <c r="X113" s="75">
        <f t="shared" si="126"/>
        <v>472.46694288861499</v>
      </c>
      <c r="Y113" s="75">
        <f t="shared" si="126"/>
        <v>503.25738030999878</v>
      </c>
      <c r="Z113" s="75">
        <f t="shared" si="126"/>
        <v>536.14843112431424</v>
      </c>
      <c r="AA113" s="75">
        <f t="shared" si="126"/>
        <v>564.80791949876698</v>
      </c>
      <c r="AB113" s="75">
        <f t="shared" si="126"/>
        <v>594.72640177097037</v>
      </c>
      <c r="AC113" s="75">
        <f t="shared" si="126"/>
        <v>626.44045157963797</v>
      </c>
      <c r="AD113" s="75">
        <f t="shared" si="126"/>
        <v>660.02112948076194</v>
      </c>
      <c r="AE113" s="75">
        <f t="shared" si="126"/>
        <v>695.63625195994473</v>
      </c>
      <c r="AF113" s="75">
        <f t="shared" si="126"/>
        <v>733.43059335434168</v>
      </c>
      <c r="AG113" s="75">
        <f t="shared" si="126"/>
        <v>773.54895950941318</v>
      </c>
      <c r="AH113" s="75">
        <f t="shared" si="126"/>
        <v>816.1651379685344</v>
      </c>
      <c r="AI113" s="75">
        <f t="shared" si="126"/>
        <v>861.45374083142656</v>
      </c>
      <c r="AJ113" s="75">
        <f t="shared" si="126"/>
        <v>909.60189679575274</v>
      </c>
      <c r="AK113" s="75">
        <f t="shared" ref="AK113:BD113" si="127">EBIT</f>
        <v>960.81305533247428</v>
      </c>
      <c r="AL113" s="75">
        <f t="shared" si="127"/>
        <v>1015.3018475670507</v>
      </c>
      <c r="AM113" s="75">
        <f t="shared" si="127"/>
        <v>1073.2985937798126</v>
      </c>
      <c r="AN113" s="75">
        <f t="shared" si="127"/>
        <v>1135.0502339704917</v>
      </c>
      <c r="AO113" s="75">
        <f t="shared" si="127"/>
        <v>1200.8204245047671</v>
      </c>
      <c r="AP113" s="75">
        <f t="shared" si="127"/>
        <v>1270.8917646341206</v>
      </c>
      <c r="AQ113" s="75">
        <f t="shared" si="127"/>
        <v>1345.5669664774098</v>
      </c>
      <c r="AR113" s="75">
        <f t="shared" si="127"/>
        <v>1425.1702001642077</v>
      </c>
      <c r="AS113" s="75">
        <f t="shared" si="127"/>
        <v>1510.0489299998951</v>
      </c>
      <c r="AT113" s="75">
        <f t="shared" si="127"/>
        <v>1599.198884042896</v>
      </c>
      <c r="AU113" s="75">
        <f t="shared" si="127"/>
        <v>1662.5850617638737</v>
      </c>
      <c r="AV113" s="75">
        <f t="shared" si="127"/>
        <v>1729.1829024750778</v>
      </c>
      <c r="AW113" s="75">
        <f t="shared" si="127"/>
        <v>1799.0920338148001</v>
      </c>
      <c r="AX113" s="75">
        <f t="shared" si="127"/>
        <v>1872.4213511952437</v>
      </c>
      <c r="AY113" s="75">
        <f t="shared" si="127"/>
        <v>1949.2889105305769</v>
      </c>
      <c r="AZ113" s="75">
        <f t="shared" si="127"/>
        <v>2029.8218599120185</v>
      </c>
      <c r="BA113" s="75">
        <f t="shared" si="127"/>
        <v>2114.1564293051747</v>
      </c>
      <c r="BB113" s="75">
        <f t="shared" si="127"/>
        <v>2202.4379652324201</v>
      </c>
      <c r="BC113" s="75">
        <f t="shared" si="127"/>
        <v>2294.8210056635317</v>
      </c>
      <c r="BD113" s="75">
        <f t="shared" si="127"/>
        <v>2391.4693971803727</v>
      </c>
    </row>
    <row r="114" spans="2:56" x14ac:dyDescent="0.3">
      <c r="B114" s="94" t="s">
        <v>79</v>
      </c>
      <c r="E114" s="73">
        <f t="shared" ref="E114:AJ114" si="128">Depreciação</f>
        <v>0</v>
      </c>
      <c r="F114" s="73">
        <f t="shared" si="128"/>
        <v>0</v>
      </c>
      <c r="G114" s="73">
        <f t="shared" si="128"/>
        <v>0</v>
      </c>
      <c r="H114" s="73">
        <f t="shared" si="128"/>
        <v>0</v>
      </c>
      <c r="I114" s="73">
        <f t="shared" si="128"/>
        <v>91.5</v>
      </c>
      <c r="J114" s="73">
        <f t="shared" si="128"/>
        <v>86</v>
      </c>
      <c r="K114" s="73">
        <f t="shared" si="128"/>
        <v>78.7</v>
      </c>
      <c r="L114" s="73">
        <f t="shared" si="128"/>
        <v>77.699999999999989</v>
      </c>
      <c r="M114" s="73">
        <f t="shared" si="128"/>
        <v>73.7</v>
      </c>
      <c r="N114" s="73">
        <f t="shared" si="128"/>
        <v>75.000000000000014</v>
      </c>
      <c r="O114" s="73">
        <f t="shared" si="128"/>
        <v>71.153500000000008</v>
      </c>
      <c r="P114" s="73">
        <f t="shared" si="128"/>
        <v>71.251731207304161</v>
      </c>
      <c r="Q114" s="73">
        <f t="shared" si="128"/>
        <v>71.715259331902317</v>
      </c>
      <c r="R114" s="73">
        <f t="shared" si="128"/>
        <v>72.586517965840045</v>
      </c>
      <c r="S114" s="73">
        <f t="shared" si="128"/>
        <v>73.851159116220202</v>
      </c>
      <c r="T114" s="73">
        <f t="shared" si="128"/>
        <v>75.49233517961656</v>
      </c>
      <c r="U114" s="73">
        <f t="shared" si="128"/>
        <v>77.506567938433747</v>
      </c>
      <c r="V114" s="73">
        <f t="shared" si="128"/>
        <v>79.889028885232563</v>
      </c>
      <c r="W114" s="73">
        <f t="shared" si="128"/>
        <v>82.637574603567174</v>
      </c>
      <c r="X114" s="73">
        <f t="shared" si="128"/>
        <v>85.755031981569019</v>
      </c>
      <c r="Y114" s="73">
        <f t="shared" si="128"/>
        <v>89.245802616734508</v>
      </c>
      <c r="Z114" s="73">
        <f t="shared" si="128"/>
        <v>93.117183412995118</v>
      </c>
      <c r="AA114" s="73">
        <f t="shared" si="128"/>
        <v>97.379540079946125</v>
      </c>
      <c r="AB114" s="73">
        <f t="shared" si="128"/>
        <v>101.91924936425566</v>
      </c>
      <c r="AC114" s="73">
        <f t="shared" si="128"/>
        <v>106.7418188165942</v>
      </c>
      <c r="AD114" s="73">
        <f t="shared" si="128"/>
        <v>111.86261392940524</v>
      </c>
      <c r="AE114" s="73">
        <f t="shared" si="128"/>
        <v>117.29828835148327</v>
      </c>
      <c r="AF114" s="73">
        <f t="shared" si="128"/>
        <v>123.06694768995914</v>
      </c>
      <c r="AG114" s="73">
        <f t="shared" si="128"/>
        <v>129.18819805847681</v>
      </c>
      <c r="AH114" s="73">
        <f t="shared" si="128"/>
        <v>135.68320476324405</v>
      </c>
      <c r="AI114" s="73">
        <f t="shared" si="128"/>
        <v>142.57480455944341</v>
      </c>
      <c r="AJ114" s="73">
        <f t="shared" si="128"/>
        <v>149.88759533893389</v>
      </c>
      <c r="AK114" s="73">
        <f t="shared" ref="AK114:BD114" si="129">Depreciação</f>
        <v>157.64804133435248</v>
      </c>
      <c r="AL114" s="73">
        <f t="shared" si="129"/>
        <v>165.88459611748766</v>
      </c>
      <c r="AM114" s="73">
        <f t="shared" si="129"/>
        <v>174.62782868967395</v>
      </c>
      <c r="AN114" s="73">
        <f t="shared" si="129"/>
        <v>183.91056326441259</v>
      </c>
      <c r="AO114" s="73">
        <f t="shared" si="129"/>
        <v>193.76803200067062</v>
      </c>
      <c r="AP114" s="73">
        <f t="shared" si="129"/>
        <v>204.23803867736567</v>
      </c>
      <c r="AQ114" s="73">
        <f t="shared" si="129"/>
        <v>215.36113654441439</v>
      </c>
      <c r="AR114" s="73">
        <f t="shared" si="129"/>
        <v>227.18082052348009</v>
      </c>
      <c r="AS114" s="73">
        <f t="shared" si="129"/>
        <v>239.74373429882408</v>
      </c>
      <c r="AT114" s="73">
        <f t="shared" si="129"/>
        <v>253.09989388900735</v>
      </c>
      <c r="AU114" s="73">
        <f t="shared" si="129"/>
        <v>267.27403817392599</v>
      </c>
      <c r="AV114" s="73">
        <f t="shared" si="129"/>
        <v>281.65793036721067</v>
      </c>
      <c r="AW114" s="73">
        <f t="shared" si="129"/>
        <v>296.30505443771847</v>
      </c>
      <c r="AX114" s="73">
        <f t="shared" si="129"/>
        <v>311.26638004162629</v>
      </c>
      <c r="AY114" s="73">
        <f t="shared" si="129"/>
        <v>326.59078878845156</v>
      </c>
      <c r="AZ114" s="73">
        <f t="shared" si="129"/>
        <v>342.32546031771068</v>
      </c>
      <c r="BA114" s="73">
        <f t="shared" si="129"/>
        <v>358.51622289154597</v>
      </c>
      <c r="BB114" s="73">
        <f t="shared" si="129"/>
        <v>375.20787272309298</v>
      </c>
      <c r="BC114" s="73">
        <f t="shared" si="129"/>
        <v>392.44446581027574</v>
      </c>
      <c r="BD114" s="73">
        <f t="shared" si="129"/>
        <v>410.26958563801099</v>
      </c>
    </row>
    <row r="115" spans="2:56" x14ac:dyDescent="0.3">
      <c r="B115" s="94" t="s">
        <v>178</v>
      </c>
      <c r="E115" s="73">
        <f t="shared" ref="E115:AJ115" si="130">Amortização</f>
        <v>0</v>
      </c>
      <c r="F115" s="73">
        <f t="shared" si="130"/>
        <v>0</v>
      </c>
      <c r="G115" s="73">
        <f t="shared" si="130"/>
        <v>0</v>
      </c>
      <c r="H115" s="73">
        <f t="shared" si="130"/>
        <v>0</v>
      </c>
      <c r="I115" s="73">
        <f t="shared" si="130"/>
        <v>0</v>
      </c>
      <c r="J115" s="73">
        <f t="shared" si="130"/>
        <v>0</v>
      </c>
      <c r="K115" s="73">
        <f t="shared" si="130"/>
        <v>0</v>
      </c>
      <c r="L115" s="73">
        <f t="shared" si="130"/>
        <v>0</v>
      </c>
      <c r="M115" s="73">
        <f t="shared" si="130"/>
        <v>0</v>
      </c>
      <c r="N115" s="73">
        <f t="shared" si="130"/>
        <v>0</v>
      </c>
      <c r="O115" s="73">
        <f t="shared" si="130"/>
        <v>0</v>
      </c>
      <c r="P115" s="73">
        <f t="shared" si="130"/>
        <v>0</v>
      </c>
      <c r="Q115" s="73">
        <f t="shared" si="130"/>
        <v>0</v>
      </c>
      <c r="R115" s="73">
        <f t="shared" si="130"/>
        <v>0</v>
      </c>
      <c r="S115" s="73">
        <f t="shared" si="130"/>
        <v>0</v>
      </c>
      <c r="T115" s="73">
        <f t="shared" si="130"/>
        <v>0</v>
      </c>
      <c r="U115" s="73">
        <f t="shared" si="130"/>
        <v>0</v>
      </c>
      <c r="V115" s="73">
        <f t="shared" si="130"/>
        <v>0</v>
      </c>
      <c r="W115" s="73">
        <f t="shared" si="130"/>
        <v>0</v>
      </c>
      <c r="X115" s="73">
        <f t="shared" si="130"/>
        <v>0</v>
      </c>
      <c r="Y115" s="73">
        <f t="shared" si="130"/>
        <v>0</v>
      </c>
      <c r="Z115" s="73">
        <f t="shared" si="130"/>
        <v>0</v>
      </c>
      <c r="AA115" s="73">
        <f t="shared" si="130"/>
        <v>0</v>
      </c>
      <c r="AB115" s="73">
        <f t="shared" si="130"/>
        <v>0</v>
      </c>
      <c r="AC115" s="73">
        <f t="shared" si="130"/>
        <v>0</v>
      </c>
      <c r="AD115" s="73">
        <f t="shared" si="130"/>
        <v>0</v>
      </c>
      <c r="AE115" s="73">
        <f t="shared" si="130"/>
        <v>0</v>
      </c>
      <c r="AF115" s="73">
        <f t="shared" si="130"/>
        <v>0</v>
      </c>
      <c r="AG115" s="73">
        <f t="shared" si="130"/>
        <v>0</v>
      </c>
      <c r="AH115" s="73">
        <f t="shared" si="130"/>
        <v>0</v>
      </c>
      <c r="AI115" s="73">
        <f t="shared" si="130"/>
        <v>0</v>
      </c>
      <c r="AJ115" s="73">
        <f t="shared" si="130"/>
        <v>0</v>
      </c>
      <c r="AK115" s="73">
        <f t="shared" ref="AK115:BD115" si="131">Amortização</f>
        <v>0</v>
      </c>
      <c r="AL115" s="73">
        <f t="shared" si="131"/>
        <v>0</v>
      </c>
      <c r="AM115" s="73">
        <f t="shared" si="131"/>
        <v>0</v>
      </c>
      <c r="AN115" s="73">
        <f t="shared" si="131"/>
        <v>0</v>
      </c>
      <c r="AO115" s="73">
        <f t="shared" si="131"/>
        <v>0</v>
      </c>
      <c r="AP115" s="73">
        <f t="shared" si="131"/>
        <v>0</v>
      </c>
      <c r="AQ115" s="73">
        <f t="shared" si="131"/>
        <v>0</v>
      </c>
      <c r="AR115" s="73">
        <f t="shared" si="131"/>
        <v>0</v>
      </c>
      <c r="AS115" s="73">
        <f t="shared" si="131"/>
        <v>0</v>
      </c>
      <c r="AT115" s="73">
        <f t="shared" si="131"/>
        <v>0</v>
      </c>
      <c r="AU115" s="73">
        <f t="shared" si="131"/>
        <v>0</v>
      </c>
      <c r="AV115" s="73">
        <f t="shared" si="131"/>
        <v>0</v>
      </c>
      <c r="AW115" s="73">
        <f t="shared" si="131"/>
        <v>0</v>
      </c>
      <c r="AX115" s="73">
        <f t="shared" si="131"/>
        <v>0</v>
      </c>
      <c r="AY115" s="73">
        <f t="shared" si="131"/>
        <v>0</v>
      </c>
      <c r="AZ115" s="73">
        <f t="shared" si="131"/>
        <v>0</v>
      </c>
      <c r="BA115" s="73">
        <f t="shared" si="131"/>
        <v>0</v>
      </c>
      <c r="BB115" s="73">
        <f t="shared" si="131"/>
        <v>0</v>
      </c>
      <c r="BC115" s="73">
        <f t="shared" si="131"/>
        <v>0</v>
      </c>
      <c r="BD115" s="73">
        <f t="shared" si="131"/>
        <v>0</v>
      </c>
    </row>
    <row r="116" spans="2:56" s="31" customFormat="1" x14ac:dyDescent="0.3">
      <c r="B116" s="110" t="s">
        <v>89</v>
      </c>
      <c r="C116" s="32"/>
      <c r="D116" s="32"/>
      <c r="E116" s="75">
        <f t="shared" ref="E116:AJ116" si="132">E113+E114+E115</f>
        <v>0</v>
      </c>
      <c r="F116" s="75">
        <f t="shared" si="132"/>
        <v>0</v>
      </c>
      <c r="G116" s="75">
        <f t="shared" si="132"/>
        <v>62.100000000000115</v>
      </c>
      <c r="H116" s="75">
        <f t="shared" si="132"/>
        <v>179.7</v>
      </c>
      <c r="I116" s="75">
        <f t="shared" si="132"/>
        <v>155.00000000000031</v>
      </c>
      <c r="J116" s="75">
        <f t="shared" si="132"/>
        <v>189.70000000000007</v>
      </c>
      <c r="K116" s="75">
        <f t="shared" si="132"/>
        <v>233.09499999999991</v>
      </c>
      <c r="L116" s="75">
        <f t="shared" si="132"/>
        <v>246.5310000000002</v>
      </c>
      <c r="M116" s="75">
        <f t="shared" si="132"/>
        <v>254.59500000000025</v>
      </c>
      <c r="N116" s="75">
        <f t="shared" si="132"/>
        <v>244.52400000000017</v>
      </c>
      <c r="O116" s="75">
        <f t="shared" si="132"/>
        <v>337.83138263281234</v>
      </c>
      <c r="P116" s="75">
        <f t="shared" si="132"/>
        <v>345.82306154437811</v>
      </c>
      <c r="Q116" s="75">
        <f t="shared" si="132"/>
        <v>367.13092994440473</v>
      </c>
      <c r="R116" s="75">
        <f t="shared" si="132"/>
        <v>393.18825984823377</v>
      </c>
      <c r="S116" s="75">
        <f t="shared" si="132"/>
        <v>414.37858632925725</v>
      </c>
      <c r="T116" s="75">
        <f t="shared" si="132"/>
        <v>440.27078419071927</v>
      </c>
      <c r="U116" s="75">
        <f t="shared" si="132"/>
        <v>467.50771085521569</v>
      </c>
      <c r="V116" s="75">
        <f t="shared" si="132"/>
        <v>495.39845647698735</v>
      </c>
      <c r="W116" s="75">
        <f t="shared" si="132"/>
        <v>525.94922218509839</v>
      </c>
      <c r="X116" s="75">
        <f t="shared" si="132"/>
        <v>558.221974870184</v>
      </c>
      <c r="Y116" s="75">
        <f t="shared" si="132"/>
        <v>592.5031829267333</v>
      </c>
      <c r="Z116" s="75">
        <f t="shared" si="132"/>
        <v>629.26561453730938</v>
      </c>
      <c r="AA116" s="75">
        <f t="shared" si="132"/>
        <v>662.18745957871306</v>
      </c>
      <c r="AB116" s="75">
        <f t="shared" si="132"/>
        <v>696.64565113522599</v>
      </c>
      <c r="AC116" s="75">
        <f t="shared" si="132"/>
        <v>733.18227039623218</v>
      </c>
      <c r="AD116" s="75">
        <f t="shared" si="132"/>
        <v>771.8837434101672</v>
      </c>
      <c r="AE116" s="75">
        <f t="shared" si="132"/>
        <v>812.93454031142801</v>
      </c>
      <c r="AF116" s="75">
        <f t="shared" si="132"/>
        <v>856.49754104430076</v>
      </c>
      <c r="AG116" s="75">
        <f t="shared" si="132"/>
        <v>902.73715756788999</v>
      </c>
      <c r="AH116" s="75">
        <f t="shared" si="132"/>
        <v>951.84834273177842</v>
      </c>
      <c r="AI116" s="75">
        <f t="shared" si="132"/>
        <v>1004.02854539087</v>
      </c>
      <c r="AJ116" s="75">
        <f t="shared" si="132"/>
        <v>1059.4894921346865</v>
      </c>
      <c r="AK116" s="75">
        <f t="shared" ref="AK116:BD116" si="133">AK113+AK114+AK115</f>
        <v>1118.4610966668267</v>
      </c>
      <c r="AL116" s="75">
        <f t="shared" si="133"/>
        <v>1181.1864436845383</v>
      </c>
      <c r="AM116" s="75">
        <f t="shared" si="133"/>
        <v>1247.9264224694866</v>
      </c>
      <c r="AN116" s="75">
        <f t="shared" si="133"/>
        <v>1318.9607972349042</v>
      </c>
      <c r="AO116" s="75">
        <f t="shared" si="133"/>
        <v>1394.5884565054378</v>
      </c>
      <c r="AP116" s="75">
        <f t="shared" si="133"/>
        <v>1475.1298033114863</v>
      </c>
      <c r="AQ116" s="75">
        <f t="shared" si="133"/>
        <v>1560.9281030218242</v>
      </c>
      <c r="AR116" s="75">
        <f t="shared" si="133"/>
        <v>1652.3510206876879</v>
      </c>
      <c r="AS116" s="75">
        <f t="shared" si="133"/>
        <v>1749.7926642987193</v>
      </c>
      <c r="AT116" s="75">
        <f t="shared" si="133"/>
        <v>1852.2987779319033</v>
      </c>
      <c r="AU116" s="75">
        <f t="shared" si="133"/>
        <v>1929.8590999377998</v>
      </c>
      <c r="AV116" s="75">
        <f t="shared" si="133"/>
        <v>2010.8408328422884</v>
      </c>
      <c r="AW116" s="75">
        <f t="shared" si="133"/>
        <v>2095.3970882525186</v>
      </c>
      <c r="AX116" s="75">
        <f t="shared" si="133"/>
        <v>2183.6877312368701</v>
      </c>
      <c r="AY116" s="75">
        <f t="shared" si="133"/>
        <v>2275.8796993190285</v>
      </c>
      <c r="AZ116" s="75">
        <f t="shared" si="133"/>
        <v>2372.1473202297293</v>
      </c>
      <c r="BA116" s="75">
        <f t="shared" si="133"/>
        <v>2472.6726521967207</v>
      </c>
      <c r="BB116" s="75">
        <f t="shared" si="133"/>
        <v>2577.6458379555129</v>
      </c>
      <c r="BC116" s="75">
        <f t="shared" si="133"/>
        <v>2687.2654714738073</v>
      </c>
      <c r="BD116" s="75">
        <f t="shared" si="133"/>
        <v>2801.7389828183836</v>
      </c>
    </row>
    <row r="117" spans="2:56" x14ac:dyDescent="0.3">
      <c r="B117" s="94" t="s">
        <v>179</v>
      </c>
    </row>
    <row r="118" spans="2:56" s="31" customFormat="1" x14ac:dyDescent="0.3">
      <c r="B118" s="109" t="s">
        <v>180</v>
      </c>
      <c r="E118" s="71">
        <f t="shared" ref="E118:AJ118" si="134">SUM(E119:E122)</f>
        <v>0</v>
      </c>
      <c r="F118" s="72">
        <f t="shared" si="134"/>
        <v>0</v>
      </c>
      <c r="G118" s="72">
        <f t="shared" si="134"/>
        <v>-979.59999999999991</v>
      </c>
      <c r="H118" s="72">
        <f t="shared" si="134"/>
        <v>66.788000000000011</v>
      </c>
      <c r="I118" s="72">
        <f t="shared" si="134"/>
        <v>-30.687999999999967</v>
      </c>
      <c r="J118" s="72">
        <f t="shared" si="134"/>
        <v>-65.155000000000115</v>
      </c>
      <c r="K118" s="72">
        <f t="shared" si="134"/>
        <v>-78.388999999999911</v>
      </c>
      <c r="L118" s="72">
        <f t="shared" si="134"/>
        <v>109.25199999999994</v>
      </c>
      <c r="M118" s="72">
        <f t="shared" si="134"/>
        <v>31.991000000000085</v>
      </c>
      <c r="N118" s="72">
        <f t="shared" si="134"/>
        <v>-81.515000000000015</v>
      </c>
      <c r="O118" s="72">
        <f t="shared" si="134"/>
        <v>-34.025351964478858</v>
      </c>
      <c r="P118" s="72">
        <f t="shared" si="134"/>
        <v>-51.641836395136892</v>
      </c>
      <c r="Q118" s="72">
        <f t="shared" si="134"/>
        <v>-61.440082402333331</v>
      </c>
      <c r="R118" s="72">
        <f t="shared" si="134"/>
        <v>-54.004044018697044</v>
      </c>
      <c r="S118" s="72">
        <f t="shared" si="134"/>
        <v>-65.187062922694508</v>
      </c>
      <c r="T118" s="72">
        <f t="shared" si="134"/>
        <v>-68.380340133507133</v>
      </c>
      <c r="U118" s="72">
        <f t="shared" si="134"/>
        <v>-70.870898928235022</v>
      </c>
      <c r="V118" s="72">
        <f t="shared" si="134"/>
        <v>-77.466195497928311</v>
      </c>
      <c r="W118" s="72">
        <f t="shared" si="134"/>
        <v>-82.117584024816153</v>
      </c>
      <c r="X118" s="72">
        <f t="shared" si="134"/>
        <v>-87.346014615031152</v>
      </c>
      <c r="Y118" s="72">
        <f t="shared" si="134"/>
        <v>-93.684744135196638</v>
      </c>
      <c r="Z118" s="72">
        <f t="shared" si="134"/>
        <v>-99.875939330634992</v>
      </c>
      <c r="AA118" s="72">
        <f t="shared" si="134"/>
        <v>-91.220156267958771</v>
      </c>
      <c r="AB118" s="72">
        <f t="shared" si="134"/>
        <v>-95.711901044283081</v>
      </c>
      <c r="AC118" s="72">
        <f t="shared" si="134"/>
        <v>-101.34274800265428</v>
      </c>
      <c r="AD118" s="72">
        <f t="shared" si="134"/>
        <v>-107.39757019587751</v>
      </c>
      <c r="AE118" s="72">
        <f t="shared" si="134"/>
        <v>-113.86402564433837</v>
      </c>
      <c r="AF118" s="72">
        <f t="shared" si="134"/>
        <v>-120.72855156542607</v>
      </c>
      <c r="AG118" s="72">
        <f t="shared" si="134"/>
        <v>-128.06421886803918</v>
      </c>
      <c r="AH118" s="72">
        <f t="shared" si="134"/>
        <v>-135.88808730625726</v>
      </c>
      <c r="AI118" s="72">
        <f t="shared" si="134"/>
        <v>-144.22910727227645</v>
      </c>
      <c r="AJ118" s="72">
        <f t="shared" si="134"/>
        <v>-153.13352690696274</v>
      </c>
      <c r="AK118" s="72">
        <f t="shared" ref="AK118:BD118" si="135">SUM(AK119:AK122)</f>
        <v>-162.63636322266564</v>
      </c>
      <c r="AL118" s="72">
        <f t="shared" si="135"/>
        <v>-172.77982114387373</v>
      </c>
      <c r="AM118" s="72">
        <f t="shared" si="135"/>
        <v>-183.61134597354203</v>
      </c>
      <c r="AN118" s="72">
        <f t="shared" si="135"/>
        <v>-195.17862299677176</v>
      </c>
      <c r="AO118" s="72">
        <f t="shared" si="135"/>
        <v>-207.53430375853554</v>
      </c>
      <c r="AP118" s="72">
        <f t="shared" si="135"/>
        <v>-220.73506633180671</v>
      </c>
      <c r="AQ118" s="72">
        <f t="shared" si="135"/>
        <v>-234.84108827994385</v>
      </c>
      <c r="AR118" s="72">
        <f t="shared" si="135"/>
        <v>-249.9173766073493</v>
      </c>
      <c r="AS118" s="72">
        <f t="shared" si="135"/>
        <v>-266.03368384514351</v>
      </c>
      <c r="AT118" s="72">
        <f t="shared" si="135"/>
        <v>-279.7313354900989</v>
      </c>
      <c r="AU118" s="72">
        <f t="shared" si="135"/>
        <v>-216.34574029638611</v>
      </c>
      <c r="AV118" s="72">
        <f t="shared" si="135"/>
        <v>-225.70895429481243</v>
      </c>
      <c r="AW118" s="72">
        <f t="shared" si="135"/>
        <v>-235.48419758915611</v>
      </c>
      <c r="AX118" s="72">
        <f t="shared" si="135"/>
        <v>-245.68978713007732</v>
      </c>
      <c r="AY118" s="72">
        <f t="shared" si="135"/>
        <v>-256.34484940839366</v>
      </c>
      <c r="AZ118" s="72">
        <f t="shared" si="135"/>
        <v>-267.46936355964476</v>
      </c>
      <c r="BA118" s="72">
        <f t="shared" si="135"/>
        <v>-279.08420633991909</v>
      </c>
      <c r="BB118" s="72">
        <f t="shared" si="135"/>
        <v>-291.21118520257505</v>
      </c>
      <c r="BC118" s="72">
        <f t="shared" si="135"/>
        <v>-303.87308255373341</v>
      </c>
      <c r="BD118" s="72">
        <f t="shared" si="135"/>
        <v>-317.0937003003221</v>
      </c>
    </row>
    <row r="119" spans="2:56" x14ac:dyDescent="0.3">
      <c r="B119" s="95" t="s">
        <v>188</v>
      </c>
      <c r="E119" s="73">
        <f t="shared" ref="E119:AJ119" si="136">D9-E9</f>
        <v>0</v>
      </c>
      <c r="F119" s="73">
        <f t="shared" si="136"/>
        <v>0</v>
      </c>
      <c r="G119" s="73">
        <f t="shared" si="136"/>
        <v>-448.3</v>
      </c>
      <c r="H119" s="73">
        <f t="shared" si="136"/>
        <v>-3.3999999999999773</v>
      </c>
      <c r="I119" s="73">
        <f t="shared" si="136"/>
        <v>-61.599999999999966</v>
      </c>
      <c r="J119" s="73">
        <f t="shared" si="136"/>
        <v>-9.1890000000000782</v>
      </c>
      <c r="K119" s="73">
        <f t="shared" si="136"/>
        <v>13.663000000000011</v>
      </c>
      <c r="L119" s="73">
        <f t="shared" si="136"/>
        <v>15.617999999999995</v>
      </c>
      <c r="M119" s="73">
        <f t="shared" si="136"/>
        <v>-4.4389999999999645</v>
      </c>
      <c r="N119" s="73">
        <f t="shared" si="136"/>
        <v>-53.492999999999995</v>
      </c>
      <c r="O119" s="73">
        <f t="shared" si="136"/>
        <v>3.5037447042508347</v>
      </c>
      <c r="P119" s="73">
        <f t="shared" si="136"/>
        <v>-38.266533873250069</v>
      </c>
      <c r="Q119" s="73">
        <f t="shared" si="136"/>
        <v>-38.196708333619313</v>
      </c>
      <c r="R119" s="73">
        <f t="shared" si="136"/>
        <v>-26.197818015893859</v>
      </c>
      <c r="S119" s="73">
        <f t="shared" si="136"/>
        <v>-40.184615368042842</v>
      </c>
      <c r="T119" s="73">
        <f t="shared" si="136"/>
        <v>-39.595228786773305</v>
      </c>
      <c r="U119" s="73">
        <f t="shared" si="136"/>
        <v>-39.949909352675263</v>
      </c>
      <c r="V119" s="73">
        <f t="shared" si="136"/>
        <v>-45.430336876373417</v>
      </c>
      <c r="W119" s="73">
        <f t="shared" si="136"/>
        <v>-47.345055199111471</v>
      </c>
      <c r="X119" s="73">
        <f t="shared" si="136"/>
        <v>-50.288137271227242</v>
      </c>
      <c r="Y119" s="73">
        <f t="shared" si="136"/>
        <v>-54.293945770252662</v>
      </c>
      <c r="Z119" s="73">
        <f t="shared" si="136"/>
        <v>-57.657855263438137</v>
      </c>
      <c r="AA119" s="73">
        <f t="shared" si="136"/>
        <v>-52.6790224165768</v>
      </c>
      <c r="AB119" s="73">
        <f t="shared" si="136"/>
        <v>-55.337848929089887</v>
      </c>
      <c r="AC119" s="73">
        <f t="shared" si="136"/>
        <v>-58.53832846466139</v>
      </c>
      <c r="AD119" s="73">
        <f t="shared" si="136"/>
        <v>-62.050401656109671</v>
      </c>
      <c r="AE119" s="73">
        <f t="shared" si="136"/>
        <v>-65.796552594444165</v>
      </c>
      <c r="AF119" s="73">
        <f t="shared" si="136"/>
        <v>-69.750763694143643</v>
      </c>
      <c r="AG119" s="73">
        <f t="shared" si="136"/>
        <v>-73.99396853259077</v>
      </c>
      <c r="AH119" s="73">
        <f t="shared" si="136"/>
        <v>-78.515582552795422</v>
      </c>
      <c r="AI119" s="73">
        <f t="shared" si="136"/>
        <v>-83.332371602424928</v>
      </c>
      <c r="AJ119" s="73">
        <f t="shared" si="136"/>
        <v>-88.478588387155924</v>
      </c>
      <c r="AK119" s="73">
        <f t="shared" ref="AK119:BD119" si="137">AJ9-AK9</f>
        <v>-93.96916259728755</v>
      </c>
      <c r="AL119" s="73">
        <f t="shared" si="137"/>
        <v>-99.829415553710078</v>
      </c>
      <c r="AM119" s="73">
        <f t="shared" si="137"/>
        <v>-106.08806787583421</v>
      </c>
      <c r="AN119" s="73">
        <f t="shared" si="137"/>
        <v>-112.77140524934725</v>
      </c>
      <c r="AO119" s="73">
        <f t="shared" si="137"/>
        <v>-119.9102541623738</v>
      </c>
      <c r="AP119" s="73">
        <f t="shared" si="137"/>
        <v>-127.53754761323034</v>
      </c>
      <c r="AQ119" s="73">
        <f t="shared" si="137"/>
        <v>-135.687774363279</v>
      </c>
      <c r="AR119" s="73">
        <f t="shared" si="137"/>
        <v>-144.39862341969365</v>
      </c>
      <c r="AS119" s="73">
        <f t="shared" si="137"/>
        <v>-153.71041058320134</v>
      </c>
      <c r="AT119" s="73">
        <f t="shared" si="137"/>
        <v>-161.6247061631725</v>
      </c>
      <c r="AU119" s="73">
        <f t="shared" si="137"/>
        <v>-125.00142812028707</v>
      </c>
      <c r="AV119" s="73">
        <f t="shared" si="137"/>
        <v>-130.41136108416231</v>
      </c>
      <c r="AW119" s="73">
        <f t="shared" si="137"/>
        <v>-136.05935248482365</v>
      </c>
      <c r="AX119" s="73">
        <f t="shared" si="137"/>
        <v>-141.95599434164524</v>
      </c>
      <c r="AY119" s="73">
        <f t="shared" si="137"/>
        <v>-148.11233540547164</v>
      </c>
      <c r="AZ119" s="73">
        <f t="shared" si="137"/>
        <v>-154.53991773146117</v>
      </c>
      <c r="BA119" s="73">
        <f t="shared" si="137"/>
        <v>-161.25080553535736</v>
      </c>
      <c r="BB119" s="73">
        <f t="shared" si="137"/>
        <v>-168.25759808625298</v>
      </c>
      <c r="BC119" s="73">
        <f t="shared" si="137"/>
        <v>-175.57345855816311</v>
      </c>
      <c r="BD119" s="73">
        <f t="shared" si="137"/>
        <v>-183.21213974118655</v>
      </c>
    </row>
    <row r="120" spans="2:56" x14ac:dyDescent="0.3">
      <c r="B120" s="95" t="s">
        <v>189</v>
      </c>
      <c r="E120" s="73">
        <f t="shared" ref="E120:AJ120" si="138">D10-E10</f>
        <v>0</v>
      </c>
      <c r="F120" s="73">
        <f t="shared" si="138"/>
        <v>0</v>
      </c>
      <c r="G120" s="73">
        <f t="shared" si="138"/>
        <v>-698.5</v>
      </c>
      <c r="H120" s="73">
        <f t="shared" si="138"/>
        <v>110</v>
      </c>
      <c r="I120" s="73">
        <f t="shared" si="138"/>
        <v>29.5</v>
      </c>
      <c r="J120" s="73">
        <f t="shared" si="138"/>
        <v>-30.566000000000031</v>
      </c>
      <c r="K120" s="73">
        <f t="shared" si="138"/>
        <v>-68.425999999999931</v>
      </c>
      <c r="L120" s="73">
        <f t="shared" si="138"/>
        <v>97.756999999999948</v>
      </c>
      <c r="M120" s="73">
        <f t="shared" si="138"/>
        <v>22.060000000000059</v>
      </c>
      <c r="N120" s="73">
        <f t="shared" si="138"/>
        <v>-34.446000000000026</v>
      </c>
      <c r="O120" s="73">
        <f t="shared" si="138"/>
        <v>-20.610616739305101</v>
      </c>
      <c r="P120" s="73">
        <f t="shared" si="138"/>
        <v>-32.033328646024756</v>
      </c>
      <c r="Q120" s="73">
        <f t="shared" si="138"/>
        <v>-37.907512349651711</v>
      </c>
      <c r="R120" s="73">
        <f t="shared" si="138"/>
        <v>-33.23321036536629</v>
      </c>
      <c r="S120" s="73">
        <f t="shared" si="138"/>
        <v>-40.254957479755035</v>
      </c>
      <c r="T120" s="73">
        <f t="shared" si="138"/>
        <v>-42.169728802996588</v>
      </c>
      <c r="U120" s="73">
        <f t="shared" si="138"/>
        <v>-43.698240193822471</v>
      </c>
      <c r="V120" s="73">
        <f t="shared" si="138"/>
        <v>-47.791872147426261</v>
      </c>
      <c r="W120" s="73">
        <f t="shared" si="138"/>
        <v>-50.645457498643509</v>
      </c>
      <c r="X120" s="73">
        <f t="shared" si="138"/>
        <v>-53.871458956713354</v>
      </c>
      <c r="Y120" s="73">
        <f t="shared" si="138"/>
        <v>-57.785960139438885</v>
      </c>
      <c r="Z120" s="73">
        <f t="shared" si="138"/>
        <v>-61.60070085324719</v>
      </c>
      <c r="AA120" s="73">
        <f t="shared" si="138"/>
        <v>-56.262879085442364</v>
      </c>
      <c r="AB120" s="73">
        <f t="shared" si="138"/>
        <v>-59.034108623234943</v>
      </c>
      <c r="AC120" s="73">
        <f t="shared" si="138"/>
        <v>-62.506222262115898</v>
      </c>
      <c r="AD120" s="73">
        <f t="shared" si="138"/>
        <v>-66.241075577406491</v>
      </c>
      <c r="AE120" s="73">
        <f t="shared" si="138"/>
        <v>-70.229574221433495</v>
      </c>
      <c r="AF120" s="73">
        <f t="shared" si="138"/>
        <v>-74.463309935712914</v>
      </c>
      <c r="AG120" s="73">
        <f t="shared" si="138"/>
        <v>-78.987928532540764</v>
      </c>
      <c r="AH120" s="73">
        <f t="shared" si="138"/>
        <v>-83.813563432205228</v>
      </c>
      <c r="AI120" s="73">
        <f t="shared" si="138"/>
        <v>-88.958130392830753</v>
      </c>
      <c r="AJ120" s="73">
        <f t="shared" si="138"/>
        <v>-94.450256399503587</v>
      </c>
      <c r="AK120" s="73">
        <f t="shared" ref="AK120:BD120" si="139">AJ10-AK10</f>
        <v>-100.31144576056477</v>
      </c>
      <c r="AL120" s="73">
        <f t="shared" si="139"/>
        <v>-106.56775780758312</v>
      </c>
      <c r="AM120" s="73">
        <f t="shared" si="139"/>
        <v>-113.24847102298645</v>
      </c>
      <c r="AN120" s="73">
        <f t="shared" si="139"/>
        <v>-120.38297597267274</v>
      </c>
      <c r="AO120" s="73">
        <f t="shared" si="139"/>
        <v>-128.00375642386643</v>
      </c>
      <c r="AP120" s="73">
        <f t="shared" si="139"/>
        <v>-136.14577181713958</v>
      </c>
      <c r="AQ120" s="73">
        <f t="shared" si="139"/>
        <v>-144.84613434482344</v>
      </c>
      <c r="AR120" s="73">
        <f t="shared" si="139"/>
        <v>-154.14494182279395</v>
      </c>
      <c r="AS120" s="73">
        <f t="shared" si="139"/>
        <v>-164.08521628186463</v>
      </c>
      <c r="AT120" s="73">
        <f t="shared" si="139"/>
        <v>-172.53370315087432</v>
      </c>
      <c r="AU120" s="73">
        <f t="shared" si="139"/>
        <v>-133.43850688324756</v>
      </c>
      <c r="AV120" s="73">
        <f t="shared" si="139"/>
        <v>-139.21358387577448</v>
      </c>
      <c r="AW120" s="73">
        <f t="shared" si="139"/>
        <v>-145.24279368974385</v>
      </c>
      <c r="AX120" s="73">
        <f t="shared" si="139"/>
        <v>-151.53743406884269</v>
      </c>
      <c r="AY120" s="73">
        <f t="shared" si="139"/>
        <v>-158.10930186351698</v>
      </c>
      <c r="AZ120" s="73">
        <f t="shared" si="139"/>
        <v>-164.97071986193032</v>
      </c>
      <c r="BA120" s="73">
        <f t="shared" si="139"/>
        <v>-172.13456453578647</v>
      </c>
      <c r="BB120" s="73">
        <f t="shared" si="139"/>
        <v>-179.61428634908498</v>
      </c>
      <c r="BC120" s="73">
        <f t="shared" si="139"/>
        <v>-187.42393711641944</v>
      </c>
      <c r="BD120" s="73">
        <f t="shared" si="139"/>
        <v>-195.57819746970563</v>
      </c>
    </row>
    <row r="121" spans="2:56" x14ac:dyDescent="0.3">
      <c r="B121" s="95" t="s">
        <v>190</v>
      </c>
      <c r="E121" s="73">
        <f t="shared" ref="E121:AJ121" si="140">-(D28-E28)</f>
        <v>0</v>
      </c>
      <c r="F121" s="73">
        <f t="shared" si="140"/>
        <v>0</v>
      </c>
      <c r="G121" s="73">
        <f t="shared" si="140"/>
        <v>231</v>
      </c>
      <c r="H121" s="73">
        <f t="shared" si="140"/>
        <v>-44.512</v>
      </c>
      <c r="I121" s="73">
        <f t="shared" si="140"/>
        <v>7.5120000000000005</v>
      </c>
      <c r="J121" s="73">
        <f t="shared" si="140"/>
        <v>-26.900000000000006</v>
      </c>
      <c r="K121" s="73">
        <f t="shared" si="140"/>
        <v>-14.943999999999988</v>
      </c>
      <c r="L121" s="73">
        <f t="shared" si="140"/>
        <v>-8.1160000000000139</v>
      </c>
      <c r="M121" s="73">
        <f t="shared" si="140"/>
        <v>19.224999999999994</v>
      </c>
      <c r="N121" s="73">
        <f t="shared" si="140"/>
        <v>32.455000000000013</v>
      </c>
      <c r="O121" s="73">
        <f t="shared" si="140"/>
        <v>-16.918479929424592</v>
      </c>
      <c r="P121" s="73">
        <f t="shared" si="140"/>
        <v>18.658026124137933</v>
      </c>
      <c r="Q121" s="73">
        <f t="shared" si="140"/>
        <v>14.664138280937692</v>
      </c>
      <c r="R121" s="73">
        <f t="shared" si="140"/>
        <v>5.426984362563104</v>
      </c>
      <c r="S121" s="73">
        <f t="shared" si="140"/>
        <v>15.252509925103368</v>
      </c>
      <c r="T121" s="73">
        <f t="shared" si="140"/>
        <v>13.38461745626276</v>
      </c>
      <c r="U121" s="73">
        <f t="shared" si="140"/>
        <v>12.777250618262713</v>
      </c>
      <c r="V121" s="73">
        <f t="shared" si="140"/>
        <v>15.756013525871367</v>
      </c>
      <c r="W121" s="73">
        <f t="shared" si="140"/>
        <v>15.872928672938826</v>
      </c>
      <c r="X121" s="73">
        <f t="shared" si="140"/>
        <v>16.813581612909445</v>
      </c>
      <c r="Y121" s="73">
        <f t="shared" si="140"/>
        <v>18.395161774494909</v>
      </c>
      <c r="Z121" s="73">
        <f t="shared" si="140"/>
        <v>19.382616786050335</v>
      </c>
      <c r="AA121" s="73">
        <f t="shared" si="140"/>
        <v>17.721745234060393</v>
      </c>
      <c r="AB121" s="73">
        <f t="shared" si="140"/>
        <v>18.660056508041748</v>
      </c>
      <c r="AC121" s="73">
        <f t="shared" si="140"/>
        <v>19.701802724123013</v>
      </c>
      <c r="AD121" s="73">
        <f t="shared" si="140"/>
        <v>20.893907037638655</v>
      </c>
      <c r="AE121" s="73">
        <f t="shared" si="140"/>
        <v>22.162101171539291</v>
      </c>
      <c r="AF121" s="73">
        <f t="shared" si="140"/>
        <v>23.485522064430484</v>
      </c>
      <c r="AG121" s="73">
        <f t="shared" si="140"/>
        <v>24.917678197092357</v>
      </c>
      <c r="AH121" s="73">
        <f t="shared" si="140"/>
        <v>26.441058678743389</v>
      </c>
      <c r="AI121" s="73">
        <f t="shared" si="140"/>
        <v>28.06139472297923</v>
      </c>
      <c r="AJ121" s="73">
        <f t="shared" si="140"/>
        <v>29.795317879696768</v>
      </c>
      <c r="AK121" s="73">
        <f t="shared" ref="AK121:BD121" si="141">-(AJ28-AK28)</f>
        <v>31.644245135186679</v>
      </c>
      <c r="AL121" s="73">
        <f t="shared" si="141"/>
        <v>33.617352217419466</v>
      </c>
      <c r="AM121" s="73">
        <f t="shared" si="141"/>
        <v>35.725192925278634</v>
      </c>
      <c r="AN121" s="73">
        <f t="shared" si="141"/>
        <v>37.975758225248228</v>
      </c>
      <c r="AO121" s="73">
        <f t="shared" si="141"/>
        <v>40.379706827704695</v>
      </c>
      <c r="AP121" s="73">
        <f t="shared" si="141"/>
        <v>42.948253098563214</v>
      </c>
      <c r="AQ121" s="73">
        <f t="shared" si="141"/>
        <v>45.692820428158598</v>
      </c>
      <c r="AR121" s="73">
        <f t="shared" si="141"/>
        <v>48.626188635138305</v>
      </c>
      <c r="AS121" s="73">
        <f t="shared" si="141"/>
        <v>51.761943019922455</v>
      </c>
      <c r="AT121" s="73">
        <f t="shared" si="141"/>
        <v>54.427073823947921</v>
      </c>
      <c r="AU121" s="73">
        <f t="shared" si="141"/>
        <v>42.094194707148517</v>
      </c>
      <c r="AV121" s="73">
        <f t="shared" si="141"/>
        <v>43.915990665124355</v>
      </c>
      <c r="AW121" s="73">
        <f t="shared" si="141"/>
        <v>45.817948585411386</v>
      </c>
      <c r="AX121" s="73">
        <f t="shared" si="141"/>
        <v>47.803641280410602</v>
      </c>
      <c r="AY121" s="73">
        <f t="shared" si="141"/>
        <v>49.876787860594959</v>
      </c>
      <c r="AZ121" s="73">
        <f t="shared" si="141"/>
        <v>52.041274033746731</v>
      </c>
      <c r="BA121" s="73">
        <f t="shared" si="141"/>
        <v>54.301163731224733</v>
      </c>
      <c r="BB121" s="73">
        <f t="shared" si="141"/>
        <v>56.660699232762909</v>
      </c>
      <c r="BC121" s="73">
        <f t="shared" si="141"/>
        <v>59.124313120849138</v>
      </c>
      <c r="BD121" s="73">
        <f t="shared" si="141"/>
        <v>61.696636910570078</v>
      </c>
    </row>
    <row r="122" spans="2:56" x14ac:dyDescent="0.3">
      <c r="B122" s="95" t="s">
        <v>191</v>
      </c>
      <c r="E122" s="73">
        <f t="shared" ref="E122:AJ122" si="142">D33-E33</f>
        <v>0</v>
      </c>
      <c r="F122" s="73">
        <f t="shared" si="142"/>
        <v>0</v>
      </c>
      <c r="G122" s="73">
        <f t="shared" si="142"/>
        <v>-63.8</v>
      </c>
      <c r="H122" s="73">
        <f t="shared" si="142"/>
        <v>4.6999999999999957</v>
      </c>
      <c r="I122" s="73">
        <f t="shared" si="142"/>
        <v>-6.1000000000000014</v>
      </c>
      <c r="J122" s="73">
        <f t="shared" si="142"/>
        <v>1.5</v>
      </c>
      <c r="K122" s="73">
        <f t="shared" si="142"/>
        <v>-8.6820000000000022</v>
      </c>
      <c r="L122" s="73">
        <f t="shared" si="142"/>
        <v>3.9930000000000092</v>
      </c>
      <c r="M122" s="73">
        <f t="shared" si="142"/>
        <v>-4.855000000000004</v>
      </c>
      <c r="N122" s="73">
        <f t="shared" si="142"/>
        <v>-26.031000000000006</v>
      </c>
      <c r="O122" s="73">
        <f t="shared" si="142"/>
        <v>0</v>
      </c>
      <c r="P122" s="73">
        <f t="shared" si="142"/>
        <v>0</v>
      </c>
      <c r="Q122" s="73">
        <f t="shared" si="142"/>
        <v>0</v>
      </c>
      <c r="R122" s="73">
        <f t="shared" si="142"/>
        <v>0</v>
      </c>
      <c r="S122" s="73">
        <f t="shared" si="142"/>
        <v>0</v>
      </c>
      <c r="T122" s="73">
        <f t="shared" si="142"/>
        <v>0</v>
      </c>
      <c r="U122" s="73">
        <f t="shared" si="142"/>
        <v>0</v>
      </c>
      <c r="V122" s="73">
        <f t="shared" si="142"/>
        <v>0</v>
      </c>
      <c r="W122" s="73">
        <f t="shared" si="142"/>
        <v>0</v>
      </c>
      <c r="X122" s="73">
        <f t="shared" si="142"/>
        <v>0</v>
      </c>
      <c r="Y122" s="73">
        <f t="shared" si="142"/>
        <v>0</v>
      </c>
      <c r="Z122" s="73">
        <f t="shared" si="142"/>
        <v>0</v>
      </c>
      <c r="AA122" s="73">
        <f t="shared" si="142"/>
        <v>0</v>
      </c>
      <c r="AB122" s="73">
        <f t="shared" si="142"/>
        <v>0</v>
      </c>
      <c r="AC122" s="73">
        <f t="shared" si="142"/>
        <v>0</v>
      </c>
      <c r="AD122" s="73">
        <f t="shared" si="142"/>
        <v>0</v>
      </c>
      <c r="AE122" s="73">
        <f t="shared" si="142"/>
        <v>0</v>
      </c>
      <c r="AF122" s="73">
        <f t="shared" si="142"/>
        <v>0</v>
      </c>
      <c r="AG122" s="73">
        <f t="shared" si="142"/>
        <v>0</v>
      </c>
      <c r="AH122" s="73">
        <f t="shared" si="142"/>
        <v>0</v>
      </c>
      <c r="AI122" s="73">
        <f t="shared" si="142"/>
        <v>0</v>
      </c>
      <c r="AJ122" s="73">
        <f t="shared" si="142"/>
        <v>0</v>
      </c>
      <c r="AK122" s="73">
        <f t="shared" ref="AK122:BD122" si="143">AJ33-AK33</f>
        <v>0</v>
      </c>
      <c r="AL122" s="73">
        <f t="shared" si="143"/>
        <v>0</v>
      </c>
      <c r="AM122" s="73">
        <f t="shared" si="143"/>
        <v>0</v>
      </c>
      <c r="AN122" s="73">
        <f t="shared" si="143"/>
        <v>0</v>
      </c>
      <c r="AO122" s="73">
        <f t="shared" si="143"/>
        <v>0</v>
      </c>
      <c r="AP122" s="73">
        <f t="shared" si="143"/>
        <v>0</v>
      </c>
      <c r="AQ122" s="73">
        <f t="shared" si="143"/>
        <v>0</v>
      </c>
      <c r="AR122" s="73">
        <f t="shared" si="143"/>
        <v>0</v>
      </c>
      <c r="AS122" s="73">
        <f t="shared" si="143"/>
        <v>0</v>
      </c>
      <c r="AT122" s="73">
        <f t="shared" si="143"/>
        <v>0</v>
      </c>
      <c r="AU122" s="73">
        <f t="shared" si="143"/>
        <v>0</v>
      </c>
      <c r="AV122" s="73">
        <f t="shared" si="143"/>
        <v>0</v>
      </c>
      <c r="AW122" s="73">
        <f t="shared" si="143"/>
        <v>0</v>
      </c>
      <c r="AX122" s="73">
        <f t="shared" si="143"/>
        <v>0</v>
      </c>
      <c r="AY122" s="73">
        <f t="shared" si="143"/>
        <v>0</v>
      </c>
      <c r="AZ122" s="73">
        <f t="shared" si="143"/>
        <v>0</v>
      </c>
      <c r="BA122" s="73">
        <f t="shared" si="143"/>
        <v>0</v>
      </c>
      <c r="BB122" s="73">
        <f t="shared" si="143"/>
        <v>0</v>
      </c>
      <c r="BC122" s="73">
        <f t="shared" si="143"/>
        <v>0</v>
      </c>
      <c r="BD122" s="73">
        <f t="shared" si="143"/>
        <v>0</v>
      </c>
    </row>
    <row r="123" spans="2:56" x14ac:dyDescent="0.3">
      <c r="B123" s="94" t="s">
        <v>181</v>
      </c>
      <c r="E123" s="73">
        <f t="shared" ref="E123:AJ123" si="144">-CAPEX</f>
        <v>0</v>
      </c>
      <c r="F123" s="73">
        <f t="shared" si="144"/>
        <v>0</v>
      </c>
      <c r="G123" s="73">
        <f t="shared" si="144"/>
        <v>-112.5</v>
      </c>
      <c r="H123" s="73">
        <f t="shared" si="144"/>
        <v>-62.5</v>
      </c>
      <c r="I123" s="73">
        <f t="shared" si="144"/>
        <v>-59.3</v>
      </c>
      <c r="J123" s="73">
        <f t="shared" si="144"/>
        <v>-55.300000000000004</v>
      </c>
      <c r="K123" s="73">
        <f t="shared" si="144"/>
        <v>-42.199999999999996</v>
      </c>
      <c r="L123" s="73">
        <f t="shared" si="144"/>
        <v>-73.716999999999999</v>
      </c>
      <c r="M123" s="73">
        <f t="shared" si="144"/>
        <v>-71.222999999999999</v>
      </c>
      <c r="N123" s="73">
        <f t="shared" si="144"/>
        <v>-40.479999999999997</v>
      </c>
      <c r="O123" s="73">
        <f t="shared" si="144"/>
        <v>-72.046510975492353</v>
      </c>
      <c r="P123" s="73">
        <f t="shared" si="144"/>
        <v>-75.46562324910569</v>
      </c>
      <c r="Q123" s="73">
        <f t="shared" si="144"/>
        <v>-79.635792367699722</v>
      </c>
      <c r="R123" s="73">
        <f t="shared" si="144"/>
        <v>-84.083255696568699</v>
      </c>
      <c r="S123" s="73">
        <f t="shared" si="144"/>
        <v>-88.770941510732555</v>
      </c>
      <c r="T123" s="73">
        <f t="shared" si="144"/>
        <v>-93.803542077954731</v>
      </c>
      <c r="U123" s="73">
        <f t="shared" si="144"/>
        <v>-99.165303818422927</v>
      </c>
      <c r="V123" s="73">
        <f t="shared" si="144"/>
        <v>-104.87580814281992</v>
      </c>
      <c r="W123" s="73">
        <f t="shared" si="144"/>
        <v>-110.97809622176567</v>
      </c>
      <c r="X123" s="73">
        <f t="shared" si="144"/>
        <v>-117.48931048307354</v>
      </c>
      <c r="Y123" s="73">
        <f t="shared" si="144"/>
        <v>-124.44017349183093</v>
      </c>
      <c r="Z123" s="73">
        <f t="shared" si="144"/>
        <v>-131.86588038527699</v>
      </c>
      <c r="AA123" s="73">
        <f t="shared" si="144"/>
        <v>-138.64962448276012</v>
      </c>
      <c r="AB123" s="73">
        <f t="shared" si="144"/>
        <v>-145.76078984006051</v>
      </c>
      <c r="AC123" s="73">
        <f t="shared" si="144"/>
        <v>-153.29450166033095</v>
      </c>
      <c r="AD123" s="73">
        <f t="shared" si="144"/>
        <v>-161.27783594829626</v>
      </c>
      <c r="AE123" s="73">
        <f t="shared" si="144"/>
        <v>-169.74064597399112</v>
      </c>
      <c r="AF123" s="73">
        <f t="shared" si="144"/>
        <v>-178.7146783128471</v>
      </c>
      <c r="AG123" s="73">
        <f t="shared" si="144"/>
        <v>-188.23371355636075</v>
      </c>
      <c r="AH123" s="73">
        <f t="shared" si="144"/>
        <v>-198.33411200142001</v>
      </c>
      <c r="AI123" s="73">
        <f t="shared" si="144"/>
        <v>-209.05472073662972</v>
      </c>
      <c r="AJ123" s="73">
        <f t="shared" si="144"/>
        <v>-220.43710438819372</v>
      </c>
      <c r="AK123" s="73">
        <f t="shared" ref="AK123:BD123" si="145">-CAPEX</f>
        <v>-232.52581209012669</v>
      </c>
      <c r="AL123" s="73">
        <f t="shared" si="145"/>
        <v>-245.36852859190836</v>
      </c>
      <c r="AM123" s="73">
        <f t="shared" si="145"/>
        <v>-259.01632482366153</v>
      </c>
      <c r="AN123" s="73">
        <f t="shared" si="145"/>
        <v>-273.52391541221272</v>
      </c>
      <c r="AO123" s="73">
        <f t="shared" si="145"/>
        <v>-288.94991087971653</v>
      </c>
      <c r="AP123" s="73">
        <f t="shared" si="145"/>
        <v>-305.35711019599074</v>
      </c>
      <c r="AQ123" s="73">
        <f t="shared" si="145"/>
        <v>-322.81280908137524</v>
      </c>
      <c r="AR123" s="73">
        <f t="shared" si="145"/>
        <v>-341.38912757206214</v>
      </c>
      <c r="AS123" s="73">
        <f t="shared" si="145"/>
        <v>-361.16336693685378</v>
      </c>
      <c r="AT123" s="73">
        <f t="shared" si="145"/>
        <v>-381.95575102463124</v>
      </c>
      <c r="AU123" s="73">
        <f t="shared" si="145"/>
        <v>-398.0366944765139</v>
      </c>
      <c r="AV123" s="73">
        <f t="shared" si="145"/>
        <v>-414.8136037354634</v>
      </c>
      <c r="AW123" s="73">
        <f t="shared" si="145"/>
        <v>-432.31710538233511</v>
      </c>
      <c r="AX123" s="73">
        <f t="shared" si="145"/>
        <v>-450.5791868309467</v>
      </c>
      <c r="AY123" s="73">
        <f t="shared" si="145"/>
        <v>-469.63325723626161</v>
      </c>
      <c r="AZ123" s="73">
        <f t="shared" si="145"/>
        <v>-489.51421098894031</v>
      </c>
      <c r="BA123" s="73">
        <f t="shared" si="145"/>
        <v>-510.25849408742789</v>
      </c>
      <c r="BB123" s="73">
        <f t="shared" si="145"/>
        <v>-531.90417351566327</v>
      </c>
      <c r="BC123" s="73">
        <f t="shared" si="145"/>
        <v>-554.49100969877759</v>
      </c>
      <c r="BD123" s="73">
        <f t="shared" si="145"/>
        <v>-578.06053221890488</v>
      </c>
    </row>
    <row r="124" spans="2:56" x14ac:dyDescent="0.3">
      <c r="B124" s="94" t="s">
        <v>201</v>
      </c>
      <c r="E124" s="73">
        <f t="shared" ref="E124:AJ124" si="146">ImpostoRenda</f>
        <v>0</v>
      </c>
      <c r="F124" s="73">
        <f t="shared" si="146"/>
        <v>0</v>
      </c>
      <c r="G124" s="73">
        <f t="shared" si="146"/>
        <v>-92.4</v>
      </c>
      <c r="H124" s="73">
        <f t="shared" si="146"/>
        <v>-2.6999999999999997</v>
      </c>
      <c r="I124" s="73">
        <f t="shared" si="146"/>
        <v>-3.1999999999999997</v>
      </c>
      <c r="J124" s="73">
        <f t="shared" si="146"/>
        <v>7.3</v>
      </c>
      <c r="K124" s="73">
        <f t="shared" si="146"/>
        <v>-12.992999999999999</v>
      </c>
      <c r="L124" s="73">
        <f t="shared" si="146"/>
        <v>58.253</v>
      </c>
      <c r="M124" s="73">
        <f t="shared" si="146"/>
        <v>25.965</v>
      </c>
      <c r="N124" s="73">
        <f t="shared" si="146"/>
        <v>55.73</v>
      </c>
      <c r="O124" s="73">
        <f t="shared" si="146"/>
        <v>-21.878486013163492</v>
      </c>
      <c r="P124" s="73">
        <f t="shared" si="146"/>
        <v>-25.592261929749696</v>
      </c>
      <c r="Q124" s="73">
        <f t="shared" si="146"/>
        <v>-30.889769022524021</v>
      </c>
      <c r="R124" s="73">
        <f t="shared" si="146"/>
        <v>-37.229179842267051</v>
      </c>
      <c r="S124" s="73">
        <f t="shared" si="146"/>
        <v>-42.34868363381689</v>
      </c>
      <c r="T124" s="73">
        <f t="shared" si="146"/>
        <v>-71.717996099848577</v>
      </c>
      <c r="U124" s="73">
        <f t="shared" si="146"/>
        <v>-79.695191791191476</v>
      </c>
      <c r="V124" s="73">
        <f t="shared" si="146"/>
        <v>-87.094498539716596</v>
      </c>
      <c r="W124" s="73">
        <f t="shared" si="146"/>
        <v>-94.844561197609764</v>
      </c>
      <c r="X124" s="73">
        <f t="shared" si="146"/>
        <v>-102.95963833116541</v>
      </c>
      <c r="Y124" s="73">
        <f t="shared" si="146"/>
        <v>-111.64813890585282</v>
      </c>
      <c r="Z124" s="73">
        <f t="shared" si="146"/>
        <v>-120.85920607417117</v>
      </c>
      <c r="AA124" s="73">
        <f t="shared" si="146"/>
        <v>-128.90788565136455</v>
      </c>
      <c r="AB124" s="73">
        <f t="shared" si="146"/>
        <v>-137.5517422791969</v>
      </c>
      <c r="AC124" s="73">
        <f t="shared" si="146"/>
        <v>-146.73088774195384</v>
      </c>
      <c r="AD124" s="73">
        <f t="shared" si="146"/>
        <v>-156.47397696213542</v>
      </c>
      <c r="AE124" s="73">
        <f t="shared" si="146"/>
        <v>-166.82821933800469</v>
      </c>
      <c r="AF124" s="73">
        <f t="shared" si="146"/>
        <v>-177.82964268357298</v>
      </c>
      <c r="AG124" s="73">
        <f t="shared" si="146"/>
        <v>-189.52711998157866</v>
      </c>
      <c r="AH124" s="73">
        <f t="shared" si="146"/>
        <v>-201.97081175020216</v>
      </c>
      <c r="AI124" s="73">
        <f t="shared" si="146"/>
        <v>-215.21147471827234</v>
      </c>
      <c r="AJ124" s="73">
        <f t="shared" si="146"/>
        <v>-229.3059849385219</v>
      </c>
      <c r="AK124" s="73">
        <f t="shared" ref="AK124:BD124" si="147">ImpostoRenda</f>
        <v>-244.31418867190595</v>
      </c>
      <c r="AL124" s="73">
        <f t="shared" si="147"/>
        <v>-260.2996109735933</v>
      </c>
      <c r="AM124" s="73">
        <f t="shared" si="147"/>
        <v>-277.33079870545208</v>
      </c>
      <c r="AN124" s="73">
        <f t="shared" si="147"/>
        <v>-295.48075574473131</v>
      </c>
      <c r="AO124" s="73">
        <f t="shared" si="147"/>
        <v>-314.82754891415522</v>
      </c>
      <c r="AP124" s="73">
        <f t="shared" si="147"/>
        <v>-335.45486240271492</v>
      </c>
      <c r="AQ124" s="73">
        <f t="shared" si="147"/>
        <v>-357.45219181772217</v>
      </c>
      <c r="AR124" s="73">
        <f t="shared" si="147"/>
        <v>-380.91537552874405</v>
      </c>
      <c r="AS124" s="73">
        <f t="shared" si="147"/>
        <v>-405.94708709409895</v>
      </c>
      <c r="AT124" s="73">
        <f t="shared" si="147"/>
        <v>-432.27361878300445</v>
      </c>
      <c r="AU124" s="73">
        <f t="shared" si="147"/>
        <v>-451.58013034906111</v>
      </c>
      <c r="AV124" s="73">
        <f t="shared" si="147"/>
        <v>-473.02334093733032</v>
      </c>
      <c r="AW124" s="73">
        <f t="shared" si="147"/>
        <v>-495.63873722494122</v>
      </c>
      <c r="AX124" s="73">
        <f t="shared" si="147"/>
        <v>-519.44497056348621</v>
      </c>
      <c r="AY124" s="73">
        <f t="shared" si="147"/>
        <v>-544.48257683779934</v>
      </c>
      <c r="AZ124" s="73">
        <f t="shared" si="147"/>
        <v>-570.7957945387501</v>
      </c>
      <c r="BA124" s="73">
        <f t="shared" si="147"/>
        <v>-598.43221000589699</v>
      </c>
      <c r="BB124" s="73">
        <f t="shared" si="147"/>
        <v>-627.44275410051944</v>
      </c>
      <c r="BC124" s="73">
        <f t="shared" si="147"/>
        <v>-657.88172197878794</v>
      </c>
      <c r="BD124" s="73">
        <f t="shared" si="147"/>
        <v>-689.80680886414132</v>
      </c>
    </row>
    <row r="125" spans="2:56" s="31" customFormat="1" x14ac:dyDescent="0.3">
      <c r="B125" s="110" t="s">
        <v>182</v>
      </c>
      <c r="C125" s="32"/>
      <c r="D125" s="32"/>
      <c r="E125" s="33">
        <f t="shared" ref="E125:AJ125" si="148">E116+E118+E123+E124</f>
        <v>0</v>
      </c>
      <c r="F125" s="33">
        <f t="shared" si="148"/>
        <v>0</v>
      </c>
      <c r="G125" s="33">
        <f t="shared" si="148"/>
        <v>-1122.3999999999999</v>
      </c>
      <c r="H125" s="33">
        <f t="shared" si="148"/>
        <v>181.28800000000001</v>
      </c>
      <c r="I125" s="33">
        <f t="shared" si="148"/>
        <v>61.812000000000353</v>
      </c>
      <c r="J125" s="33">
        <f t="shared" si="148"/>
        <v>76.544999999999945</v>
      </c>
      <c r="K125" s="33">
        <f t="shared" si="148"/>
        <v>99.513000000000034</v>
      </c>
      <c r="L125" s="33">
        <f t="shared" si="148"/>
        <v>340.31900000000013</v>
      </c>
      <c r="M125" s="33">
        <f t="shared" si="148"/>
        <v>241.32800000000034</v>
      </c>
      <c r="N125" s="33">
        <f t="shared" si="148"/>
        <v>178.25900000000016</v>
      </c>
      <c r="O125" s="33">
        <f t="shared" si="148"/>
        <v>209.88103367967764</v>
      </c>
      <c r="P125" s="33">
        <f t="shared" si="148"/>
        <v>193.12333997038579</v>
      </c>
      <c r="Q125" s="33">
        <f t="shared" si="148"/>
        <v>195.16528615184768</v>
      </c>
      <c r="R125" s="33">
        <f t="shared" si="148"/>
        <v>217.87178029070094</v>
      </c>
      <c r="S125" s="33">
        <f t="shared" si="148"/>
        <v>218.07189826201329</v>
      </c>
      <c r="T125" s="33">
        <f t="shared" si="148"/>
        <v>206.36890587940883</v>
      </c>
      <c r="U125" s="33">
        <f t="shared" si="148"/>
        <v>217.77631631736625</v>
      </c>
      <c r="V125" s="33">
        <f t="shared" si="148"/>
        <v>225.96195429652255</v>
      </c>
      <c r="W125" s="33">
        <f t="shared" si="148"/>
        <v>238.00898074090679</v>
      </c>
      <c r="X125" s="33">
        <f t="shared" si="148"/>
        <v>250.42701144091387</v>
      </c>
      <c r="Y125" s="33">
        <f t="shared" si="148"/>
        <v>262.73012639385291</v>
      </c>
      <c r="Z125" s="33">
        <f t="shared" si="148"/>
        <v>276.66458874722616</v>
      </c>
      <c r="AA125" s="33">
        <f t="shared" si="148"/>
        <v>303.40979317662953</v>
      </c>
      <c r="AB125" s="33">
        <f t="shared" si="148"/>
        <v>317.6212179716855</v>
      </c>
      <c r="AC125" s="33">
        <f t="shared" si="148"/>
        <v>331.81413299129309</v>
      </c>
      <c r="AD125" s="33">
        <f t="shared" si="148"/>
        <v>346.73436030385801</v>
      </c>
      <c r="AE125" s="33">
        <f t="shared" si="148"/>
        <v>362.50164935509372</v>
      </c>
      <c r="AF125" s="33">
        <f t="shared" si="148"/>
        <v>379.2246684824546</v>
      </c>
      <c r="AG125" s="33">
        <f t="shared" si="148"/>
        <v>396.91210516191148</v>
      </c>
      <c r="AH125" s="33">
        <f t="shared" si="148"/>
        <v>415.65533167389901</v>
      </c>
      <c r="AI125" s="33">
        <f t="shared" si="148"/>
        <v>435.53324266369145</v>
      </c>
      <c r="AJ125" s="33">
        <f t="shared" si="148"/>
        <v>456.61287590100824</v>
      </c>
      <c r="AK125" s="33">
        <f t="shared" ref="AK125:BD125" si="149">AK116+AK118+AK123+AK124</f>
        <v>478.98473268212842</v>
      </c>
      <c r="AL125" s="33">
        <f t="shared" si="149"/>
        <v>502.73848297516292</v>
      </c>
      <c r="AM125" s="33">
        <f t="shared" si="149"/>
        <v>527.96795296683104</v>
      </c>
      <c r="AN125" s="33">
        <f t="shared" si="149"/>
        <v>554.77750308118834</v>
      </c>
      <c r="AO125" s="33">
        <f t="shared" si="149"/>
        <v>583.27669295303053</v>
      </c>
      <c r="AP125" s="33">
        <f t="shared" si="149"/>
        <v>613.58276438097391</v>
      </c>
      <c r="AQ125" s="33">
        <f t="shared" si="149"/>
        <v>645.82201384278301</v>
      </c>
      <c r="AR125" s="33">
        <f t="shared" si="149"/>
        <v>680.12914097953239</v>
      </c>
      <c r="AS125" s="33">
        <f t="shared" si="149"/>
        <v>716.64852642262315</v>
      </c>
      <c r="AT125" s="33">
        <f t="shared" si="149"/>
        <v>758.33807263416861</v>
      </c>
      <c r="AU125" s="33">
        <f t="shared" si="149"/>
        <v>863.89653481583855</v>
      </c>
      <c r="AV125" s="33">
        <f t="shared" si="149"/>
        <v>897.29493387468221</v>
      </c>
      <c r="AW125" s="33">
        <f t="shared" si="149"/>
        <v>931.95704805608625</v>
      </c>
      <c r="AX125" s="33">
        <f t="shared" si="149"/>
        <v>967.97378671235981</v>
      </c>
      <c r="AY125" s="33">
        <f t="shared" si="149"/>
        <v>1005.4190158365739</v>
      </c>
      <c r="AZ125" s="33">
        <f t="shared" si="149"/>
        <v>1044.3679511423938</v>
      </c>
      <c r="BA125" s="33">
        <f t="shared" si="149"/>
        <v>1084.8977417634769</v>
      </c>
      <c r="BB125" s="33">
        <f t="shared" si="149"/>
        <v>1127.0877251367551</v>
      </c>
      <c r="BC125" s="33">
        <f t="shared" si="149"/>
        <v>1171.0196572425086</v>
      </c>
      <c r="BD125" s="33">
        <f t="shared" si="149"/>
        <v>1216.7779414350152</v>
      </c>
    </row>
    <row r="126" spans="2:56" x14ac:dyDescent="0.3">
      <c r="B126" s="94" t="s">
        <v>202</v>
      </c>
      <c r="E126" s="77">
        <f t="shared" ref="E126:AJ126" si="150">ResultadoFinanceiro</f>
        <v>0</v>
      </c>
      <c r="F126" s="77">
        <f t="shared" si="150"/>
        <v>0</v>
      </c>
      <c r="G126" s="77">
        <f t="shared" si="150"/>
        <v>-107.39999999999999</v>
      </c>
      <c r="H126" s="77">
        <f t="shared" si="150"/>
        <v>-119.8</v>
      </c>
      <c r="I126" s="77">
        <f t="shared" si="150"/>
        <v>-113.1</v>
      </c>
      <c r="J126" s="77">
        <f t="shared" si="150"/>
        <v>-140.1</v>
      </c>
      <c r="K126" s="77">
        <f t="shared" si="150"/>
        <v>-118.767</v>
      </c>
      <c r="L126" s="77">
        <f t="shared" si="150"/>
        <v>-233.53299999999999</v>
      </c>
      <c r="M126" s="77">
        <f t="shared" si="150"/>
        <v>-185.23599999999999</v>
      </c>
      <c r="N126" s="77">
        <f t="shared" si="150"/>
        <v>-217.77099999999999</v>
      </c>
      <c r="O126" s="77">
        <f t="shared" si="150"/>
        <v>-157.28545256699488</v>
      </c>
      <c r="P126" s="77">
        <f t="shared" si="150"/>
        <v>-146.61002068832548</v>
      </c>
      <c r="Q126" s="77">
        <f t="shared" si="150"/>
        <v>-140.96682549988233</v>
      </c>
      <c r="R126" s="77">
        <f t="shared" si="150"/>
        <v>-134.45584267105852</v>
      </c>
      <c r="S126" s="77">
        <f t="shared" si="150"/>
        <v>-128.78400904395264</v>
      </c>
      <c r="T126" s="77">
        <f t="shared" si="150"/>
        <v>-125.71846201160741</v>
      </c>
      <c r="U126" s="77">
        <f t="shared" si="150"/>
        <v>-124.35050361281029</v>
      </c>
      <c r="V126" s="77">
        <f t="shared" si="150"/>
        <v>-125.19443245936611</v>
      </c>
      <c r="W126" s="77">
        <f t="shared" si="150"/>
        <v>-127.1631102561653</v>
      </c>
      <c r="X126" s="77">
        <f t="shared" si="150"/>
        <v>-129.26814845139694</v>
      </c>
      <c r="Y126" s="77">
        <f t="shared" si="150"/>
        <v>-131.09691729048939</v>
      </c>
      <c r="Z126" s="77">
        <f t="shared" si="150"/>
        <v>-133.28441087707699</v>
      </c>
      <c r="AA126" s="77">
        <f t="shared" si="150"/>
        <v>-135.11496732755182</v>
      </c>
      <c r="AB126" s="77">
        <f t="shared" si="150"/>
        <v>-136.22059417364733</v>
      </c>
      <c r="AC126" s="77">
        <f t="shared" si="150"/>
        <v>-137.33749243979179</v>
      </c>
      <c r="AD126" s="77">
        <f t="shared" si="150"/>
        <v>-138.44120627364387</v>
      </c>
      <c r="AE126" s="77">
        <f t="shared" si="150"/>
        <v>-139.54218749992913</v>
      </c>
      <c r="AF126" s="77">
        <f t="shared" si="150"/>
        <v>-140.66511774243173</v>
      </c>
      <c r="AG126" s="77">
        <f t="shared" si="150"/>
        <v>-141.79189290415093</v>
      </c>
      <c r="AH126" s="77">
        <f t="shared" si="150"/>
        <v>-142.92909880119382</v>
      </c>
      <c r="AI126" s="77">
        <f t="shared" si="150"/>
        <v>-144.0821584371854</v>
      </c>
      <c r="AJ126" s="77">
        <f t="shared" si="150"/>
        <v>-145.24861366734638</v>
      </c>
      <c r="AK126" s="77">
        <f t="shared" ref="AK126:BD126" si="151">ResultadoFinanceiro</f>
        <v>-146.43242642612114</v>
      </c>
      <c r="AL126" s="77">
        <f t="shared" si="151"/>
        <v>-147.63647765507287</v>
      </c>
      <c r="AM126" s="77">
        <f t="shared" si="151"/>
        <v>-148.86259809497233</v>
      </c>
      <c r="AN126" s="77">
        <f t="shared" si="151"/>
        <v>-150.11438148805405</v>
      </c>
      <c r="AO126" s="77">
        <f t="shared" si="151"/>
        <v>-151.39526145758305</v>
      </c>
      <c r="AP126" s="77">
        <f t="shared" si="151"/>
        <v>-152.70888995840414</v>
      </c>
      <c r="AQ126" s="77">
        <f t="shared" si="151"/>
        <v>-154.05966041833582</v>
      </c>
      <c r="AR126" s="77">
        <f t="shared" si="151"/>
        <v>-155.45228173506081</v>
      </c>
      <c r="AS126" s="77">
        <f t="shared" si="151"/>
        <v>-156.89197301956523</v>
      </c>
      <c r="AT126" s="77">
        <f t="shared" si="151"/>
        <v>-158.28682143288125</v>
      </c>
      <c r="AU126" s="77">
        <f t="shared" si="151"/>
        <v>-157.31796060033668</v>
      </c>
      <c r="AV126" s="77">
        <f t="shared" si="151"/>
        <v>-152.4384326839766</v>
      </c>
      <c r="AW126" s="77">
        <f t="shared" si="151"/>
        <v>-146.96290973166259</v>
      </c>
      <c r="AX126" s="77">
        <f t="shared" si="151"/>
        <v>-140.93811598362294</v>
      </c>
      <c r="AY126" s="77">
        <f t="shared" si="151"/>
        <v>-134.34698773791246</v>
      </c>
      <c r="AZ126" s="77">
        <f t="shared" si="151"/>
        <v>-127.16921144951819</v>
      </c>
      <c r="BA126" s="77">
        <f t="shared" si="151"/>
        <v>-119.38239595218469</v>
      </c>
      <c r="BB126" s="77">
        <f t="shared" si="151"/>
        <v>-110.96211823068877</v>
      </c>
      <c r="BC126" s="77">
        <f t="shared" si="151"/>
        <v>-101.88193240090489</v>
      </c>
      <c r="BD126" s="77">
        <f t="shared" si="151"/>
        <v>-92.113367633234489</v>
      </c>
    </row>
    <row r="127" spans="2:56" s="31" customFormat="1" x14ac:dyDescent="0.3">
      <c r="B127" s="110" t="s">
        <v>183</v>
      </c>
      <c r="C127" s="32"/>
      <c r="D127" s="32"/>
      <c r="E127" s="75">
        <f t="shared" ref="E127:AJ127" si="152">E125+E126</f>
        <v>0</v>
      </c>
      <c r="F127" s="75">
        <f t="shared" si="152"/>
        <v>0</v>
      </c>
      <c r="G127" s="75">
        <f t="shared" si="152"/>
        <v>-1229.8</v>
      </c>
      <c r="H127" s="75">
        <f t="shared" si="152"/>
        <v>61.488000000000014</v>
      </c>
      <c r="I127" s="75">
        <f t="shared" si="152"/>
        <v>-51.287999999999641</v>
      </c>
      <c r="J127" s="75">
        <f t="shared" si="152"/>
        <v>-63.555000000000049</v>
      </c>
      <c r="K127" s="75">
        <f t="shared" si="152"/>
        <v>-19.253999999999962</v>
      </c>
      <c r="L127" s="75">
        <f t="shared" si="152"/>
        <v>106.78600000000014</v>
      </c>
      <c r="M127" s="75">
        <f t="shared" si="152"/>
        <v>56.092000000000354</v>
      </c>
      <c r="N127" s="75">
        <f t="shared" si="152"/>
        <v>-39.51199999999983</v>
      </c>
      <c r="O127" s="75">
        <f t="shared" si="152"/>
        <v>52.595581112682765</v>
      </c>
      <c r="P127" s="75">
        <f t="shared" si="152"/>
        <v>46.513319282060309</v>
      </c>
      <c r="Q127" s="75">
        <f t="shared" si="152"/>
        <v>54.198460651965348</v>
      </c>
      <c r="R127" s="75">
        <f t="shared" si="152"/>
        <v>83.41593761964242</v>
      </c>
      <c r="S127" s="75">
        <f t="shared" si="152"/>
        <v>89.287889218060656</v>
      </c>
      <c r="T127" s="75">
        <f t="shared" si="152"/>
        <v>80.650443867801414</v>
      </c>
      <c r="U127" s="75">
        <f t="shared" si="152"/>
        <v>93.425812704555966</v>
      </c>
      <c r="V127" s="75">
        <f t="shared" si="152"/>
        <v>100.76752183715644</v>
      </c>
      <c r="W127" s="75">
        <f t="shared" si="152"/>
        <v>110.8458704847415</v>
      </c>
      <c r="X127" s="75">
        <f t="shared" si="152"/>
        <v>121.15886298951693</v>
      </c>
      <c r="Y127" s="75">
        <f t="shared" si="152"/>
        <v>131.63320910336353</v>
      </c>
      <c r="Z127" s="75">
        <f t="shared" si="152"/>
        <v>143.38017787014917</v>
      </c>
      <c r="AA127" s="75">
        <f t="shared" si="152"/>
        <v>168.29482584907771</v>
      </c>
      <c r="AB127" s="75">
        <f t="shared" si="152"/>
        <v>181.40062379803817</v>
      </c>
      <c r="AC127" s="75">
        <f t="shared" si="152"/>
        <v>194.4766405515013</v>
      </c>
      <c r="AD127" s="75">
        <f t="shared" si="152"/>
        <v>208.29315403021414</v>
      </c>
      <c r="AE127" s="75">
        <f t="shared" si="152"/>
        <v>222.95946185516459</v>
      </c>
      <c r="AF127" s="75">
        <f t="shared" si="152"/>
        <v>238.55955074002287</v>
      </c>
      <c r="AG127" s="75">
        <f t="shared" si="152"/>
        <v>255.12021225776056</v>
      </c>
      <c r="AH127" s="75">
        <f t="shared" si="152"/>
        <v>272.72623287270517</v>
      </c>
      <c r="AI127" s="75">
        <f t="shared" si="152"/>
        <v>291.45108422650605</v>
      </c>
      <c r="AJ127" s="75">
        <f t="shared" si="152"/>
        <v>311.36426223366186</v>
      </c>
      <c r="AK127" s="75">
        <f t="shared" ref="AK127:BD127" si="153">AK125+AK126</f>
        <v>332.55230625600728</v>
      </c>
      <c r="AL127" s="75">
        <f t="shared" si="153"/>
        <v>355.10200532009003</v>
      </c>
      <c r="AM127" s="75">
        <f t="shared" si="153"/>
        <v>379.10535487185871</v>
      </c>
      <c r="AN127" s="75">
        <f t="shared" si="153"/>
        <v>404.66312159313429</v>
      </c>
      <c r="AO127" s="75">
        <f t="shared" si="153"/>
        <v>431.88143149544749</v>
      </c>
      <c r="AP127" s="75">
        <f t="shared" si="153"/>
        <v>460.87387442256977</v>
      </c>
      <c r="AQ127" s="75">
        <f t="shared" si="153"/>
        <v>491.76235342444716</v>
      </c>
      <c r="AR127" s="75">
        <f t="shared" si="153"/>
        <v>524.67685924447164</v>
      </c>
      <c r="AS127" s="75">
        <f t="shared" si="153"/>
        <v>559.75655340305798</v>
      </c>
      <c r="AT127" s="75">
        <f t="shared" si="153"/>
        <v>600.05125120128741</v>
      </c>
      <c r="AU127" s="75">
        <f t="shared" si="153"/>
        <v>706.57857421550193</v>
      </c>
      <c r="AV127" s="75">
        <f t="shared" si="153"/>
        <v>744.85650119070556</v>
      </c>
      <c r="AW127" s="75">
        <f t="shared" si="153"/>
        <v>784.9941383244236</v>
      </c>
      <c r="AX127" s="75">
        <f t="shared" si="153"/>
        <v>827.03567072873693</v>
      </c>
      <c r="AY127" s="75">
        <f t="shared" si="153"/>
        <v>871.07202809866135</v>
      </c>
      <c r="AZ127" s="75">
        <f t="shared" si="153"/>
        <v>917.19873969287562</v>
      </c>
      <c r="BA127" s="75">
        <f t="shared" si="153"/>
        <v>965.51534581129226</v>
      </c>
      <c r="BB127" s="75">
        <f t="shared" si="153"/>
        <v>1016.1256069060663</v>
      </c>
      <c r="BC127" s="75">
        <f t="shared" si="153"/>
        <v>1069.1377248416038</v>
      </c>
      <c r="BD127" s="75">
        <f t="shared" si="153"/>
        <v>1124.6645738017808</v>
      </c>
    </row>
    <row r="128" spans="2:56" x14ac:dyDescent="0.3">
      <c r="B128" s="94" t="s">
        <v>184</v>
      </c>
      <c r="E128" s="73">
        <f>E65-D65</f>
        <v>0</v>
      </c>
      <c r="F128" s="73">
        <f>F65-E65</f>
        <v>0</v>
      </c>
      <c r="G128" s="73">
        <f>G65-F65</f>
        <v>888.3</v>
      </c>
      <c r="H128" s="73">
        <f t="shared" ref="H128:BD128" si="154">H65-G65</f>
        <v>-172.59399999999994</v>
      </c>
      <c r="I128" s="73">
        <f t="shared" si="154"/>
        <v>32.894000000000005</v>
      </c>
      <c r="J128" s="73">
        <f t="shared" si="154"/>
        <v>111.99999999999989</v>
      </c>
      <c r="K128" s="73">
        <f t="shared" si="154"/>
        <v>97.454000000000178</v>
      </c>
      <c r="L128" s="73">
        <f t="shared" si="154"/>
        <v>141.2199999999998</v>
      </c>
      <c r="M128" s="73">
        <f t="shared" si="154"/>
        <v>-23.63799999999992</v>
      </c>
      <c r="N128" s="73">
        <f t="shared" si="154"/>
        <v>111.71100000000001</v>
      </c>
      <c r="O128" s="73">
        <f t="shared" si="154"/>
        <v>0</v>
      </c>
      <c r="P128" s="73">
        <f t="shared" si="154"/>
        <v>0</v>
      </c>
      <c r="Q128" s="73">
        <f t="shared" si="154"/>
        <v>0</v>
      </c>
      <c r="R128" s="73">
        <f t="shared" si="154"/>
        <v>0</v>
      </c>
      <c r="S128" s="73">
        <f t="shared" si="154"/>
        <v>0</v>
      </c>
      <c r="T128" s="73">
        <f t="shared" si="154"/>
        <v>0</v>
      </c>
      <c r="U128" s="73">
        <f t="shared" si="154"/>
        <v>0</v>
      </c>
      <c r="V128" s="73">
        <f t="shared" si="154"/>
        <v>0</v>
      </c>
      <c r="W128" s="73">
        <f t="shared" si="154"/>
        <v>0</v>
      </c>
      <c r="X128" s="73">
        <f t="shared" si="154"/>
        <v>0</v>
      </c>
      <c r="Y128" s="73">
        <f t="shared" si="154"/>
        <v>0</v>
      </c>
      <c r="Z128" s="73">
        <f t="shared" si="154"/>
        <v>0</v>
      </c>
      <c r="AA128" s="73">
        <f t="shared" si="154"/>
        <v>0</v>
      </c>
      <c r="AB128" s="73">
        <f t="shared" si="154"/>
        <v>0</v>
      </c>
      <c r="AC128" s="73">
        <f t="shared" si="154"/>
        <v>0</v>
      </c>
      <c r="AD128" s="73">
        <f t="shared" si="154"/>
        <v>0</v>
      </c>
      <c r="AE128" s="73">
        <f t="shared" si="154"/>
        <v>0</v>
      </c>
      <c r="AF128" s="73">
        <f t="shared" si="154"/>
        <v>0</v>
      </c>
      <c r="AG128" s="73">
        <f t="shared" si="154"/>
        <v>0</v>
      </c>
      <c r="AH128" s="73">
        <f t="shared" si="154"/>
        <v>0</v>
      </c>
      <c r="AI128" s="73">
        <f t="shared" si="154"/>
        <v>0</v>
      </c>
      <c r="AJ128" s="73">
        <f t="shared" si="154"/>
        <v>0</v>
      </c>
      <c r="AK128" s="73">
        <f t="shared" si="154"/>
        <v>0</v>
      </c>
      <c r="AL128" s="73">
        <f t="shared" si="154"/>
        <v>0</v>
      </c>
      <c r="AM128" s="73">
        <f t="shared" si="154"/>
        <v>0</v>
      </c>
      <c r="AN128" s="73">
        <f t="shared" si="154"/>
        <v>0</v>
      </c>
      <c r="AO128" s="73">
        <f t="shared" si="154"/>
        <v>0</v>
      </c>
      <c r="AP128" s="73">
        <f t="shared" si="154"/>
        <v>0</v>
      </c>
      <c r="AQ128" s="73">
        <f t="shared" si="154"/>
        <v>0</v>
      </c>
      <c r="AR128" s="73">
        <f t="shared" si="154"/>
        <v>0</v>
      </c>
      <c r="AS128" s="73">
        <f t="shared" si="154"/>
        <v>0</v>
      </c>
      <c r="AT128" s="73">
        <f t="shared" si="154"/>
        <v>0</v>
      </c>
      <c r="AU128" s="73">
        <f t="shared" si="154"/>
        <v>0</v>
      </c>
      <c r="AV128" s="73">
        <f t="shared" si="154"/>
        <v>0</v>
      </c>
      <c r="AW128" s="73">
        <f t="shared" si="154"/>
        <v>0</v>
      </c>
      <c r="AX128" s="73">
        <f t="shared" si="154"/>
        <v>0</v>
      </c>
      <c r="AY128" s="73">
        <f t="shared" si="154"/>
        <v>0</v>
      </c>
      <c r="AZ128" s="73">
        <f t="shared" si="154"/>
        <v>0</v>
      </c>
      <c r="BA128" s="73">
        <f t="shared" si="154"/>
        <v>0</v>
      </c>
      <c r="BB128" s="73">
        <f t="shared" si="154"/>
        <v>0</v>
      </c>
      <c r="BC128" s="73">
        <f t="shared" si="154"/>
        <v>0</v>
      </c>
      <c r="BD128" s="73">
        <f t="shared" si="154"/>
        <v>0</v>
      </c>
    </row>
    <row r="129" spans="2:56" x14ac:dyDescent="0.3">
      <c r="B129" s="94" t="s">
        <v>185</v>
      </c>
    </row>
    <row r="130" spans="2:56" x14ac:dyDescent="0.3">
      <c r="B130" s="96" t="s">
        <v>186</v>
      </c>
      <c r="E130" s="73">
        <f>-D96</f>
        <v>0</v>
      </c>
      <c r="F130" s="73">
        <f t="shared" ref="F130:BD130" si="155">-E96</f>
        <v>0</v>
      </c>
      <c r="G130" s="73">
        <f t="shared" si="155"/>
        <v>0</v>
      </c>
      <c r="H130" s="73">
        <f t="shared" si="155"/>
        <v>0</v>
      </c>
      <c r="I130" s="73">
        <f t="shared" si="155"/>
        <v>0</v>
      </c>
      <c r="J130" s="73">
        <f t="shared" si="155"/>
        <v>0</v>
      </c>
      <c r="K130" s="73">
        <f t="shared" si="155"/>
        <v>0</v>
      </c>
      <c r="L130" s="73">
        <f t="shared" si="155"/>
        <v>0</v>
      </c>
      <c r="M130" s="73">
        <f t="shared" si="155"/>
        <v>0</v>
      </c>
      <c r="N130" s="73">
        <f t="shared" si="155"/>
        <v>0</v>
      </c>
      <c r="O130" s="73">
        <f t="shared" si="155"/>
        <v>0</v>
      </c>
      <c r="P130" s="73">
        <f t="shared" si="155"/>
        <v>0</v>
      </c>
      <c r="Q130" s="73">
        <f t="shared" si="155"/>
        <v>0</v>
      </c>
      <c r="R130" s="73">
        <f t="shared" si="155"/>
        <v>0</v>
      </c>
      <c r="S130" s="73">
        <f t="shared" si="155"/>
        <v>0</v>
      </c>
      <c r="T130" s="73">
        <f t="shared" si="155"/>
        <v>0</v>
      </c>
      <c r="U130" s="73">
        <f t="shared" si="155"/>
        <v>-83.670995449823351</v>
      </c>
      <c r="V130" s="73">
        <f t="shared" si="155"/>
        <v>-92.977723756390077</v>
      </c>
      <c r="W130" s="73">
        <f t="shared" si="155"/>
        <v>-101.61024829633604</v>
      </c>
      <c r="X130" s="73">
        <f t="shared" si="155"/>
        <v>-110.65198806387806</v>
      </c>
      <c r="Y130" s="73">
        <f t="shared" si="155"/>
        <v>-120.11957805302632</v>
      </c>
      <c r="Z130" s="73">
        <f t="shared" si="155"/>
        <v>-130.25616205682829</v>
      </c>
      <c r="AA130" s="73">
        <f t="shared" si="155"/>
        <v>-141.00240708653303</v>
      </c>
      <c r="AB130" s="73">
        <f t="shared" si="155"/>
        <v>-150.3925332599253</v>
      </c>
      <c r="AC130" s="73">
        <f t="shared" si="155"/>
        <v>-160.47703265906307</v>
      </c>
      <c r="AD130" s="73">
        <f t="shared" si="155"/>
        <v>-171.18603569894617</v>
      </c>
      <c r="AE130" s="73">
        <f t="shared" si="155"/>
        <v>-182.55297312249132</v>
      </c>
      <c r="AF130" s="73">
        <f t="shared" si="155"/>
        <v>-194.63292256100544</v>
      </c>
      <c r="AG130" s="73">
        <f t="shared" si="155"/>
        <v>-207.46791646416852</v>
      </c>
      <c r="AH130" s="73">
        <f t="shared" si="155"/>
        <v>-221.11497331184179</v>
      </c>
      <c r="AI130" s="73">
        <f t="shared" si="155"/>
        <v>-235.63261370856918</v>
      </c>
      <c r="AJ130" s="73">
        <f t="shared" si="155"/>
        <v>-251.08005383798439</v>
      </c>
      <c r="AK130" s="73">
        <f t="shared" si="155"/>
        <v>-267.52364909494224</v>
      </c>
      <c r="AL130" s="73">
        <f t="shared" si="155"/>
        <v>-285.03322011722361</v>
      </c>
      <c r="AM130" s="73">
        <f t="shared" si="155"/>
        <v>-303.68287946919224</v>
      </c>
      <c r="AN130" s="73">
        <f t="shared" si="155"/>
        <v>-323.55259848969411</v>
      </c>
      <c r="AO130" s="73">
        <f t="shared" si="155"/>
        <v>-344.72754836885315</v>
      </c>
      <c r="AP130" s="73">
        <f t="shared" si="155"/>
        <v>-367.29880706651443</v>
      </c>
      <c r="AQ130" s="73">
        <f t="shared" si="155"/>
        <v>-391.36400613650073</v>
      </c>
      <c r="AR130" s="73">
        <f t="shared" si="155"/>
        <v>-417.02755712067585</v>
      </c>
      <c r="AS130" s="73">
        <f t="shared" si="155"/>
        <v>-444.40127145020142</v>
      </c>
      <c r="AT130" s="73">
        <f t="shared" si="155"/>
        <v>-473.60493494311544</v>
      </c>
      <c r="AU130" s="73">
        <f t="shared" si="155"/>
        <v>-504.3192219135052</v>
      </c>
      <c r="AV130" s="73">
        <f t="shared" si="155"/>
        <v>-526.84348540723795</v>
      </c>
      <c r="AW130" s="73">
        <f t="shared" si="155"/>
        <v>-551.8605644268855</v>
      </c>
      <c r="AX130" s="73">
        <f t="shared" si="155"/>
        <v>-578.24519342909809</v>
      </c>
      <c r="AY130" s="73">
        <f t="shared" si="155"/>
        <v>-606.01913232406719</v>
      </c>
      <c r="AZ130" s="73">
        <f t="shared" si="155"/>
        <v>-635.22967297743253</v>
      </c>
      <c r="BA130" s="73">
        <f t="shared" si="155"/>
        <v>-665.92842696187518</v>
      </c>
      <c r="BB130" s="73">
        <f t="shared" si="155"/>
        <v>-698.17091167354647</v>
      </c>
      <c r="BC130" s="73">
        <f t="shared" si="155"/>
        <v>-732.01654645060603</v>
      </c>
      <c r="BD130" s="73">
        <f t="shared" si="155"/>
        <v>-767.52867564191934</v>
      </c>
    </row>
    <row r="131" spans="2:56" s="31" customFormat="1" x14ac:dyDescent="0.3">
      <c r="B131" s="110" t="s">
        <v>187</v>
      </c>
      <c r="C131" s="32"/>
      <c r="D131" s="32"/>
      <c r="E131" s="75">
        <f t="shared" ref="E131:AJ131" si="156">E127+E128+E129+E130</f>
        <v>0</v>
      </c>
      <c r="F131" s="75">
        <f t="shared" si="156"/>
        <v>0</v>
      </c>
      <c r="G131" s="75">
        <f t="shared" si="156"/>
        <v>-341.5</v>
      </c>
      <c r="H131" s="75">
        <f t="shared" si="156"/>
        <v>-111.10599999999992</v>
      </c>
      <c r="I131" s="75">
        <f t="shared" si="156"/>
        <v>-18.393999999999636</v>
      </c>
      <c r="J131" s="75">
        <f t="shared" si="156"/>
        <v>48.444999999999837</v>
      </c>
      <c r="K131" s="75">
        <f t="shared" si="156"/>
        <v>78.200000000000216</v>
      </c>
      <c r="L131" s="75">
        <f t="shared" si="156"/>
        <v>248.00599999999994</v>
      </c>
      <c r="M131" s="75">
        <f t="shared" si="156"/>
        <v>32.454000000000434</v>
      </c>
      <c r="N131" s="75">
        <f t="shared" si="156"/>
        <v>72.199000000000183</v>
      </c>
      <c r="O131" s="75">
        <f t="shared" si="156"/>
        <v>52.595581112682765</v>
      </c>
      <c r="P131" s="75">
        <f t="shared" si="156"/>
        <v>46.513319282060309</v>
      </c>
      <c r="Q131" s="75">
        <f t="shared" si="156"/>
        <v>54.198460651965348</v>
      </c>
      <c r="R131" s="75">
        <f t="shared" si="156"/>
        <v>83.41593761964242</v>
      </c>
      <c r="S131" s="75">
        <f t="shared" si="156"/>
        <v>89.287889218060656</v>
      </c>
      <c r="T131" s="75">
        <f t="shared" si="156"/>
        <v>80.650443867801414</v>
      </c>
      <c r="U131" s="75">
        <f t="shared" si="156"/>
        <v>9.7548172547326146</v>
      </c>
      <c r="V131" s="75">
        <f t="shared" si="156"/>
        <v>7.78979808076636</v>
      </c>
      <c r="W131" s="75">
        <f t="shared" si="156"/>
        <v>9.2356221884054577</v>
      </c>
      <c r="X131" s="75">
        <f t="shared" si="156"/>
        <v>10.506874925638868</v>
      </c>
      <c r="Y131" s="75">
        <f t="shared" si="156"/>
        <v>11.51363105033721</v>
      </c>
      <c r="Z131" s="75">
        <f t="shared" si="156"/>
        <v>13.124015813320881</v>
      </c>
      <c r="AA131" s="75">
        <f t="shared" si="156"/>
        <v>27.292418762544685</v>
      </c>
      <c r="AB131" s="75">
        <f t="shared" si="156"/>
        <v>31.008090538112867</v>
      </c>
      <c r="AC131" s="75">
        <f t="shared" si="156"/>
        <v>33.999607892438235</v>
      </c>
      <c r="AD131" s="75">
        <f t="shared" si="156"/>
        <v>37.107118331267969</v>
      </c>
      <c r="AE131" s="75">
        <f t="shared" si="156"/>
        <v>40.406488732673267</v>
      </c>
      <c r="AF131" s="75">
        <f t="shared" si="156"/>
        <v>43.926628179017428</v>
      </c>
      <c r="AG131" s="75">
        <f t="shared" si="156"/>
        <v>47.652295793592032</v>
      </c>
      <c r="AH131" s="75">
        <f t="shared" si="156"/>
        <v>51.611259560863374</v>
      </c>
      <c r="AI131" s="75">
        <f t="shared" si="156"/>
        <v>55.818470517936873</v>
      </c>
      <c r="AJ131" s="75">
        <f t="shared" si="156"/>
        <v>60.284208395677467</v>
      </c>
      <c r="AK131" s="75">
        <f t="shared" ref="AK131:BD131" si="157">AK127+AK128+AK129+AK130</f>
        <v>65.028657161065041</v>
      </c>
      <c r="AL131" s="75">
        <f t="shared" si="157"/>
        <v>70.068785202866422</v>
      </c>
      <c r="AM131" s="75">
        <f t="shared" si="157"/>
        <v>75.422475402666464</v>
      </c>
      <c r="AN131" s="75">
        <f t="shared" si="157"/>
        <v>81.110523103440187</v>
      </c>
      <c r="AO131" s="75">
        <f t="shared" si="157"/>
        <v>87.153883126594337</v>
      </c>
      <c r="AP131" s="75">
        <f t="shared" si="157"/>
        <v>93.575067356055342</v>
      </c>
      <c r="AQ131" s="75">
        <f t="shared" si="157"/>
        <v>100.39834728794642</v>
      </c>
      <c r="AR131" s="75">
        <f t="shared" si="157"/>
        <v>107.64930212379579</v>
      </c>
      <c r="AS131" s="75">
        <f t="shared" si="157"/>
        <v>115.35528195285656</v>
      </c>
      <c r="AT131" s="75">
        <f t="shared" si="157"/>
        <v>126.44631625817198</v>
      </c>
      <c r="AU131" s="75">
        <f t="shared" si="157"/>
        <v>202.25935230199673</v>
      </c>
      <c r="AV131" s="75">
        <f t="shared" si="157"/>
        <v>218.01301578346761</v>
      </c>
      <c r="AW131" s="75">
        <f t="shared" si="157"/>
        <v>233.1335738975381</v>
      </c>
      <c r="AX131" s="75">
        <f t="shared" si="157"/>
        <v>248.79047729963884</v>
      </c>
      <c r="AY131" s="75">
        <f t="shared" si="157"/>
        <v>265.05289577459416</v>
      </c>
      <c r="AZ131" s="75">
        <f t="shared" si="157"/>
        <v>281.96906671544309</v>
      </c>
      <c r="BA131" s="75">
        <f t="shared" si="157"/>
        <v>299.58691884941709</v>
      </c>
      <c r="BB131" s="75">
        <f t="shared" si="157"/>
        <v>317.95469523251984</v>
      </c>
      <c r="BC131" s="75">
        <f t="shared" si="157"/>
        <v>337.12117839099778</v>
      </c>
      <c r="BD131" s="75">
        <f t="shared" si="157"/>
        <v>357.13589815986143</v>
      </c>
    </row>
    <row r="132" spans="2:56" x14ac:dyDescent="0.3">
      <c r="B132" s="44"/>
    </row>
    <row r="134" spans="2:56" s="87" customFormat="1" x14ac:dyDescent="0.3">
      <c r="B134" s="86" t="s">
        <v>203</v>
      </c>
      <c r="C134" s="86" t="s">
        <v>204</v>
      </c>
    </row>
    <row r="135" spans="2:56" x14ac:dyDescent="0.3">
      <c r="B135" s="154" t="s">
        <v>205</v>
      </c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7"/>
    </row>
    <row r="136" spans="2:56" x14ac:dyDescent="0.3">
      <c r="B136" s="155" t="s">
        <v>285</v>
      </c>
      <c r="C136" s="17"/>
      <c r="D136" s="17"/>
      <c r="E136" s="17"/>
      <c r="F136" s="102" t="e">
        <f>F78/E78-1</f>
        <v>#DIV/0!</v>
      </c>
      <c r="G136" s="102" t="e">
        <f t="shared" ref="G136:BD136" si="158">G78/F78-1</f>
        <v>#DIV/0!</v>
      </c>
      <c r="H136" s="102">
        <f t="shared" si="158"/>
        <v>0.19541128001136543</v>
      </c>
      <c r="I136" s="102">
        <f t="shared" si="158"/>
        <v>0.2139758749777172</v>
      </c>
      <c r="J136" s="102">
        <f t="shared" si="158"/>
        <v>2.3984336759667046E-2</v>
      </c>
      <c r="K136" s="102">
        <f t="shared" si="158"/>
        <v>8.36974187380497E-2</v>
      </c>
      <c r="L136" s="102">
        <f t="shared" si="158"/>
        <v>1.9485729534933549E-2</v>
      </c>
      <c r="M136" s="102">
        <f t="shared" si="158"/>
        <v>-4.8707399521734973E-2</v>
      </c>
      <c r="N136" s="102">
        <f t="shared" si="158"/>
        <v>2.5753458301401411E-2</v>
      </c>
      <c r="O136" s="102">
        <f t="shared" si="158"/>
        <v>6.4838440083085924E-2</v>
      </c>
      <c r="P136" s="102">
        <f t="shared" si="158"/>
        <v>4.7457013911144319E-2</v>
      </c>
      <c r="Q136" s="102">
        <f t="shared" si="158"/>
        <v>5.5259188741191956E-2</v>
      </c>
      <c r="R136" s="102">
        <f t="shared" si="158"/>
        <v>5.5847542877879075E-2</v>
      </c>
      <c r="S136" s="102">
        <f t="shared" si="158"/>
        <v>5.5750526966751979E-2</v>
      </c>
      <c r="T136" s="102">
        <f t="shared" si="158"/>
        <v>5.6691981425179616E-2</v>
      </c>
      <c r="U136" s="102">
        <f t="shared" si="158"/>
        <v>5.7159480566441045E-2</v>
      </c>
      <c r="V136" s="102">
        <f t="shared" si="158"/>
        <v>5.7585708957774484E-2</v>
      </c>
      <c r="W136" s="102">
        <f t="shared" si="158"/>
        <v>5.8185850359652624E-2</v>
      </c>
      <c r="X136" s="102">
        <f t="shared" si="158"/>
        <v>5.8671165599170294E-2</v>
      </c>
      <c r="Y136" s="102">
        <f t="shared" si="158"/>
        <v>5.9161663134952081E-2</v>
      </c>
      <c r="Z136" s="102">
        <f t="shared" si="158"/>
        <v>5.9672906948603277E-2</v>
      </c>
      <c r="AA136" s="102">
        <f t="shared" si="158"/>
        <v>5.1444271085612225E-2</v>
      </c>
      <c r="AB136" s="102">
        <f t="shared" si="158"/>
        <v>5.1288745886106879E-2</v>
      </c>
      <c r="AC136" s="102">
        <f t="shared" si="158"/>
        <v>5.1685448662407651E-2</v>
      </c>
      <c r="AD136" s="102">
        <f t="shared" si="158"/>
        <v>5.2078412477276848E-2</v>
      </c>
      <c r="AE136" s="102">
        <f t="shared" si="158"/>
        <v>5.2473484505384471E-2</v>
      </c>
      <c r="AF136" s="102">
        <f t="shared" si="158"/>
        <v>5.286908322612982E-2</v>
      </c>
      <c r="AG136" s="102">
        <f t="shared" si="158"/>
        <v>5.3263869164961397E-2</v>
      </c>
      <c r="AH136" s="102">
        <f t="shared" si="158"/>
        <v>5.3658817298076755E-2</v>
      </c>
      <c r="AI136" s="102">
        <f t="shared" si="158"/>
        <v>5.4053277204946681E-2</v>
      </c>
      <c r="AJ136" s="102">
        <f t="shared" si="158"/>
        <v>5.444691041396621E-2</v>
      </c>
      <c r="AK136" s="102">
        <f t="shared" si="158"/>
        <v>5.4839713738230378E-2</v>
      </c>
      <c r="AL136" s="102">
        <f t="shared" si="158"/>
        <v>5.5231358559039601E-2</v>
      </c>
      <c r="AM136" s="102">
        <f t="shared" si="158"/>
        <v>5.5621624786493573E-2</v>
      </c>
      <c r="AN136" s="102">
        <f t="shared" si="158"/>
        <v>5.6010332933370099E-2</v>
      </c>
      <c r="AO136" s="102">
        <f t="shared" si="158"/>
        <v>5.6397245718920574E-2</v>
      </c>
      <c r="AP136" s="102">
        <f t="shared" si="158"/>
        <v>5.6782157386108922E-2</v>
      </c>
      <c r="AQ136" s="102">
        <f t="shared" si="158"/>
        <v>5.7164867961255972E-2</v>
      </c>
      <c r="AR136" s="102">
        <f t="shared" si="158"/>
        <v>5.7545171592011224E-2</v>
      </c>
      <c r="AS136" s="102">
        <f t="shared" si="158"/>
        <v>5.7922873834397759E-2</v>
      </c>
      <c r="AT136" s="102">
        <f t="shared" si="158"/>
        <v>5.757057883285488E-2</v>
      </c>
      <c r="AU136" s="102">
        <f t="shared" si="158"/>
        <v>4.2101587444996147E-2</v>
      </c>
      <c r="AV136" s="102">
        <f t="shared" si="158"/>
        <v>4.2149152306206528E-2</v>
      </c>
      <c r="AW136" s="102">
        <f t="shared" si="158"/>
        <v>4.2196064664345112E-2</v>
      </c>
      <c r="AX136" s="102">
        <f t="shared" si="158"/>
        <v>4.2242329117329058E-2</v>
      </c>
      <c r="AY136" s="102">
        <f t="shared" si="158"/>
        <v>4.2287950624900539E-2</v>
      </c>
      <c r="AZ136" s="102">
        <f t="shared" si="158"/>
        <v>4.2332934148820334E-2</v>
      </c>
      <c r="BA136" s="102">
        <f t="shared" si="158"/>
        <v>4.2377284730057196E-2</v>
      </c>
      <c r="BB136" s="102">
        <f t="shared" si="158"/>
        <v>4.2421007546278311E-2</v>
      </c>
      <c r="BC136" s="102">
        <f t="shared" si="158"/>
        <v>4.2464107836990284E-2</v>
      </c>
      <c r="BD136" s="156">
        <f t="shared" si="158"/>
        <v>4.2506590923685472E-2</v>
      </c>
    </row>
    <row r="137" spans="2:56" x14ac:dyDescent="0.3">
      <c r="B137" s="155" t="s">
        <v>206</v>
      </c>
      <c r="C137" s="17"/>
      <c r="D137" s="17"/>
      <c r="E137" s="17"/>
      <c r="F137" s="102" t="e">
        <f>F79/E79-1</f>
        <v>#DIV/0!</v>
      </c>
      <c r="G137" s="102" t="e">
        <f t="shared" ref="G137:BD137" si="159">G79/F79-1</f>
        <v>#DIV/0!</v>
      </c>
      <c r="H137" s="102">
        <f t="shared" si="159"/>
        <v>0.20509925675040019</v>
      </c>
      <c r="I137" s="102">
        <f t="shared" si="159"/>
        <v>0.21890857990475432</v>
      </c>
      <c r="J137" s="102">
        <f t="shared" si="159"/>
        <v>-1.2169346057772423E-2</v>
      </c>
      <c r="K137" s="102">
        <f t="shared" si="159"/>
        <v>7.4434286455294041E-2</v>
      </c>
      <c r="L137" s="102">
        <f t="shared" si="159"/>
        <v>2.1241928670569177E-2</v>
      </c>
      <c r="M137" s="102">
        <f t="shared" si="159"/>
        <v>-4.2072918513266E-2</v>
      </c>
      <c r="N137" s="102">
        <f t="shared" si="159"/>
        <v>3.5198938992042406E-2</v>
      </c>
      <c r="O137" s="102">
        <f t="shared" si="159"/>
        <v>2.1547821610829354E-2</v>
      </c>
      <c r="P137" s="102">
        <f t="shared" si="159"/>
        <v>5.0866214603250137E-2</v>
      </c>
      <c r="Q137" s="102">
        <f t="shared" si="159"/>
        <v>5.0864281418333768E-2</v>
      </c>
      <c r="R137" s="102">
        <f t="shared" si="159"/>
        <v>5.1494936472653574E-2</v>
      </c>
      <c r="S137" s="102">
        <f t="shared" si="159"/>
        <v>5.4309658855488108E-2</v>
      </c>
      <c r="T137" s="102">
        <f t="shared" si="159"/>
        <v>5.3675120388433806E-2</v>
      </c>
      <c r="U137" s="102">
        <f t="shared" si="159"/>
        <v>5.466272200672373E-2</v>
      </c>
      <c r="V137" s="102">
        <f t="shared" si="159"/>
        <v>5.5590214120741166E-2</v>
      </c>
      <c r="W137" s="102">
        <f t="shared" si="159"/>
        <v>5.5967580982821064E-2</v>
      </c>
      <c r="X137" s="102">
        <f t="shared" si="159"/>
        <v>5.6701761679259777E-2</v>
      </c>
      <c r="Y137" s="102">
        <f t="shared" si="159"/>
        <v>5.7323507813908936E-2</v>
      </c>
      <c r="Z137" s="102">
        <f t="shared" si="159"/>
        <v>5.7864865056516113E-2</v>
      </c>
      <c r="AA137" s="102">
        <f t="shared" si="159"/>
        <v>5.0253622194662118E-2</v>
      </c>
      <c r="AB137" s="102">
        <f t="shared" si="159"/>
        <v>5.0145208557399235E-2</v>
      </c>
      <c r="AC137" s="102">
        <f t="shared" si="159"/>
        <v>5.0547277378215849E-2</v>
      </c>
      <c r="AD137" s="102">
        <f t="shared" si="159"/>
        <v>5.0962379883886966E-2</v>
      </c>
      <c r="AE137" s="102">
        <f t="shared" si="159"/>
        <v>5.1370251072080153E-2</v>
      </c>
      <c r="AF137" s="102">
        <f t="shared" si="159"/>
        <v>5.1779657255380807E-2</v>
      </c>
      <c r="AG137" s="102">
        <f t="shared" si="159"/>
        <v>5.2191139773135165E-2</v>
      </c>
      <c r="AH137" s="102">
        <f t="shared" si="159"/>
        <v>5.2601104678130062E-2</v>
      </c>
      <c r="AI137" s="102">
        <f t="shared" si="159"/>
        <v>5.3011557271359644E-2</v>
      </c>
      <c r="AJ137" s="102">
        <f t="shared" si="159"/>
        <v>5.3421973719042004E-2</v>
      </c>
      <c r="AK137" s="102">
        <f t="shared" si="159"/>
        <v>5.3831658572865981E-2</v>
      </c>
      <c r="AL137" s="102">
        <f t="shared" si="159"/>
        <v>5.4240864356328133E-2</v>
      </c>
      <c r="AM137" s="102">
        <f t="shared" si="159"/>
        <v>5.4649222744390213E-2</v>
      </c>
      <c r="AN137" s="102">
        <f t="shared" si="159"/>
        <v>5.505645773323864E-2</v>
      </c>
      <c r="AO137" s="102">
        <f t="shared" si="159"/>
        <v>5.5462427527627423E-2</v>
      </c>
      <c r="AP137" s="102">
        <f t="shared" si="159"/>
        <v>5.5866857632397293E-2</v>
      </c>
      <c r="AQ137" s="102">
        <f t="shared" si="159"/>
        <v>5.6269514924212727E-2</v>
      </c>
      <c r="AR137" s="102">
        <f t="shared" si="159"/>
        <v>5.6670181006887033E-2</v>
      </c>
      <c r="AS137" s="102">
        <f t="shared" si="159"/>
        <v>5.7068614409514495E-2</v>
      </c>
      <c r="AT137" s="102">
        <f t="shared" si="159"/>
        <v>5.6766376339862035E-2</v>
      </c>
      <c r="AU137" s="102">
        <f t="shared" si="159"/>
        <v>4.1934376449152433E-2</v>
      </c>
      <c r="AV137" s="102">
        <f t="shared" si="159"/>
        <v>4.192541280078288E-2</v>
      </c>
      <c r="AW137" s="102">
        <f t="shared" si="159"/>
        <v>4.192471010249843E-2</v>
      </c>
      <c r="AX137" s="102">
        <f t="shared" si="159"/>
        <v>4.1930988472197006E-2</v>
      </c>
      <c r="AY137" s="102">
        <f t="shared" si="159"/>
        <v>4.1943154714009889E-2</v>
      </c>
      <c r="AZ137" s="102">
        <f t="shared" si="159"/>
        <v>4.1960275781655509E-2</v>
      </c>
      <c r="BA137" s="102">
        <f t="shared" si="159"/>
        <v>4.198155453105179E-2</v>
      </c>
      <c r="BB137" s="102">
        <f t="shared" si="159"/>
        <v>4.2006309876794212E-2</v>
      </c>
      <c r="BC137" s="102">
        <f t="shared" si="159"/>
        <v>4.2033959968146961E-2</v>
      </c>
      <c r="BD137" s="156">
        <f t="shared" si="159"/>
        <v>4.20640075636598E-2</v>
      </c>
    </row>
    <row r="138" spans="2:56" x14ac:dyDescent="0.3">
      <c r="B138" s="157" t="s">
        <v>207</v>
      </c>
      <c r="C138" s="43"/>
      <c r="D138" s="43"/>
      <c r="E138" s="43"/>
      <c r="F138" s="158" t="e">
        <f>F93/E93-1</f>
        <v>#DIV/0!</v>
      </c>
      <c r="G138" s="158" t="e">
        <f t="shared" ref="G138:BD138" si="160">G93/F93-1</f>
        <v>#DIV/0!</v>
      </c>
      <c r="H138" s="158">
        <f t="shared" si="160"/>
        <v>-1.4153957879448078</v>
      </c>
      <c r="I138" s="158">
        <f t="shared" si="160"/>
        <v>-1.923076923076918</v>
      </c>
      <c r="J138" s="158">
        <f t="shared" si="160"/>
        <v>-0.44886363636363469</v>
      </c>
      <c r="K138" s="158">
        <f t="shared" si="160"/>
        <v>-1.7778350515463905</v>
      </c>
      <c r="L138" s="158">
        <f t="shared" si="160"/>
        <v>-1.284912745747727</v>
      </c>
      <c r="M138" s="158">
        <f t="shared" si="160"/>
        <v>-4.3530779965887758</v>
      </c>
      <c r="N138" s="158">
        <f t="shared" si="160"/>
        <v>-0.65394931557528224</v>
      </c>
      <c r="O138" s="158">
        <f t="shared" si="160"/>
        <v>10.695034618822909</v>
      </c>
      <c r="P138" s="158">
        <f t="shared" si="160"/>
        <v>0.16974556257465734</v>
      </c>
      <c r="Q138" s="158">
        <f t="shared" si="160"/>
        <v>0.20699643928762068</v>
      </c>
      <c r="R138" s="158">
        <f t="shared" si="160"/>
        <v>0.20522687674098483</v>
      </c>
      <c r="S138" s="158">
        <f t="shared" si="160"/>
        <v>0.13751320370849451</v>
      </c>
      <c r="T138" s="158">
        <f t="shared" si="160"/>
        <v>-1.2118107692382196E-2</v>
      </c>
      <c r="U138" s="158">
        <f t="shared" si="160"/>
        <v>0.11123004162353811</v>
      </c>
      <c r="V138" s="158">
        <f t="shared" si="160"/>
        <v>9.2845083652122407E-2</v>
      </c>
      <c r="W138" s="158">
        <f t="shared" si="160"/>
        <v>8.8984525863697428E-2</v>
      </c>
      <c r="X138" s="158">
        <f t="shared" si="160"/>
        <v>8.556186070224725E-2</v>
      </c>
      <c r="Y138" s="158">
        <f t="shared" si="160"/>
        <v>8.4387442647585909E-2</v>
      </c>
      <c r="Z138" s="158">
        <f t="shared" si="160"/>
        <v>8.2500857234042879E-2</v>
      </c>
      <c r="AA138" s="158">
        <f t="shared" si="160"/>
        <v>6.6595502640104387E-2</v>
      </c>
      <c r="AB138" s="158">
        <f t="shared" si="160"/>
        <v>6.7054521794034816E-2</v>
      </c>
      <c r="AC138" s="158">
        <f t="shared" si="160"/>
        <v>6.673230967969479E-2</v>
      </c>
      <c r="AD138" s="158">
        <f t="shared" si="160"/>
        <v>6.640107866938072E-2</v>
      </c>
      <c r="AE138" s="158">
        <f t="shared" si="160"/>
        <v>6.6172296358101956E-2</v>
      </c>
      <c r="AF138" s="158">
        <f t="shared" si="160"/>
        <v>6.5944618897350704E-2</v>
      </c>
      <c r="AG138" s="158">
        <f t="shared" si="160"/>
        <v>6.5779119394734131E-2</v>
      </c>
      <c r="AH138" s="158">
        <f t="shared" si="160"/>
        <v>6.5656523297736857E-2</v>
      </c>
      <c r="AI138" s="158">
        <f t="shared" si="160"/>
        <v>6.5557309263312158E-2</v>
      </c>
      <c r="AJ138" s="158">
        <f t="shared" si="160"/>
        <v>6.5491443886532164E-2</v>
      </c>
      <c r="AK138" s="158">
        <f t="shared" si="160"/>
        <v>6.5450553928663391E-2</v>
      </c>
      <c r="AL138" s="158">
        <f t="shared" si="160"/>
        <v>6.5429774621704517E-2</v>
      </c>
      <c r="AM138" s="158">
        <f t="shared" si="160"/>
        <v>6.5429170901014189E-2</v>
      </c>
      <c r="AN138" s="158">
        <f t="shared" si="160"/>
        <v>6.5445154753821289E-2</v>
      </c>
      <c r="AO138" s="158">
        <f t="shared" si="160"/>
        <v>6.5475645345031586E-2</v>
      </c>
      <c r="AP138" s="158">
        <f t="shared" si="160"/>
        <v>6.5519404384094093E-2</v>
      </c>
      <c r="AQ138" s="158">
        <f t="shared" si="160"/>
        <v>6.5574632776076225E-2</v>
      </c>
      <c r="AR138" s="158">
        <f t="shared" si="160"/>
        <v>6.5640061099378144E-2</v>
      </c>
      <c r="AS138" s="158">
        <f t="shared" si="160"/>
        <v>6.5714626327720849E-2</v>
      </c>
      <c r="AT138" s="158">
        <f t="shared" si="160"/>
        <v>6.4852126116631048E-2</v>
      </c>
      <c r="AU138" s="158">
        <f t="shared" si="160"/>
        <v>4.4662710670179129E-2</v>
      </c>
      <c r="AV138" s="158">
        <f t="shared" si="160"/>
        <v>4.7484840778300397E-2</v>
      </c>
      <c r="AW138" s="158">
        <f t="shared" si="160"/>
        <v>4.7810317864646512E-2</v>
      </c>
      <c r="AX138" s="158">
        <f t="shared" si="160"/>
        <v>4.8031421982541067E-2</v>
      </c>
      <c r="AY138" s="158">
        <f t="shared" si="160"/>
        <v>4.8200690531573942E-2</v>
      </c>
      <c r="AZ138" s="158">
        <f t="shared" si="160"/>
        <v>4.8327015078738711E-2</v>
      </c>
      <c r="BA138" s="158">
        <f t="shared" si="160"/>
        <v>4.8417342474429637E-2</v>
      </c>
      <c r="BB138" s="158">
        <f t="shared" si="160"/>
        <v>4.8477577927058091E-2</v>
      </c>
      <c r="BC138" s="158">
        <f t="shared" si="160"/>
        <v>4.8512741089670852E-2</v>
      </c>
      <c r="BD138" s="159">
        <f t="shared" si="160"/>
        <v>4.8527092057412125E-2</v>
      </c>
    </row>
    <row r="140" spans="2:56" x14ac:dyDescent="0.3">
      <c r="B140" s="154" t="s">
        <v>4</v>
      </c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7"/>
    </row>
    <row r="141" spans="2:56" x14ac:dyDescent="0.3">
      <c r="B141" s="155" t="s">
        <v>208</v>
      </c>
      <c r="C141" s="17"/>
      <c r="D141" s="102" t="e">
        <f t="shared" ref="D141:AJ141" si="161">LucroBruto/ReceitaLíquida</f>
        <v>#DIV/0!</v>
      </c>
      <c r="E141" s="102" t="e">
        <f t="shared" si="161"/>
        <v>#DIV/0!</v>
      </c>
      <c r="F141" s="102" t="e">
        <f t="shared" si="161"/>
        <v>#DIV/0!</v>
      </c>
      <c r="G141" s="102">
        <f t="shared" si="161"/>
        <v>0.2449921863901123</v>
      </c>
      <c r="H141" s="102">
        <f t="shared" si="161"/>
        <v>0.23887337334363301</v>
      </c>
      <c r="I141" s="102">
        <f t="shared" si="161"/>
        <v>0.23578071463534028</v>
      </c>
      <c r="J141" s="102">
        <f t="shared" si="161"/>
        <v>0.26276290630975147</v>
      </c>
      <c r="K141" s="102">
        <f t="shared" si="161"/>
        <v>0.26906459588151355</v>
      </c>
      <c r="L141" s="102">
        <f t="shared" si="161"/>
        <v>0.26780546288167861</v>
      </c>
      <c r="M141" s="102">
        <f t="shared" si="161"/>
        <v>0.26269901009462443</v>
      </c>
      <c r="N141" s="102">
        <f t="shared" si="161"/>
        <v>0.25590969614498016</v>
      </c>
      <c r="O141" s="102">
        <f t="shared" si="161"/>
        <v>0.2861604161045071</v>
      </c>
      <c r="P141" s="102">
        <f t="shared" si="161"/>
        <v>0.28383705355010291</v>
      </c>
      <c r="Q141" s="102">
        <f t="shared" si="161"/>
        <v>0.28681970445832866</v>
      </c>
      <c r="R141" s="102">
        <f t="shared" si="161"/>
        <v>0.28975970573350746</v>
      </c>
      <c r="S141" s="102">
        <f t="shared" si="161"/>
        <v>0.29072902809253431</v>
      </c>
      <c r="T141" s="102">
        <f t="shared" si="161"/>
        <v>0.29275400036189569</v>
      </c>
      <c r="U141" s="102">
        <f t="shared" si="161"/>
        <v>0.29442434673430501</v>
      </c>
      <c r="V141" s="102">
        <f t="shared" si="161"/>
        <v>0.29575565497845263</v>
      </c>
      <c r="W141" s="102">
        <f t="shared" si="161"/>
        <v>0.29723195865784607</v>
      </c>
      <c r="X141" s="102">
        <f t="shared" si="161"/>
        <v>0.29853929013184888</v>
      </c>
      <c r="Y141" s="102">
        <f t="shared" si="161"/>
        <v>0.29975666211690594</v>
      </c>
      <c r="Z141" s="102">
        <f t="shared" si="161"/>
        <v>0.30095143578833367</v>
      </c>
      <c r="AA141" s="102">
        <f t="shared" si="161"/>
        <v>0.30174303399338115</v>
      </c>
      <c r="AB141" s="102">
        <f t="shared" si="161"/>
        <v>0.30250256167669681</v>
      </c>
      <c r="AC141" s="102">
        <f t="shared" si="161"/>
        <v>0.30325741813696871</v>
      </c>
      <c r="AD141" s="102">
        <f t="shared" si="161"/>
        <v>0.30399651459721339</v>
      </c>
      <c r="AE141" s="102">
        <f t="shared" si="161"/>
        <v>0.30472608577035665</v>
      </c>
      <c r="AF141" s="102">
        <f t="shared" si="161"/>
        <v>0.3054455004354974</v>
      </c>
      <c r="AG141" s="102">
        <f t="shared" si="161"/>
        <v>0.30615289109772392</v>
      </c>
      <c r="AH141" s="102">
        <f t="shared" si="161"/>
        <v>0.30684940768483077</v>
      </c>
      <c r="AI141" s="102">
        <f t="shared" si="161"/>
        <v>0.3075344478100388</v>
      </c>
      <c r="AJ141" s="102">
        <f t="shared" si="161"/>
        <v>0.30820753371640452</v>
      </c>
      <c r="AK141" s="102">
        <f t="shared" ref="AK141:BD141" si="162">LucroBruto/ReceitaLíquida</f>
        <v>0.308868643608187</v>
      </c>
      <c r="AL141" s="102">
        <f t="shared" si="162"/>
        <v>0.30951737489944908</v>
      </c>
      <c r="AM141" s="102">
        <f t="shared" si="162"/>
        <v>0.31015342355449677</v>
      </c>
      <c r="AN141" s="102">
        <f t="shared" si="162"/>
        <v>0.31077654959848061</v>
      </c>
      <c r="AO141" s="102">
        <f t="shared" si="162"/>
        <v>0.31138645143409432</v>
      </c>
      <c r="AP141" s="102">
        <f t="shared" si="162"/>
        <v>0.31198287313463086</v>
      </c>
      <c r="AQ141" s="102">
        <f t="shared" si="162"/>
        <v>0.31256558094373982</v>
      </c>
      <c r="AR141" s="102">
        <f t="shared" si="162"/>
        <v>0.31313434969303028</v>
      </c>
      <c r="AS141" s="102">
        <f t="shared" si="162"/>
        <v>0.31368898507327919</v>
      </c>
      <c r="AT141" s="102">
        <f t="shared" si="162"/>
        <v>0.31421087272807924</v>
      </c>
      <c r="AU141" s="102">
        <f t="shared" si="162"/>
        <v>0.31432091140788881</v>
      </c>
      <c r="AV141" s="102">
        <f t="shared" si="162"/>
        <v>0.3144681201829681</v>
      </c>
      <c r="AW141" s="102">
        <f t="shared" si="162"/>
        <v>0.31464661078486816</v>
      </c>
      <c r="AX141" s="102">
        <f t="shared" si="162"/>
        <v>0.31485134087534744</v>
      </c>
      <c r="AY141" s="102">
        <f t="shared" si="162"/>
        <v>0.31507799269059367</v>
      </c>
      <c r="AZ141" s="102">
        <f t="shared" si="162"/>
        <v>0.3153228683042455</v>
      </c>
      <c r="BA141" s="102">
        <f t="shared" si="162"/>
        <v>0.31558280050110898</v>
      </c>
      <c r="BB141" s="102">
        <f t="shared" si="162"/>
        <v>0.31585507649663513</v>
      </c>
      <c r="BC141" s="102">
        <f t="shared" si="162"/>
        <v>0.31613737252832835</v>
      </c>
      <c r="BD141" s="156">
        <f t="shared" si="162"/>
        <v>0.31642769800166115</v>
      </c>
    </row>
    <row r="142" spans="2:56" x14ac:dyDescent="0.3">
      <c r="B142" s="155" t="s">
        <v>209</v>
      </c>
      <c r="C142" s="17"/>
      <c r="D142" s="102" t="e">
        <f t="shared" ref="D142:AJ142" si="163">EBIT/ReceitaLíquida</f>
        <v>#DIV/0!</v>
      </c>
      <c r="E142" s="102" t="e">
        <f t="shared" si="163"/>
        <v>#DIV/0!</v>
      </c>
      <c r="F142" s="102" t="e">
        <f t="shared" si="163"/>
        <v>#DIV/0!</v>
      </c>
      <c r="G142" s="102">
        <f t="shared" si="163"/>
        <v>4.4111379457309363E-2</v>
      </c>
      <c r="H142" s="616">
        <f t="shared" si="163"/>
        <v>0.10677996315883295</v>
      </c>
      <c r="I142" s="616">
        <f t="shared" si="163"/>
        <v>3.1081742535487174E-2</v>
      </c>
      <c r="J142" s="102">
        <f t="shared" si="163"/>
        <v>4.9569789674952236E-2</v>
      </c>
      <c r="K142" s="102">
        <f t="shared" si="163"/>
        <v>6.8102571793418415E-2</v>
      </c>
      <c r="L142" s="102">
        <f t="shared" si="163"/>
        <v>7.3046821424229441E-2</v>
      </c>
      <c r="M142" s="102">
        <f t="shared" si="163"/>
        <v>8.2273803324244707E-2</v>
      </c>
      <c r="N142" s="102">
        <f t="shared" si="163"/>
        <v>7.5166306850605227E-2</v>
      </c>
      <c r="O142" s="102">
        <f t="shared" si="163"/>
        <v>0.11104405155311127</v>
      </c>
      <c r="P142" s="102">
        <f t="shared" si="163"/>
        <v>0.10915088957686217</v>
      </c>
      <c r="Q142" s="102">
        <f t="shared" si="163"/>
        <v>0.11128752354788764</v>
      </c>
      <c r="R142" s="102">
        <f t="shared" si="163"/>
        <v>0.11438724840984373</v>
      </c>
      <c r="S142" s="102">
        <f t="shared" si="163"/>
        <v>0.11508070819724268</v>
      </c>
      <c r="T142" s="102">
        <f t="shared" si="163"/>
        <v>0.1166624759354896</v>
      </c>
      <c r="U142" s="102">
        <f t="shared" si="163"/>
        <v>0.11798516050459401</v>
      </c>
      <c r="V142" s="102">
        <f t="shared" si="163"/>
        <v>0.11885756161018007</v>
      </c>
      <c r="W142" s="102">
        <f t="shared" si="163"/>
        <v>0.11983760652075044</v>
      </c>
      <c r="X142" s="102">
        <f t="shared" si="163"/>
        <v>0.12064083301178682</v>
      </c>
      <c r="Y142" s="102">
        <f t="shared" si="163"/>
        <v>0.12132513950803095</v>
      </c>
      <c r="Z142" s="102">
        <f t="shared" si="163"/>
        <v>0.1219758506653498</v>
      </c>
      <c r="AA142" s="102">
        <f t="shared" si="163"/>
        <v>0.12220904058106469</v>
      </c>
      <c r="AB142" s="102">
        <f t="shared" si="163"/>
        <v>0.12240460601720421</v>
      </c>
      <c r="AC142" s="102">
        <f t="shared" si="163"/>
        <v>0.12259548348988426</v>
      </c>
      <c r="AD142" s="102">
        <f t="shared" si="163"/>
        <v>0.1227734348492294</v>
      </c>
      <c r="AE142" s="102">
        <f t="shared" si="163"/>
        <v>0.12294690784902546</v>
      </c>
      <c r="AF142" s="102">
        <f t="shared" si="163"/>
        <v>0.12311757494319113</v>
      </c>
      <c r="AG142" s="102">
        <f t="shared" si="163"/>
        <v>0.12328540061626068</v>
      </c>
      <c r="AH142" s="102">
        <f t="shared" si="163"/>
        <v>0.12345306559711082</v>
      </c>
      <c r="AI142" s="102">
        <f t="shared" si="163"/>
        <v>0.12362128027475144</v>
      </c>
      <c r="AJ142" s="102">
        <f t="shared" si="163"/>
        <v>0.12379067026673431</v>
      </c>
      <c r="AK142" s="102">
        <f t="shared" ref="AK142:BD142" si="164">EBIT/ReceitaLíquida</f>
        <v>0.12396211586523535</v>
      </c>
      <c r="AL142" s="102">
        <f t="shared" si="164"/>
        <v>0.12413595012288786</v>
      </c>
      <c r="AM142" s="102">
        <f t="shared" si="164"/>
        <v>0.12431246499739138</v>
      </c>
      <c r="AN142" s="102">
        <f t="shared" si="164"/>
        <v>0.1244918820637589</v>
      </c>
      <c r="AO142" s="102">
        <f t="shared" si="164"/>
        <v>0.12467424760736216</v>
      </c>
      <c r="AP142" s="102">
        <f t="shared" si="164"/>
        <v>0.12485955514365556</v>
      </c>
      <c r="AQ142" s="102">
        <f t="shared" si="164"/>
        <v>0.12504773001168767</v>
      </c>
      <c r="AR142" s="102">
        <f t="shared" si="164"/>
        <v>0.1252386281572522</v>
      </c>
      <c r="AS142" s="102">
        <f t="shared" si="164"/>
        <v>0.1254320677210804</v>
      </c>
      <c r="AT142" s="102">
        <f t="shared" si="164"/>
        <v>0.12560608497865777</v>
      </c>
      <c r="AU142" s="102">
        <f t="shared" si="164"/>
        <v>0.12530892891298298</v>
      </c>
      <c r="AV142" s="102">
        <f t="shared" si="164"/>
        <v>0.1250573428814899</v>
      </c>
      <c r="AW142" s="102">
        <f t="shared" si="164"/>
        <v>0.12484530531520667</v>
      </c>
      <c r="AX142" s="102">
        <f t="shared" si="164"/>
        <v>0.12466763263286901</v>
      </c>
      <c r="AY142" s="102">
        <f t="shared" si="164"/>
        <v>0.12451985973067074</v>
      </c>
      <c r="AZ142" s="102">
        <f t="shared" si="164"/>
        <v>0.12439813682699472</v>
      </c>
      <c r="BA142" s="102">
        <f t="shared" si="164"/>
        <v>0.12429914173714475</v>
      </c>
      <c r="BB142" s="102">
        <f t="shared" si="164"/>
        <v>0.12422000474306658</v>
      </c>
      <c r="BC142" s="102">
        <f t="shared" si="164"/>
        <v>0.1241582441657714</v>
      </c>
      <c r="BD142" s="156">
        <f t="shared" si="164"/>
        <v>0.12411171134624793</v>
      </c>
    </row>
    <row r="143" spans="2:56" x14ac:dyDescent="0.3">
      <c r="B143" s="155" t="s">
        <v>210</v>
      </c>
      <c r="C143" s="17"/>
      <c r="D143" s="102" t="e">
        <f t="shared" ref="D143:AJ143" si="165">EBITDA/ReceitaLíquida</f>
        <v>#DIV/0!</v>
      </c>
      <c r="E143" s="102" t="e">
        <f t="shared" si="165"/>
        <v>#DIV/0!</v>
      </c>
      <c r="F143" s="102" t="e">
        <f t="shared" si="165"/>
        <v>#DIV/0!</v>
      </c>
      <c r="G143" s="102">
        <f t="shared" si="165"/>
        <v>0.2449921863901123</v>
      </c>
      <c r="H143" s="102">
        <f t="shared" si="165"/>
        <v>0.23887337334363301</v>
      </c>
      <c r="I143" s="102">
        <f t="shared" si="165"/>
        <v>7.5868820362212569E-2</v>
      </c>
      <c r="J143" s="102">
        <f t="shared" si="165"/>
        <v>9.0678776290630994E-2</v>
      </c>
      <c r="K143" s="102">
        <f t="shared" si="165"/>
        <v>0.10281660009836371</v>
      </c>
      <c r="L143" s="102">
        <f t="shared" si="165"/>
        <v>0.11494584581384018</v>
      </c>
      <c r="M143" s="102">
        <f t="shared" si="165"/>
        <v>0.1157936867096165</v>
      </c>
      <c r="N143" s="180">
        <f t="shared" si="165"/>
        <v>0.10842102602780386</v>
      </c>
      <c r="O143" s="102">
        <f t="shared" si="165"/>
        <v>0.14197584255626014</v>
      </c>
      <c r="P143" s="102">
        <f t="shared" si="165"/>
        <v>0.1387220257489763</v>
      </c>
      <c r="Q143" s="102">
        <f t="shared" si="165"/>
        <v>0.13949245320946788</v>
      </c>
      <c r="R143" s="102">
        <f t="shared" si="165"/>
        <v>0.14142485207845243</v>
      </c>
      <c r="S143" s="102">
        <f t="shared" si="165"/>
        <v>0.14113673806643551</v>
      </c>
      <c r="T143" s="102">
        <f t="shared" si="165"/>
        <v>0.14186855968721679</v>
      </c>
      <c r="U143" s="102">
        <f t="shared" si="165"/>
        <v>0.1424645460795794</v>
      </c>
      <c r="V143" s="102">
        <f t="shared" si="165"/>
        <v>0.14271553638047305</v>
      </c>
      <c r="W143" s="102">
        <f t="shared" si="165"/>
        <v>0.14315940536844152</v>
      </c>
      <c r="X143" s="102">
        <f t="shared" si="165"/>
        <v>0.14350119018487348</v>
      </c>
      <c r="Y143" s="102">
        <f t="shared" si="165"/>
        <v>0.14378716651685394</v>
      </c>
      <c r="Z143" s="102">
        <f t="shared" si="165"/>
        <v>0.14409249051163889</v>
      </c>
      <c r="AA143" s="102">
        <f t="shared" si="165"/>
        <v>0.14420641133977991</v>
      </c>
      <c r="AB143" s="102">
        <f t="shared" si="165"/>
        <v>0.14430426019437426</v>
      </c>
      <c r="AC143" s="102">
        <f t="shared" si="165"/>
        <v>0.14440418327445625</v>
      </c>
      <c r="AD143" s="102">
        <f t="shared" si="165"/>
        <v>0.14449704645195555</v>
      </c>
      <c r="AE143" s="102">
        <f t="shared" si="165"/>
        <v>0.14459041209096984</v>
      </c>
      <c r="AF143" s="102">
        <f t="shared" si="165"/>
        <v>0.14468523148957807</v>
      </c>
      <c r="AG143" s="102">
        <f t="shared" si="165"/>
        <v>0.1447808824125118</v>
      </c>
      <c r="AH143" s="102">
        <f t="shared" si="165"/>
        <v>0.14487952587820649</v>
      </c>
      <c r="AI143" s="102">
        <f t="shared" si="165"/>
        <v>0.14498144312143213</v>
      </c>
      <c r="AJ143" s="102">
        <f t="shared" si="165"/>
        <v>0.14508690122133958</v>
      </c>
      <c r="AK143" s="102">
        <f t="shared" ref="AK143:BD143" si="166">EBITDA/ReceitaLíquida</f>
        <v>0.14519647522607113</v>
      </c>
      <c r="AL143" s="102">
        <f t="shared" si="166"/>
        <v>0.1453102448876446</v>
      </c>
      <c r="AM143" s="102">
        <f t="shared" si="166"/>
        <v>0.14542829079827141</v>
      </c>
      <c r="AN143" s="102">
        <f t="shared" si="166"/>
        <v>0.14555065797650024</v>
      </c>
      <c r="AO143" s="102">
        <f t="shared" si="166"/>
        <v>0.14567724686001576</v>
      </c>
      <c r="AP143" s="102">
        <f t="shared" si="166"/>
        <v>0.14580793053032792</v>
      </c>
      <c r="AQ143" s="102">
        <f t="shared" si="166"/>
        <v>0.14594253531933807</v>
      </c>
      <c r="AR143" s="102">
        <f t="shared" si="166"/>
        <v>0.14608083642966849</v>
      </c>
      <c r="AS143" s="102">
        <f t="shared" si="166"/>
        <v>0.14622258648804054</v>
      </c>
      <c r="AT143" s="102">
        <f t="shared" si="166"/>
        <v>0.1463600300504064</v>
      </c>
      <c r="AU143" s="102">
        <f t="shared" si="166"/>
        <v>0.14633971072724933</v>
      </c>
      <c r="AV143" s="102">
        <f t="shared" si="166"/>
        <v>0.14632358463359676</v>
      </c>
      <c r="AW143" s="102">
        <f t="shared" si="166"/>
        <v>0.14631166459049369</v>
      </c>
      <c r="AX143" s="102">
        <f t="shared" si="166"/>
        <v>0.14630392500462791</v>
      </c>
      <c r="AY143" s="102">
        <f t="shared" si="166"/>
        <v>0.14630030936290028</v>
      </c>
      <c r="AZ143" s="102">
        <f t="shared" si="166"/>
        <v>0.1463007357229294</v>
      </c>
      <c r="BA143" s="102">
        <f t="shared" si="166"/>
        <v>0.14630510191433935</v>
      </c>
      <c r="BB143" s="102">
        <f t="shared" si="166"/>
        <v>0.14631328988504</v>
      </c>
      <c r="BC143" s="102">
        <f t="shared" si="166"/>
        <v>0.14632516924514286</v>
      </c>
      <c r="BD143" s="156">
        <f t="shared" si="166"/>
        <v>0.14634060037428573</v>
      </c>
    </row>
    <row r="144" spans="2:56" x14ac:dyDescent="0.3">
      <c r="B144" s="155" t="s">
        <v>212</v>
      </c>
      <c r="C144" s="17"/>
      <c r="D144" s="102" t="e">
        <f t="shared" ref="D144:AJ144" si="167">EBITDAAjustado/ReceitaLíquida</f>
        <v>#DIV/0!</v>
      </c>
      <c r="E144" s="102" t="e">
        <f t="shared" si="167"/>
        <v>#DIV/0!</v>
      </c>
      <c r="F144" s="102" t="e">
        <f t="shared" si="167"/>
        <v>#DIV/0!</v>
      </c>
      <c r="G144" s="102">
        <f t="shared" si="167"/>
        <v>9.9659042477624749E-2</v>
      </c>
      <c r="H144" s="102">
        <f t="shared" si="167"/>
        <v>7.1483748291639407E-2</v>
      </c>
      <c r="I144" s="102">
        <f t="shared" si="167"/>
        <v>7.5917767988252574E-2</v>
      </c>
      <c r="J144" s="102">
        <f t="shared" si="167"/>
        <v>9.0678776290630994E-2</v>
      </c>
      <c r="K144" s="102">
        <f t="shared" si="167"/>
        <v>0.10278528248705934</v>
      </c>
      <c r="L144" s="102">
        <f t="shared" si="167"/>
        <v>0.11497569951771137</v>
      </c>
      <c r="M144" s="102">
        <f t="shared" si="167"/>
        <v>0.11579823486204324</v>
      </c>
      <c r="N144" s="102">
        <f t="shared" si="167"/>
        <v>0.10845561093574793</v>
      </c>
      <c r="O144" s="102">
        <f t="shared" si="167"/>
        <v>0.14197584255626014</v>
      </c>
      <c r="P144" s="102">
        <f t="shared" si="167"/>
        <v>0.1387220257489763</v>
      </c>
      <c r="Q144" s="102">
        <f t="shared" si="167"/>
        <v>0.13949245320946788</v>
      </c>
      <c r="R144" s="102">
        <f t="shared" si="167"/>
        <v>0.14142485207845243</v>
      </c>
      <c r="S144" s="102">
        <f t="shared" si="167"/>
        <v>0.14113673806643551</v>
      </c>
      <c r="T144" s="102">
        <f t="shared" si="167"/>
        <v>0.14186855968721679</v>
      </c>
      <c r="U144" s="102">
        <f t="shared" si="167"/>
        <v>0.1424645460795794</v>
      </c>
      <c r="V144" s="102">
        <f t="shared" si="167"/>
        <v>0.14271553638047305</v>
      </c>
      <c r="W144" s="102">
        <f t="shared" si="167"/>
        <v>0.14315940536844152</v>
      </c>
      <c r="X144" s="102">
        <f t="shared" si="167"/>
        <v>0.14350119018487348</v>
      </c>
      <c r="Y144" s="102">
        <f t="shared" si="167"/>
        <v>0.14378716651685394</v>
      </c>
      <c r="Z144" s="102">
        <f t="shared" si="167"/>
        <v>0.14409249051163889</v>
      </c>
      <c r="AA144" s="102">
        <f t="shared" si="167"/>
        <v>0.14420641133977991</v>
      </c>
      <c r="AB144" s="102">
        <f t="shared" si="167"/>
        <v>0.14430426019437426</v>
      </c>
      <c r="AC144" s="102">
        <f t="shared" si="167"/>
        <v>0.14440418327445625</v>
      </c>
      <c r="AD144" s="102">
        <f t="shared" si="167"/>
        <v>0.14449704645195555</v>
      </c>
      <c r="AE144" s="102">
        <f t="shared" si="167"/>
        <v>0.14459041209096984</v>
      </c>
      <c r="AF144" s="102">
        <f t="shared" si="167"/>
        <v>0.14468523148957807</v>
      </c>
      <c r="AG144" s="102">
        <f t="shared" si="167"/>
        <v>0.1447808824125118</v>
      </c>
      <c r="AH144" s="102">
        <f t="shared" si="167"/>
        <v>0.14487952587820649</v>
      </c>
      <c r="AI144" s="102">
        <f t="shared" si="167"/>
        <v>0.14498144312143213</v>
      </c>
      <c r="AJ144" s="102">
        <f t="shared" si="167"/>
        <v>0.14508690122133958</v>
      </c>
      <c r="AK144" s="102">
        <f t="shared" ref="AK144:BD144" si="168">EBITDAAjustado/ReceitaLíquida</f>
        <v>0.14519647522607113</v>
      </c>
      <c r="AL144" s="102">
        <f t="shared" si="168"/>
        <v>0.1453102448876446</v>
      </c>
      <c r="AM144" s="102">
        <f t="shared" si="168"/>
        <v>0.14542829079827141</v>
      </c>
      <c r="AN144" s="102">
        <f t="shared" si="168"/>
        <v>0.14555065797650024</v>
      </c>
      <c r="AO144" s="102">
        <f t="shared" si="168"/>
        <v>0.14567724686001576</v>
      </c>
      <c r="AP144" s="102">
        <f t="shared" si="168"/>
        <v>0.14580793053032792</v>
      </c>
      <c r="AQ144" s="102">
        <f t="shared" si="168"/>
        <v>0.14594253531933807</v>
      </c>
      <c r="AR144" s="102">
        <f t="shared" si="168"/>
        <v>0.14608083642966849</v>
      </c>
      <c r="AS144" s="102">
        <f t="shared" si="168"/>
        <v>0.14622258648804054</v>
      </c>
      <c r="AT144" s="102">
        <f t="shared" si="168"/>
        <v>0.1463600300504064</v>
      </c>
      <c r="AU144" s="102">
        <f t="shared" si="168"/>
        <v>0.14633971072724933</v>
      </c>
      <c r="AV144" s="102">
        <f t="shared" si="168"/>
        <v>0.14632358463359676</v>
      </c>
      <c r="AW144" s="102">
        <f t="shared" si="168"/>
        <v>0.14631166459049369</v>
      </c>
      <c r="AX144" s="102">
        <f t="shared" si="168"/>
        <v>0.14630392500462791</v>
      </c>
      <c r="AY144" s="102">
        <f t="shared" si="168"/>
        <v>0.14630030936290028</v>
      </c>
      <c r="AZ144" s="102">
        <f t="shared" si="168"/>
        <v>0.1463007357229294</v>
      </c>
      <c r="BA144" s="102">
        <f t="shared" si="168"/>
        <v>0.14630510191433935</v>
      </c>
      <c r="BB144" s="102">
        <f t="shared" si="168"/>
        <v>0.14631328988504</v>
      </c>
      <c r="BC144" s="102">
        <f t="shared" si="168"/>
        <v>0.14632516924514286</v>
      </c>
      <c r="BD144" s="156">
        <f t="shared" si="168"/>
        <v>0.14634060037428573</v>
      </c>
    </row>
    <row r="145" spans="2:56" x14ac:dyDescent="0.3">
      <c r="B145" s="157" t="s">
        <v>211</v>
      </c>
      <c r="C145" s="43"/>
      <c r="D145" s="158" t="e">
        <f t="shared" ref="D145:AJ145" si="169">LucroLiquido/ReceitaLíquida</f>
        <v>#DIV/0!</v>
      </c>
      <c r="E145" s="158" t="e">
        <f t="shared" si="169"/>
        <v>#DIV/0!</v>
      </c>
      <c r="F145" s="158" t="e">
        <f t="shared" si="169"/>
        <v>#DIV/0!</v>
      </c>
      <c r="G145" s="158">
        <f t="shared" si="169"/>
        <v>-9.7812189231424831E-2</v>
      </c>
      <c r="H145" s="158">
        <f t="shared" si="169"/>
        <v>3.3988947649890064E-2</v>
      </c>
      <c r="I145" s="158">
        <f t="shared" si="169"/>
        <v>-2.584434654919221E-2</v>
      </c>
      <c r="J145" s="158">
        <f t="shared" si="169"/>
        <v>-1.3910133843212198E-2</v>
      </c>
      <c r="K145" s="158">
        <f t="shared" si="169"/>
        <v>9.9841427024451573E-3</v>
      </c>
      <c r="L145" s="158">
        <f t="shared" si="169"/>
        <v>-2.7902396560160062E-3</v>
      </c>
      <c r="M145" s="158">
        <f t="shared" si="169"/>
        <v>9.8349248076701166E-3</v>
      </c>
      <c r="N145" s="158">
        <f t="shared" si="169"/>
        <v>3.3179341813730921E-3</v>
      </c>
      <c r="O145" s="158">
        <f t="shared" si="169"/>
        <v>3.6440603244100082E-2</v>
      </c>
      <c r="P145" s="158">
        <f t="shared" si="169"/>
        <v>4.0694972085933936E-2</v>
      </c>
      <c r="Q145" s="158">
        <f t="shared" si="169"/>
        <v>4.6546561194339912E-2</v>
      </c>
      <c r="R145" s="158">
        <f t="shared" si="169"/>
        <v>5.3131881538863349E-2</v>
      </c>
      <c r="S145" s="158">
        <f t="shared" si="169"/>
        <v>5.724668398885488E-2</v>
      </c>
      <c r="T145" s="158">
        <f t="shared" si="169"/>
        <v>5.3518871630853254E-2</v>
      </c>
      <c r="U145" s="158">
        <f t="shared" si="169"/>
        <v>5.6256202629079231E-2</v>
      </c>
      <c r="V145" s="158">
        <f t="shared" si="169"/>
        <v>5.813175608122885E-2</v>
      </c>
      <c r="W145" s="158">
        <f t="shared" si="169"/>
        <v>5.9823690528677323E-2</v>
      </c>
      <c r="X145" s="158">
        <f t="shared" si="169"/>
        <v>6.1343237555385115E-2</v>
      </c>
      <c r="Y145" s="158">
        <f t="shared" si="169"/>
        <v>6.2804233585569122E-2</v>
      </c>
      <c r="Z145" s="158">
        <f t="shared" si="169"/>
        <v>6.4157190627884109E-2</v>
      </c>
      <c r="AA145" s="158">
        <f t="shared" si="169"/>
        <v>6.508169083946938E-2</v>
      </c>
      <c r="AB145" s="158">
        <f t="shared" si="169"/>
        <v>6.605769610681321E-2</v>
      </c>
      <c r="AC145" s="158">
        <f t="shared" si="169"/>
        <v>6.700280852013564E-2</v>
      </c>
      <c r="AD145" s="158">
        <f t="shared" si="169"/>
        <v>6.7914963782505958E-2</v>
      </c>
      <c r="AE145" s="158">
        <f t="shared" si="169"/>
        <v>6.8798933140914925E-2</v>
      </c>
      <c r="AF145" s="158">
        <f t="shared" si="169"/>
        <v>6.965334412016938E-2</v>
      </c>
      <c r="AG145" s="158">
        <f t="shared" si="169"/>
        <v>7.0480989553118212E-2</v>
      </c>
      <c r="AH145" s="158">
        <f t="shared" si="169"/>
        <v>7.1283536048569018E-2</v>
      </c>
      <c r="AI145" s="158">
        <f t="shared" si="169"/>
        <v>7.2061530958001802E-2</v>
      </c>
      <c r="AJ145" s="158">
        <f t="shared" si="169"/>
        <v>7.2816320964866676E-2</v>
      </c>
      <c r="AK145" s="158">
        <f t="shared" ref="AK145:BD145" si="170">LucroLiquido/ReceitaLíquida</f>
        <v>7.354879466200813E-2</v>
      </c>
      <c r="AL145" s="158">
        <f t="shared" si="170"/>
        <v>7.4259616229986294E-2</v>
      </c>
      <c r="AM145" s="158">
        <f t="shared" si="170"/>
        <v>7.4949545834989875E-2</v>
      </c>
      <c r="AN145" s="158">
        <f t="shared" si="170"/>
        <v>7.5619175277452447E-2</v>
      </c>
      <c r="AO145" s="158">
        <f t="shared" si="170"/>
        <v>7.6269026548219862E-2</v>
      </c>
      <c r="AP145" s="158">
        <f t="shared" si="170"/>
        <v>7.6899602413444484E-2</v>
      </c>
      <c r="AQ145" s="158">
        <f t="shared" si="170"/>
        <v>7.7511340081096489E-2</v>
      </c>
      <c r="AR145" s="158">
        <f t="shared" si="170"/>
        <v>7.8104644036690055E-2</v>
      </c>
      <c r="AS145" s="158">
        <f t="shared" si="170"/>
        <v>7.8679895853211668E-2</v>
      </c>
      <c r="AT145" s="158">
        <f t="shared" si="170"/>
        <v>7.9221619869938767E-2</v>
      </c>
      <c r="AU145" s="158">
        <f t="shared" si="170"/>
        <v>7.941631905572831E-2</v>
      </c>
      <c r="AV145" s="158">
        <f t="shared" si="170"/>
        <v>7.9822921831486537E-2</v>
      </c>
      <c r="AW145" s="158">
        <f t="shared" si="170"/>
        <v>8.0252923545697727E-2</v>
      </c>
      <c r="AX145" s="158">
        <f t="shared" si="170"/>
        <v>8.069868516382761E-2</v>
      </c>
      <c r="AY145" s="158">
        <f t="shared" si="170"/>
        <v>8.1156476444920495E-2</v>
      </c>
      <c r="AZ145" s="158">
        <f t="shared" si="170"/>
        <v>8.1623178083006134E-2</v>
      </c>
      <c r="BA145" s="158">
        <f t="shared" si="170"/>
        <v>8.209614378949523E-2</v>
      </c>
      <c r="BB145" s="158">
        <f t="shared" si="170"/>
        <v>8.25731306012078E-2</v>
      </c>
      <c r="BC145" s="158">
        <f t="shared" si="170"/>
        <v>8.3052240222131563E-2</v>
      </c>
      <c r="BD145" s="159">
        <f t="shared" si="170"/>
        <v>8.3531868946562796E-2</v>
      </c>
    </row>
    <row r="146" spans="2:56" x14ac:dyDescent="0.3">
      <c r="B146" s="17"/>
      <c r="C146" s="17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02"/>
      <c r="AN146" s="102"/>
      <c r="AO146" s="102"/>
      <c r="AP146" s="102"/>
      <c r="AQ146" s="102"/>
      <c r="AR146" s="102"/>
      <c r="AS146" s="102"/>
      <c r="AT146" s="102"/>
      <c r="AU146" s="102"/>
      <c r="AV146" s="102"/>
      <c r="AW146" s="102"/>
      <c r="AX146" s="102"/>
      <c r="AY146" s="102"/>
      <c r="AZ146" s="102"/>
      <c r="BA146" s="102"/>
      <c r="BB146" s="102"/>
      <c r="BC146" s="102"/>
      <c r="BD146" s="102"/>
    </row>
    <row r="147" spans="2:56" x14ac:dyDescent="0.3">
      <c r="B147" s="154" t="s">
        <v>221</v>
      </c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7"/>
    </row>
    <row r="148" spans="2:56" x14ac:dyDescent="0.3">
      <c r="B148" s="155" t="s">
        <v>222</v>
      </c>
      <c r="C148" s="17"/>
      <c r="D148" s="17"/>
      <c r="E148" s="102" t="e">
        <f t="shared" ref="E148:AJ148" si="171">LucroLiquido/AVERAGE(D47:E47)</f>
        <v>#DIV/0!</v>
      </c>
      <c r="F148" s="102" t="e">
        <f t="shared" si="171"/>
        <v>#DIV/0!</v>
      </c>
      <c r="G148" s="102">
        <f t="shared" si="171"/>
        <v>-0.22826357231661806</v>
      </c>
      <c r="H148" s="102">
        <f t="shared" si="171"/>
        <v>4.7195245161559124E-2</v>
      </c>
      <c r="I148" s="102">
        <f t="shared" si="171"/>
        <v>-4.4568752999210925E-2</v>
      </c>
      <c r="J148" s="102">
        <f t="shared" si="171"/>
        <v>-2.6008848371095253E-2</v>
      </c>
      <c r="K148" s="102">
        <f t="shared" si="171"/>
        <v>2.0912171650726449E-2</v>
      </c>
      <c r="L148" s="102">
        <f t="shared" si="171"/>
        <v>-6.1221622463178433E-3</v>
      </c>
      <c r="M148" s="102">
        <f t="shared" si="171"/>
        <v>1.9863032887814595E-2</v>
      </c>
      <c r="N148" s="102">
        <f t="shared" si="171"/>
        <v>6.4785102283496775E-3</v>
      </c>
      <c r="O148" s="102">
        <f t="shared" si="171"/>
        <v>7.2664938556314784E-2</v>
      </c>
      <c r="P148" s="102">
        <f t="shared" si="171"/>
        <v>7.8788423564360402E-2</v>
      </c>
      <c r="Q148" s="102">
        <f t="shared" si="171"/>
        <v>8.7490656592996041E-2</v>
      </c>
      <c r="R148" s="102">
        <f t="shared" si="171"/>
        <v>9.6168839265839537E-2</v>
      </c>
      <c r="S148" s="102">
        <f t="shared" si="171"/>
        <v>9.9197679620963874E-2</v>
      </c>
      <c r="T148" s="102">
        <f t="shared" si="171"/>
        <v>9.1235264742890954E-2</v>
      </c>
      <c r="U148" s="102">
        <f t="shared" si="171"/>
        <v>9.672557982667572E-2</v>
      </c>
      <c r="V148" s="102">
        <f t="shared" si="171"/>
        <v>0.10061419965866336</v>
      </c>
      <c r="W148" s="102">
        <f t="shared" si="171"/>
        <v>0.10409746596425618</v>
      </c>
      <c r="X148" s="102">
        <f t="shared" si="171"/>
        <v>0.10718663836599751</v>
      </c>
      <c r="Y148" s="102">
        <f t="shared" si="171"/>
        <v>0.11008318984323438</v>
      </c>
      <c r="Z148" s="102">
        <f t="shared" si="171"/>
        <v>0.11270574614761332</v>
      </c>
      <c r="AA148" s="102">
        <f t="shared" si="171"/>
        <v>0.11359678124617978</v>
      </c>
      <c r="AB148" s="102">
        <f t="shared" si="171"/>
        <v>0.11449291741463928</v>
      </c>
      <c r="AC148" s="102">
        <f t="shared" si="171"/>
        <v>0.11531184308856858</v>
      </c>
      <c r="AD148" s="102">
        <f t="shared" si="171"/>
        <v>0.11605524774631062</v>
      </c>
      <c r="AE148" s="102">
        <f t="shared" si="171"/>
        <v>0.11673680627979098</v>
      </c>
      <c r="AF148" s="102">
        <f t="shared" si="171"/>
        <v>0.11735904795276861</v>
      </c>
      <c r="AG148" s="102">
        <f t="shared" si="171"/>
        <v>0.11793108263810488</v>
      </c>
      <c r="AH148" s="102">
        <f t="shared" si="171"/>
        <v>0.11845968156861805</v>
      </c>
      <c r="AI148" s="102">
        <f t="shared" si="171"/>
        <v>0.11894929473779353</v>
      </c>
      <c r="AJ148" s="102">
        <f t="shared" si="171"/>
        <v>0.11940531983972562</v>
      </c>
      <c r="AK148" s="102">
        <f t="shared" ref="AK148:BD148" si="172">LucroLiquido/AVERAGE(AJ47:AK47)</f>
        <v>0.11983204608651278</v>
      </c>
      <c r="AL148" s="102">
        <f t="shared" si="172"/>
        <v>0.12023306820833904</v>
      </c>
      <c r="AM148" s="102">
        <f t="shared" si="172"/>
        <v>0.12061184620126671</v>
      </c>
      <c r="AN148" s="102">
        <f t="shared" si="172"/>
        <v>0.12097130062885796</v>
      </c>
      <c r="AO148" s="102">
        <f t="shared" si="172"/>
        <v>0.12131399648252884</v>
      </c>
      <c r="AP148" s="102">
        <f t="shared" si="172"/>
        <v>0.12164224772633496</v>
      </c>
      <c r="AQ148" s="102">
        <f t="shared" si="172"/>
        <v>0.12195806293390682</v>
      </c>
      <c r="AR148" s="102">
        <f t="shared" si="172"/>
        <v>0.12226321567004378</v>
      </c>
      <c r="AS148" s="102">
        <f t="shared" si="172"/>
        <v>0.12255927651222746</v>
      </c>
      <c r="AT148" s="102">
        <f t="shared" si="172"/>
        <v>0.12274202389747153</v>
      </c>
      <c r="AU148" s="102">
        <f t="shared" si="172"/>
        <v>0.12065400119651984</v>
      </c>
      <c r="AV148" s="102">
        <f t="shared" si="172"/>
        <v>0.11903190872830456</v>
      </c>
      <c r="AW148" s="102">
        <f t="shared" si="172"/>
        <v>0.11755897204747305</v>
      </c>
      <c r="AX148" s="102">
        <f t="shared" si="172"/>
        <v>0.11621064791631915</v>
      </c>
      <c r="AY148" s="102">
        <f t="shared" si="172"/>
        <v>0.11497067304578534</v>
      </c>
      <c r="AZ148" s="102">
        <f t="shared" si="172"/>
        <v>0.11382545874178965</v>
      </c>
      <c r="BA148" s="102">
        <f t="shared" si="172"/>
        <v>0.11276354056660984</v>
      </c>
      <c r="BB148" s="102">
        <f t="shared" si="172"/>
        <v>0.1117752050733907</v>
      </c>
      <c r="BC148" s="102">
        <f t="shared" si="172"/>
        <v>0.11085218898234619</v>
      </c>
      <c r="BD148" s="156">
        <f t="shared" si="172"/>
        <v>0.10998743462064053</v>
      </c>
    </row>
    <row r="149" spans="2:56" x14ac:dyDescent="0.3">
      <c r="B149" s="155" t="s">
        <v>223</v>
      </c>
      <c r="C149" s="17"/>
      <c r="D149" s="17"/>
      <c r="E149" s="102" t="e">
        <f t="shared" ref="E149:AJ149" si="173">LucroLiquido/AVERAGE(D5:E5)</f>
        <v>#DIV/0!</v>
      </c>
      <c r="F149" s="102" t="e">
        <f t="shared" si="173"/>
        <v>#DIV/0!</v>
      </c>
      <c r="G149" s="102">
        <f t="shared" si="173"/>
        <v>-0.10278420541912359</v>
      </c>
      <c r="H149" s="102">
        <f t="shared" si="173"/>
        <v>2.2224812526712514E-2</v>
      </c>
      <c r="I149" s="102">
        <f t="shared" si="173"/>
        <v>-2.1502748930971163E-2</v>
      </c>
      <c r="J149" s="102">
        <f t="shared" si="173"/>
        <v>-1.1849569109354184E-2</v>
      </c>
      <c r="K149" s="102">
        <f t="shared" si="173"/>
        <v>8.934444622725423E-3</v>
      </c>
      <c r="L149" s="102">
        <f t="shared" si="173"/>
        <v>-2.4670959824284046E-3</v>
      </c>
      <c r="M149" s="102">
        <f t="shared" si="173"/>
        <v>8.0820901756296984E-3</v>
      </c>
      <c r="N149" s="102">
        <f t="shared" si="173"/>
        <v>2.6434625084386198E-3</v>
      </c>
      <c r="O149" s="102">
        <f t="shared" si="173"/>
        <v>2.9412559121046681E-2</v>
      </c>
      <c r="P149" s="102">
        <f t="shared" si="173"/>
        <v>3.3331883636609647E-2</v>
      </c>
      <c r="Q149" s="102">
        <f t="shared" si="173"/>
        <v>3.8602197082292559E-2</v>
      </c>
      <c r="R149" s="102">
        <f t="shared" si="173"/>
        <v>4.4491086045619292E-2</v>
      </c>
      <c r="S149" s="102">
        <f t="shared" si="173"/>
        <v>4.8169907647850965E-2</v>
      </c>
      <c r="T149" s="102">
        <f t="shared" si="173"/>
        <v>4.5236172149161327E-2</v>
      </c>
      <c r="U149" s="102">
        <f t="shared" si="173"/>
        <v>4.8335392784915047E-2</v>
      </c>
      <c r="V149" s="102">
        <f t="shared" si="173"/>
        <v>5.121845187213972E-2</v>
      </c>
      <c r="W149" s="102">
        <f t="shared" si="173"/>
        <v>5.399629311347514E-2</v>
      </c>
      <c r="X149" s="102">
        <f t="shared" si="173"/>
        <v>5.6667036785665169E-2</v>
      </c>
      <c r="Y149" s="102">
        <f t="shared" si="173"/>
        <v>5.9314096152072754E-2</v>
      </c>
      <c r="Z149" s="102">
        <f t="shared" si="173"/>
        <v>6.1883320748762322E-2</v>
      </c>
      <c r="AA149" s="102">
        <f t="shared" si="173"/>
        <v>6.3572663376321378E-2</v>
      </c>
      <c r="AB149" s="102">
        <f t="shared" si="173"/>
        <v>6.5304628168326828E-2</v>
      </c>
      <c r="AC149" s="102">
        <f t="shared" si="173"/>
        <v>6.6998690473228761E-2</v>
      </c>
      <c r="AD149" s="102">
        <f t="shared" si="173"/>
        <v>6.8650408268823016E-2</v>
      </c>
      <c r="AE149" s="102">
        <f t="shared" si="173"/>
        <v>7.0262303500482265E-2</v>
      </c>
      <c r="AF149" s="102">
        <f t="shared" si="173"/>
        <v>7.183155110667809E-2</v>
      </c>
      <c r="AG149" s="102">
        <f t="shared" si="173"/>
        <v>7.3359634815434963E-2</v>
      </c>
      <c r="AH149" s="102">
        <f t="shared" si="173"/>
        <v>7.4846990244202549E-2</v>
      </c>
      <c r="AI149" s="102">
        <f t="shared" si="173"/>
        <v>7.6293262108268922E-2</v>
      </c>
      <c r="AJ149" s="102">
        <f t="shared" si="173"/>
        <v>7.769907457192532E-2</v>
      </c>
      <c r="AK149" s="102">
        <f t="shared" ref="AK149:BD149" si="174">LucroLiquido/AVERAGE(AJ5:AK5)</f>
        <v>7.9064737923006403E-2</v>
      </c>
      <c r="AL149" s="102">
        <f t="shared" si="174"/>
        <v>8.0390524551281789E-2</v>
      </c>
      <c r="AM149" s="102">
        <f t="shared" si="174"/>
        <v>8.1676948908738667E-2</v>
      </c>
      <c r="AN149" s="102">
        <f t="shared" si="174"/>
        <v>8.2924484030903856E-2</v>
      </c>
      <c r="AO149" s="102">
        <f t="shared" si="174"/>
        <v>8.4133660126270993E-2</v>
      </c>
      <c r="AP149" s="102">
        <f t="shared" si="174"/>
        <v>8.5305096562060187E-2</v>
      </c>
      <c r="AQ149" s="102">
        <f t="shared" si="174"/>
        <v>8.6439442499930533E-2</v>
      </c>
      <c r="AR149" s="102">
        <f t="shared" si="174"/>
        <v>8.7537401216082222E-2</v>
      </c>
      <c r="AS149" s="102">
        <f t="shared" si="174"/>
        <v>8.8599727423859562E-2</v>
      </c>
      <c r="AT149" s="102">
        <f t="shared" si="174"/>
        <v>8.9554023964231094E-2</v>
      </c>
      <c r="AU149" s="102">
        <f t="shared" si="174"/>
        <v>8.8893481203605643E-2</v>
      </c>
      <c r="AV149" s="102">
        <f t="shared" si="174"/>
        <v>8.858474866429511E-2</v>
      </c>
      <c r="AW149" s="102">
        <f t="shared" si="174"/>
        <v>8.831464471285877E-2</v>
      </c>
      <c r="AX149" s="102">
        <f t="shared" si="174"/>
        <v>8.8076899829064026E-2</v>
      </c>
      <c r="AY149" s="102">
        <f t="shared" si="174"/>
        <v>8.7865766617602648E-2</v>
      </c>
      <c r="AZ149" s="102">
        <f t="shared" si="174"/>
        <v>8.7676461128934707E-2</v>
      </c>
      <c r="BA149" s="102">
        <f t="shared" si="174"/>
        <v>8.7505014046295224E-2</v>
      </c>
      <c r="BB149" s="102">
        <f t="shared" si="174"/>
        <v>8.7348137125071446E-2</v>
      </c>
      <c r="BC149" s="102">
        <f t="shared" si="174"/>
        <v>8.7203111511465287E-2</v>
      </c>
      <c r="BD149" s="156">
        <f t="shared" si="174"/>
        <v>8.7067694355300942E-2</v>
      </c>
    </row>
    <row r="150" spans="2:56" x14ac:dyDescent="0.3">
      <c r="B150" s="155" t="s">
        <v>224</v>
      </c>
      <c r="C150" s="17"/>
      <c r="D150" s="17"/>
      <c r="E150" s="102" t="e">
        <f t="shared" ref="E150:AJ150" si="175">EBIT*(1-AlíquotaIR)/(Imobilizado+CapitalDeGiro)</f>
        <v>#DIV/0!</v>
      </c>
      <c r="F150" s="102" t="e">
        <f t="shared" si="175"/>
        <v>#DIV/0!</v>
      </c>
      <c r="G150" s="102">
        <f t="shared" si="175"/>
        <v>2.2929633927629537E-2</v>
      </c>
      <c r="H150" s="102">
        <f t="shared" si="175"/>
        <v>6.9712460347193417E-2</v>
      </c>
      <c r="I150" s="102">
        <f t="shared" si="175"/>
        <v>2.4840728735889241E-2</v>
      </c>
      <c r="J150" s="102">
        <f t="shared" si="175"/>
        <v>4.0502953049717828E-2</v>
      </c>
      <c r="K150" s="102">
        <f t="shared" si="175"/>
        <v>6.0057347510912379E-2</v>
      </c>
      <c r="L150" s="102">
        <f t="shared" si="175"/>
        <v>7.1250924687204106E-2</v>
      </c>
      <c r="M150" s="102">
        <f t="shared" si="175"/>
        <v>8.2133160193601826E-2</v>
      </c>
      <c r="N150" s="102">
        <f t="shared" si="175"/>
        <v>7.5349214644061149E-2</v>
      </c>
      <c r="O150" s="102">
        <f t="shared" si="175"/>
        <v>0.11596063617250162</v>
      </c>
      <c r="P150" s="102">
        <f t="shared" si="175"/>
        <v>0.11538930138535301</v>
      </c>
      <c r="Q150" s="102">
        <f t="shared" si="175"/>
        <v>0.11918611269936434</v>
      </c>
      <c r="R150" s="102">
        <f t="shared" si="175"/>
        <v>0.12464199818387754</v>
      </c>
      <c r="S150" s="102">
        <f t="shared" si="175"/>
        <v>0.12674942784148471</v>
      </c>
      <c r="T150" s="102">
        <f t="shared" si="175"/>
        <v>0.12979295732243451</v>
      </c>
      <c r="U150" s="102">
        <f t="shared" si="175"/>
        <v>0.13253402022234173</v>
      </c>
      <c r="V150" s="102">
        <f t="shared" si="175"/>
        <v>0.13451213603761383</v>
      </c>
      <c r="W150" s="102">
        <f t="shared" si="175"/>
        <v>0.13653768511667055</v>
      </c>
      <c r="X150" s="102">
        <f t="shared" si="175"/>
        <v>0.13827264603889633</v>
      </c>
      <c r="Y150" s="102">
        <f t="shared" si="175"/>
        <v>0.13975350965434619</v>
      </c>
      <c r="Z150" s="102">
        <f t="shared" si="175"/>
        <v>0.14112619719661906</v>
      </c>
      <c r="AA150" s="102">
        <f t="shared" si="175"/>
        <v>0.14161469155468001</v>
      </c>
      <c r="AB150" s="102">
        <f t="shared" si="175"/>
        <v>0.14201727144906881</v>
      </c>
      <c r="AC150" s="102">
        <f t="shared" si="175"/>
        <v>0.14240571482453496</v>
      </c>
      <c r="AD150" s="102">
        <f t="shared" si="175"/>
        <v>0.14276894099193888</v>
      </c>
      <c r="AE150" s="102">
        <f t="shared" si="175"/>
        <v>0.1431178702035357</v>
      </c>
      <c r="AF150" s="102">
        <f t="shared" si="175"/>
        <v>0.14345693538412174</v>
      </c>
      <c r="AG150" s="102">
        <f t="shared" si="175"/>
        <v>0.14378638365159607</v>
      </c>
      <c r="AH150" s="102">
        <f t="shared" si="175"/>
        <v>0.14411029400684669</v>
      </c>
      <c r="AI150" s="102">
        <f t="shared" si="175"/>
        <v>0.14443044663793683</v>
      </c>
      <c r="AJ150" s="102">
        <f t="shared" si="175"/>
        <v>0.14474804699409491</v>
      </c>
      <c r="AK150" s="102">
        <f t="shared" ref="AK150:BD150" si="176">EBIT*(1-AlíquotaIR)/(Imobilizado+CapitalDeGiro)</f>
        <v>0.14506469853888976</v>
      </c>
      <c r="AL150" s="102">
        <f t="shared" si="176"/>
        <v>0.14538126939338453</v>
      </c>
      <c r="AM150" s="102">
        <f t="shared" si="176"/>
        <v>0.14569844820121233</v>
      </c>
      <c r="AN150" s="102">
        <f t="shared" si="176"/>
        <v>0.14601682232932792</v>
      </c>
      <c r="AO150" s="102">
        <f t="shared" si="176"/>
        <v>0.14633671140419383</v>
      </c>
      <c r="AP150" s="102">
        <f t="shared" si="176"/>
        <v>0.14665831926010328</v>
      </c>
      <c r="AQ150" s="102">
        <f t="shared" si="176"/>
        <v>0.14698173950368507</v>
      </c>
      <c r="AR150" s="102">
        <f t="shared" si="176"/>
        <v>0.14730694808187594</v>
      </c>
      <c r="AS150" s="102">
        <f t="shared" si="176"/>
        <v>0.1476338473366556</v>
      </c>
      <c r="AT150" s="102">
        <f t="shared" si="176"/>
        <v>0.14790915810362684</v>
      </c>
      <c r="AU150" s="102">
        <f t="shared" si="176"/>
        <v>0.14702858735024277</v>
      </c>
      <c r="AV150" s="102">
        <f t="shared" si="176"/>
        <v>0.14628595066561384</v>
      </c>
      <c r="AW150" s="102">
        <f t="shared" si="176"/>
        <v>0.1456604178501513</v>
      </c>
      <c r="AX150" s="102">
        <f t="shared" si="176"/>
        <v>0.14513454349407603</v>
      </c>
      <c r="AY150" s="102">
        <f t="shared" si="176"/>
        <v>0.14469366547930601</v>
      </c>
      <c r="AZ150" s="102">
        <f t="shared" si="176"/>
        <v>0.14432542174887827</v>
      </c>
      <c r="BA150" s="102">
        <f t="shared" si="176"/>
        <v>0.14401936048214223</v>
      </c>
      <c r="BB150" s="102">
        <f t="shared" si="176"/>
        <v>0.14376662301310777</v>
      </c>
      <c r="BC150" s="102">
        <f t="shared" si="176"/>
        <v>0.14355968406537839</v>
      </c>
      <c r="BD150" s="156">
        <f t="shared" si="176"/>
        <v>0.143392138039</v>
      </c>
    </row>
    <row r="151" spans="2:56" x14ac:dyDescent="0.3">
      <c r="B151" s="155" t="s">
        <v>509</v>
      </c>
      <c r="C151" s="17"/>
      <c r="D151" s="17"/>
      <c r="E151" s="102" t="e">
        <f>EBIT*(1-AlíquotaIR)/(Imobilizado+Intangível+CapitalDeGiro)</f>
        <v>#DIV/0!</v>
      </c>
      <c r="F151" s="102" t="e">
        <f t="shared" ref="F151:AJ151" si="177">EBIT*(1-34%)/(Imobilizado+Intangível+CapitalDeGiro)</f>
        <v>#DIV/0!</v>
      </c>
      <c r="G151" s="102">
        <f t="shared" si="177"/>
        <v>2.0395103503184749E-2</v>
      </c>
      <c r="H151" s="102">
        <f t="shared" si="177"/>
        <v>6.1823007779350826E-2</v>
      </c>
      <c r="I151" s="102">
        <f t="shared" si="177"/>
        <v>2.1952752605940075E-2</v>
      </c>
      <c r="J151" s="102">
        <f t="shared" si="177"/>
        <v>3.5799975834153265E-2</v>
      </c>
      <c r="K151" s="102">
        <f t="shared" si="177"/>
        <v>5.2887706002427891E-2</v>
      </c>
      <c r="L151" s="102">
        <f t="shared" si="177"/>
        <v>6.2789473446949198E-2</v>
      </c>
      <c r="M151" s="102">
        <f t="shared" si="177"/>
        <v>7.2073636742307712E-2</v>
      </c>
      <c r="N151" s="102">
        <f t="shared" si="177"/>
        <v>6.6067812223206443E-2</v>
      </c>
      <c r="O151" s="102">
        <f t="shared" si="177"/>
        <v>0.10183148149286871</v>
      </c>
      <c r="P151" s="102">
        <f t="shared" si="177"/>
        <v>0.10156347553229622</v>
      </c>
      <c r="Q151" s="102">
        <f t="shared" si="177"/>
        <v>0.10518487913903013</v>
      </c>
      <c r="R151" s="102">
        <f t="shared" si="177"/>
        <v>0.1102564935634934</v>
      </c>
      <c r="S151" s="102">
        <f t="shared" si="177"/>
        <v>0.1124166381192218</v>
      </c>
      <c r="T151" s="102">
        <f t="shared" si="177"/>
        <v>0.11541774096976244</v>
      </c>
      <c r="U151" s="102">
        <f t="shared" si="177"/>
        <v>0.11815701868194799</v>
      </c>
      <c r="V151" s="102">
        <f t="shared" si="177"/>
        <v>0.12023071574758838</v>
      </c>
      <c r="W151" s="102">
        <f t="shared" si="177"/>
        <v>0.12235042049810881</v>
      </c>
      <c r="X151" s="102">
        <f t="shared" si="177"/>
        <v>0.12421182457545903</v>
      </c>
      <c r="Y151" s="102">
        <f t="shared" si="177"/>
        <v>0.1258460924119941</v>
      </c>
      <c r="Z151" s="102">
        <f t="shared" si="177"/>
        <v>0.12738057340982789</v>
      </c>
      <c r="AA151" s="102">
        <f t="shared" si="177"/>
        <v>0.12808100814772805</v>
      </c>
      <c r="AB151" s="102">
        <f t="shared" si="177"/>
        <v>0.1286947954898944</v>
      </c>
      <c r="AC151" s="102">
        <f t="shared" si="177"/>
        <v>0.12928827933249865</v>
      </c>
      <c r="AD151" s="102">
        <f t="shared" si="177"/>
        <v>0.12985142518552428</v>
      </c>
      <c r="AE151" s="102">
        <f t="shared" si="177"/>
        <v>0.13039412633979452</v>
      </c>
      <c r="AF151" s="102">
        <f t="shared" si="177"/>
        <v>0.13092039822544932</v>
      </c>
      <c r="AG151" s="102">
        <f t="shared" si="177"/>
        <v>0.13143053832703822</v>
      </c>
      <c r="AH151" s="102">
        <f t="shared" si="177"/>
        <v>0.13192835120305607</v>
      </c>
      <c r="AI151" s="102">
        <f t="shared" si="177"/>
        <v>0.13241556712683494</v>
      </c>
      <c r="AJ151" s="102">
        <f t="shared" si="177"/>
        <v>0.13289341957002807</v>
      </c>
      <c r="AK151" s="102">
        <f t="shared" ref="AK151:BD151" si="178">EBIT*(1-34%)/(Imobilizado+Intangível+CapitalDeGiro)</f>
        <v>0.13336351916120023</v>
      </c>
      <c r="AL151" s="102">
        <f t="shared" si="178"/>
        <v>0.13382681510068603</v>
      </c>
      <c r="AM151" s="102">
        <f t="shared" si="178"/>
        <v>0.13428410237321331</v>
      </c>
      <c r="AN151" s="102">
        <f t="shared" si="178"/>
        <v>0.13473608908294629</v>
      </c>
      <c r="AO151" s="102">
        <f t="shared" si="178"/>
        <v>0.13518324181280836</v>
      </c>
      <c r="AP151" s="102">
        <f t="shared" si="178"/>
        <v>0.13562592367397747</v>
      </c>
      <c r="AQ151" s="102">
        <f t="shared" si="178"/>
        <v>0.13606439767043174</v>
      </c>
      <c r="AR151" s="102">
        <f t="shared" si="178"/>
        <v>0.13649881875325964</v>
      </c>
      <c r="AS151" s="102">
        <f t="shared" si="178"/>
        <v>0.13692927351815623</v>
      </c>
      <c r="AT151" s="102">
        <f t="shared" si="178"/>
        <v>0.137305416331828</v>
      </c>
      <c r="AU151" s="102">
        <f t="shared" si="178"/>
        <v>0.13658038731634287</v>
      </c>
      <c r="AV151" s="102">
        <f t="shared" si="178"/>
        <v>0.13597758839432356</v>
      </c>
      <c r="AW151" s="102">
        <f t="shared" si="178"/>
        <v>0.13547840005897899</v>
      </c>
      <c r="AX151" s="102">
        <f t="shared" si="178"/>
        <v>0.13506720994155585</v>
      </c>
      <c r="AY151" s="102">
        <f t="shared" si="178"/>
        <v>0.134730883853386</v>
      </c>
      <c r="AZ151" s="102">
        <f t="shared" si="178"/>
        <v>0.13445833967385382</v>
      </c>
      <c r="BA151" s="102">
        <f t="shared" si="178"/>
        <v>0.13424020278012791</v>
      </c>
      <c r="BB151" s="102">
        <f t="shared" si="178"/>
        <v>0.13406852511577236</v>
      </c>
      <c r="BC151" s="102">
        <f t="shared" si="178"/>
        <v>0.13393655451526099</v>
      </c>
      <c r="BD151" s="156">
        <f t="shared" si="178"/>
        <v>0.13383854452083777</v>
      </c>
    </row>
    <row r="152" spans="2:56" x14ac:dyDescent="0.3">
      <c r="B152" s="187" t="s">
        <v>270</v>
      </c>
      <c r="C152" s="43"/>
      <c r="D152" s="43"/>
      <c r="E152" s="158" t="e">
        <f t="shared" ref="E152:AJ152" si="179">EBIT*(1-AlíquotaIR)/(DívidaLíquida+PatrimLíquido)</f>
        <v>#DIV/0!</v>
      </c>
      <c r="F152" s="158" t="e">
        <f t="shared" si="179"/>
        <v>#DIV/0!</v>
      </c>
      <c r="G152" s="158">
        <f t="shared" si="179"/>
        <v>2.231290421927937E-2</v>
      </c>
      <c r="H152" s="158">
        <f t="shared" si="179"/>
        <v>6.9028946720013765E-2</v>
      </c>
      <c r="I152" s="158">
        <f t="shared" si="179"/>
        <v>2.4453980304780885E-2</v>
      </c>
      <c r="J152" s="158">
        <f t="shared" si="179"/>
        <v>3.9984136339350163E-2</v>
      </c>
      <c r="K152" s="158">
        <f t="shared" si="179"/>
        <v>5.7943186174247957E-2</v>
      </c>
      <c r="L152" s="158">
        <f t="shared" si="179"/>
        <v>6.2647571924665038E-2</v>
      </c>
      <c r="M152" s="158">
        <f t="shared" si="179"/>
        <v>6.4253960102886393E-2</v>
      </c>
      <c r="N152" s="158">
        <f t="shared" si="179"/>
        <v>5.784563908553951E-2</v>
      </c>
      <c r="O152" s="158">
        <f t="shared" si="179"/>
        <v>8.9473894146263569E-2</v>
      </c>
      <c r="P152" s="158">
        <f t="shared" si="179"/>
        <v>8.9720267329901821E-2</v>
      </c>
      <c r="Q152" s="158">
        <f t="shared" si="179"/>
        <v>9.3503991656040286E-2</v>
      </c>
      <c r="R152" s="158">
        <f t="shared" si="179"/>
        <v>9.8556819482509453E-2</v>
      </c>
      <c r="S152" s="158">
        <f t="shared" si="179"/>
        <v>0.10112467616421898</v>
      </c>
      <c r="T152" s="158">
        <f t="shared" si="179"/>
        <v>0.1081877427013434</v>
      </c>
      <c r="U152" s="158">
        <f t="shared" si="179"/>
        <v>0.11172875094803345</v>
      </c>
      <c r="V152" s="158">
        <f t="shared" si="179"/>
        <v>0.11463479937958963</v>
      </c>
      <c r="W152" s="158">
        <f t="shared" si="179"/>
        <v>0.11760437653680356</v>
      </c>
      <c r="X152" s="158">
        <f t="shared" si="179"/>
        <v>0.12033982877043096</v>
      </c>
      <c r="Y152" s="158">
        <f t="shared" si="179"/>
        <v>0.12287342056486587</v>
      </c>
      <c r="Z152" s="158">
        <f t="shared" si="179"/>
        <v>0.12531453440960433</v>
      </c>
      <c r="AA152" s="158">
        <f t="shared" si="179"/>
        <v>0.12680119741285101</v>
      </c>
      <c r="AB152" s="158">
        <f t="shared" si="179"/>
        <v>0.12819493735809204</v>
      </c>
      <c r="AC152" s="158">
        <f t="shared" si="179"/>
        <v>0.12955792270918012</v>
      </c>
      <c r="AD152" s="158">
        <f t="shared" si="179"/>
        <v>0.13087879640806468</v>
      </c>
      <c r="AE152" s="158">
        <f t="shared" si="179"/>
        <v>0.13216685277372134</v>
      </c>
      <c r="AF152" s="158">
        <f t="shared" si="179"/>
        <v>0.13342503165789374</v>
      </c>
      <c r="AG152" s="158">
        <f t="shared" si="179"/>
        <v>0.13465313200964804</v>
      </c>
      <c r="AH152" s="158">
        <f t="shared" si="179"/>
        <v>0.13585452434068326</v>
      </c>
      <c r="AI152" s="158">
        <f t="shared" si="179"/>
        <v>0.13703046417315315</v>
      </c>
      <c r="AJ152" s="158">
        <f t="shared" si="179"/>
        <v>0.13818188906087711</v>
      </c>
      <c r="AK152" s="158">
        <f t="shared" ref="AK152:BD152" si="180">EBIT*(1-AlíquotaIR)/(DívidaLíquida+PatrimLíquido)</f>
        <v>0.13931016778721814</v>
      </c>
      <c r="AL152" s="158">
        <f t="shared" si="180"/>
        <v>0.14041603981604189</v>
      </c>
      <c r="AM152" s="158">
        <f t="shared" si="180"/>
        <v>0.14150016576384344</v>
      </c>
      <c r="AN152" s="158">
        <f t="shared" si="180"/>
        <v>0.14256315995918037</v>
      </c>
      <c r="AO152" s="158">
        <f t="shared" si="180"/>
        <v>0.14360543101157061</v>
      </c>
      <c r="AP152" s="158">
        <f t="shared" si="180"/>
        <v>0.14462732613511886</v>
      </c>
      <c r="AQ152" s="158">
        <f t="shared" si="180"/>
        <v>0.14562912382621182</v>
      </c>
      <c r="AR152" s="158">
        <f t="shared" si="180"/>
        <v>0.14661102399369622</v>
      </c>
      <c r="AS152" s="158">
        <f t="shared" si="180"/>
        <v>0.14757318708653577</v>
      </c>
      <c r="AT152" s="158">
        <f t="shared" si="180"/>
        <v>0.14845388787508484</v>
      </c>
      <c r="AU152" s="158">
        <f t="shared" si="180"/>
        <v>0.14796878460980911</v>
      </c>
      <c r="AV152" s="158">
        <f t="shared" si="180"/>
        <v>0.14762965802307823</v>
      </c>
      <c r="AW152" s="158">
        <f t="shared" si="180"/>
        <v>0.14739413926627506</v>
      </c>
      <c r="AX152" s="158">
        <f t="shared" si="180"/>
        <v>0.14724552395974452</v>
      </c>
      <c r="AY152" s="158">
        <f t="shared" si="180"/>
        <v>0.14717006968326629</v>
      </c>
      <c r="AZ152" s="158">
        <f t="shared" si="180"/>
        <v>0.1471561646146658</v>
      </c>
      <c r="BA152" s="158">
        <f t="shared" si="180"/>
        <v>0.14719397060615888</v>
      </c>
      <c r="BB152" s="158">
        <f t="shared" si="180"/>
        <v>0.14727513705773476</v>
      </c>
      <c r="BC152" s="158">
        <f t="shared" si="180"/>
        <v>0.14739256530420444</v>
      </c>
      <c r="BD152" s="159">
        <f t="shared" si="180"/>
        <v>0.14754021369156806</v>
      </c>
    </row>
    <row r="154" spans="2:56" x14ac:dyDescent="0.3">
      <c r="B154" s="154" t="s">
        <v>233</v>
      </c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7"/>
    </row>
    <row r="155" spans="2:56" x14ac:dyDescent="0.3">
      <c r="B155" s="155" t="s">
        <v>239</v>
      </c>
      <c r="C155" s="17"/>
      <c r="D155" s="161" t="e">
        <f t="shared" ref="D155:AI155" si="181">DívidaLíquida/EBITDA</f>
        <v>#DIV/0!</v>
      </c>
      <c r="E155" s="161" t="e">
        <f t="shared" si="181"/>
        <v>#DIV/0!</v>
      </c>
      <c r="F155" s="161" t="e">
        <f t="shared" si="181"/>
        <v>#DIV/0!</v>
      </c>
      <c r="G155" s="161">
        <f t="shared" si="181"/>
        <v>2.1504783995360968</v>
      </c>
      <c r="H155" s="161">
        <f t="shared" si="181"/>
        <v>1.504492537313433</v>
      </c>
      <c r="I155" s="161">
        <f t="shared" si="181"/>
        <v>4.2954838709677343</v>
      </c>
      <c r="J155" s="161">
        <f t="shared" si="181"/>
        <v>3.8464417501317851</v>
      </c>
      <c r="K155" s="161">
        <f t="shared" si="181"/>
        <v>3.3730753555417343</v>
      </c>
      <c r="L155" s="161">
        <f t="shared" si="181"/>
        <v>3.2320012346097209</v>
      </c>
      <c r="M155" s="161">
        <f t="shared" si="181"/>
        <v>3.225562167363849</v>
      </c>
      <c r="N155" s="161">
        <f t="shared" si="181"/>
        <v>3.6431883986847824</v>
      </c>
      <c r="O155" s="161">
        <f t="shared" si="181"/>
        <v>2.4584882860176456</v>
      </c>
      <c r="P155" s="161">
        <f t="shared" si="181"/>
        <v>2.268862691622374</v>
      </c>
      <c r="Q155" s="161">
        <f t="shared" si="181"/>
        <v>1.9918086007327684</v>
      </c>
      <c r="R155" s="161">
        <f t="shared" si="181"/>
        <v>1.650235357216169</v>
      </c>
      <c r="S155" s="161">
        <f t="shared" si="181"/>
        <v>1.3524853736502527</v>
      </c>
      <c r="T155" s="161">
        <f t="shared" si="181"/>
        <v>1.0915094961361711</v>
      </c>
      <c r="U155" s="161">
        <f t="shared" si="181"/>
        <v>1.0074589443378834</v>
      </c>
      <c r="V155" s="161">
        <f t="shared" si="181"/>
        <v>0.93531380476740733</v>
      </c>
      <c r="W155" s="161">
        <f t="shared" si="181"/>
        <v>0.86370439646375463</v>
      </c>
      <c r="X155" s="161">
        <f t="shared" si="181"/>
        <v>0.79519942298168134</v>
      </c>
      <c r="Y155" s="161">
        <f t="shared" si="181"/>
        <v>0.72998445086818942</v>
      </c>
      <c r="Z155" s="161">
        <f t="shared" si="181"/>
        <v>0.66669628928391245</v>
      </c>
      <c r="AA155" s="161">
        <f t="shared" si="181"/>
        <v>0.59262519016826076</v>
      </c>
      <c r="AB155" s="161">
        <f t="shared" si="181"/>
        <v>0.51910494302906429</v>
      </c>
      <c r="AC155" s="161">
        <f t="shared" si="181"/>
        <v>0.44717430879250258</v>
      </c>
      <c r="AD155" s="161">
        <f t="shared" si="181"/>
        <v>0.37699694274221068</v>
      </c>
      <c r="AE155" s="161">
        <f t="shared" si="181"/>
        <v>0.3085786852053421</v>
      </c>
      <c r="AF155" s="161">
        <f t="shared" si="181"/>
        <v>0.24192741108389235</v>
      </c>
      <c r="AG155" s="161">
        <f t="shared" si="181"/>
        <v>0.17708516545920519</v>
      </c>
      <c r="AH155" s="161">
        <f t="shared" si="181"/>
        <v>0.11406828342126769</v>
      </c>
      <c r="AI155" s="161">
        <f t="shared" si="181"/>
        <v>5.2893332150961841E-2</v>
      </c>
      <c r="AJ155" s="161">
        <f t="shared" ref="AJ155:BD155" si="182">DívidaLíquida/EBITDA</f>
        <v>-6.4216086736352427E-3</v>
      </c>
      <c r="AK155" s="161">
        <f t="shared" si="182"/>
        <v>-6.3865992126635365E-2</v>
      </c>
      <c r="AL155" s="161">
        <f t="shared" si="182"/>
        <v>-0.11943219849774413</v>
      </c>
      <c r="AM155" s="161">
        <f t="shared" si="182"/>
        <v>-0.17311576636972964</v>
      </c>
      <c r="AN155" s="161">
        <f t="shared" si="182"/>
        <v>-0.22491675138364386</v>
      </c>
      <c r="AO155" s="161">
        <f t="shared" si="182"/>
        <v>-0.274838846366184</v>
      </c>
      <c r="AP155" s="161">
        <f t="shared" si="182"/>
        <v>-0.32288936961637749</v>
      </c>
      <c r="AQ155" s="161">
        <f t="shared" si="182"/>
        <v>-0.36907937001098945</v>
      </c>
      <c r="AR155" s="161">
        <f t="shared" si="182"/>
        <v>-0.41342332745764016</v>
      </c>
      <c r="AS155" s="161">
        <f t="shared" si="182"/>
        <v>-0.45593900460498321</v>
      </c>
      <c r="AT155" s="161">
        <f t="shared" si="182"/>
        <v>-0.49857093505332423</v>
      </c>
      <c r="AU155" s="161">
        <f t="shared" si="182"/>
        <v>-0.58266522794059228</v>
      </c>
      <c r="AV155" s="161">
        <f t="shared" si="182"/>
        <v>-0.66691600198786105</v>
      </c>
      <c r="AW155" s="161">
        <f t="shared" si="182"/>
        <v>-0.75053816029686271</v>
      </c>
      <c r="AX155" s="161">
        <f t="shared" si="182"/>
        <v>-0.83337800436937814</v>
      </c>
      <c r="AY155" s="161">
        <f t="shared" si="182"/>
        <v>-0.91531676099361148</v>
      </c>
      <c r="AZ155" s="161">
        <f t="shared" si="182"/>
        <v>-0.99625644861076301</v>
      </c>
      <c r="BA155" s="161">
        <f t="shared" si="182"/>
        <v>-1.0761167601737587</v>
      </c>
      <c r="BB155" s="161">
        <f t="shared" si="182"/>
        <v>-1.1548325488132309</v>
      </c>
      <c r="BC155" s="161">
        <f t="shared" si="182"/>
        <v>-1.2323516690394976</v>
      </c>
      <c r="BD155" s="162">
        <f t="shared" si="182"/>
        <v>-1.3086331194509742</v>
      </c>
    </row>
    <row r="156" spans="2:56" x14ac:dyDescent="0.3">
      <c r="B156" s="155" t="s">
        <v>271</v>
      </c>
      <c r="C156" s="17"/>
      <c r="D156" s="102" t="e">
        <f t="shared" ref="D156:AI156" si="183">DívidaBruta/PatrimLíquido</f>
        <v>#DIV/0!</v>
      </c>
      <c r="E156" s="102" t="e">
        <f t="shared" si="183"/>
        <v>#DIV/0!</v>
      </c>
      <c r="F156" s="102" t="e">
        <f t="shared" si="183"/>
        <v>#DIV/0!</v>
      </c>
      <c r="G156" s="102">
        <f t="shared" si="183"/>
        <v>0.73626191462909218</v>
      </c>
      <c r="H156" s="102">
        <f t="shared" si="183"/>
        <v>0.58786190740985622</v>
      </c>
      <c r="I156" s="102">
        <f t="shared" si="183"/>
        <v>0.6498828023265909</v>
      </c>
      <c r="J156" s="102">
        <f t="shared" si="183"/>
        <v>0.79259532142199274</v>
      </c>
      <c r="K156" s="102">
        <f t="shared" si="183"/>
        <v>0.88793550874539362</v>
      </c>
      <c r="L156" s="102">
        <f t="shared" si="183"/>
        <v>1.0695366042552856</v>
      </c>
      <c r="M156" s="102">
        <f t="shared" si="183"/>
        <v>0.93573679847099667</v>
      </c>
      <c r="N156" s="102">
        <f t="shared" si="183"/>
        <v>1.0230528902491138</v>
      </c>
      <c r="O156" s="102">
        <f t="shared" si="183"/>
        <v>0.95131908125093345</v>
      </c>
      <c r="P156" s="102">
        <f t="shared" si="183"/>
        <v>0.87920695106123381</v>
      </c>
      <c r="Q156" s="102">
        <f t="shared" si="183"/>
        <v>0.80550851970631809</v>
      </c>
      <c r="R156" s="102">
        <f t="shared" si="183"/>
        <v>0.73159766108861968</v>
      </c>
      <c r="S156" s="102">
        <f t="shared" si="183"/>
        <v>0.66245430112718973</v>
      </c>
      <c r="T156" s="102">
        <f t="shared" si="183"/>
        <v>0.63290860666945281</v>
      </c>
      <c r="U156" s="102">
        <f t="shared" si="183"/>
        <v>0.60302207862918011</v>
      </c>
      <c r="V156" s="102">
        <f t="shared" si="183"/>
        <v>0.57343012929494186</v>
      </c>
      <c r="W156" s="102">
        <f t="shared" si="183"/>
        <v>0.54434084773562363</v>
      </c>
      <c r="X156" s="102">
        <f t="shared" si="183"/>
        <v>0.51592915343906687</v>
      </c>
      <c r="Y156" s="102">
        <f t="shared" si="183"/>
        <v>0.48829218147507203</v>
      </c>
      <c r="Z156" s="102">
        <f t="shared" si="183"/>
        <v>0.46152958864783472</v>
      </c>
      <c r="AA156" s="102">
        <f t="shared" si="183"/>
        <v>0.43603935296927382</v>
      </c>
      <c r="AB156" s="102">
        <f t="shared" si="183"/>
        <v>0.41177224709202587</v>
      </c>
      <c r="AC156" s="102">
        <f t="shared" si="183"/>
        <v>0.38869636922160561</v>
      </c>
      <c r="AD156" s="102">
        <f t="shared" si="183"/>
        <v>0.36677720112841528</v>
      </c>
      <c r="AE156" s="102">
        <f t="shared" si="183"/>
        <v>0.345976066107756</v>
      </c>
      <c r="AF156" s="102">
        <f t="shared" si="183"/>
        <v>0.32625302458528338</v>
      </c>
      <c r="AG156" s="102">
        <f t="shared" si="183"/>
        <v>0.30756627552067789</v>
      </c>
      <c r="AH156" s="102">
        <f t="shared" si="183"/>
        <v>0.28987315436546557</v>
      </c>
      <c r="AI156" s="102">
        <f t="shared" si="183"/>
        <v>0.27313091997125138</v>
      </c>
      <c r="AJ156" s="102">
        <f t="shared" ref="AJ156:BD156" si="184">DívidaBruta/PatrimLíquido</f>
        <v>0.25729694281915383</v>
      </c>
      <c r="AK156" s="102">
        <f t="shared" si="184"/>
        <v>0.24232913890631622</v>
      </c>
      <c r="AL156" s="102">
        <f t="shared" si="184"/>
        <v>0.22818626135319722</v>
      </c>
      <c r="AM156" s="102">
        <f t="shared" si="184"/>
        <v>0.21482806733405121</v>
      </c>
      <c r="AN156" s="102">
        <f t="shared" si="184"/>
        <v>0.20221549188951063</v>
      </c>
      <c r="AO156" s="102">
        <f t="shared" si="184"/>
        <v>0.19031075981001644</v>
      </c>
      <c r="AP156" s="102">
        <f t="shared" si="184"/>
        <v>0.17907745657872923</v>
      </c>
      <c r="AQ156" s="102">
        <f t="shared" si="184"/>
        <v>0.16848058034368693</v>
      </c>
      <c r="AR156" s="102">
        <f t="shared" si="184"/>
        <v>0.15848656664147065</v>
      </c>
      <c r="AS156" s="102">
        <f t="shared" si="184"/>
        <v>0.14906329452254616</v>
      </c>
      <c r="AT156" s="102">
        <f t="shared" si="184"/>
        <v>0.14018748791011804</v>
      </c>
      <c r="AU156" s="102">
        <f t="shared" si="184"/>
        <v>0.13197802342747375</v>
      </c>
      <c r="AV156" s="102">
        <f t="shared" si="184"/>
        <v>0.1243502135989205</v>
      </c>
      <c r="AW156" s="102">
        <f t="shared" si="184"/>
        <v>0.11724965553342001</v>
      </c>
      <c r="AX156" s="102">
        <f t="shared" si="184"/>
        <v>0.1106291690700261</v>
      </c>
      <c r="AY156" s="102">
        <f t="shared" si="184"/>
        <v>0.10444729753942654</v>
      </c>
      <c r="AZ156" s="102">
        <f t="shared" si="184"/>
        <v>9.8667391864769374E-2</v>
      </c>
      <c r="BA156" s="102">
        <f t="shared" si="184"/>
        <v>9.3256876849548392E-2</v>
      </c>
      <c r="BB156" s="102">
        <f t="shared" si="184"/>
        <v>8.8186654858083191E-2</v>
      </c>
      <c r="BC156" s="102">
        <f t="shared" si="184"/>
        <v>8.3430617286968684E-2</v>
      </c>
      <c r="BD156" s="156">
        <f t="shared" si="184"/>
        <v>7.8965241316758639E-2</v>
      </c>
    </row>
    <row r="157" spans="2:56" x14ac:dyDescent="0.3">
      <c r="B157" s="155" t="s">
        <v>272</v>
      </c>
      <c r="C157" s="17"/>
      <c r="D157" s="161" t="e">
        <f t="shared" ref="D157:AI157" si="185">EBIT/(-(D87+D88))</f>
        <v>#DIV/0!</v>
      </c>
      <c r="E157" s="161" t="e">
        <f t="shared" si="185"/>
        <v>#DIV/0!</v>
      </c>
      <c r="F157" s="161" t="e">
        <f t="shared" si="185"/>
        <v>#DIV/0!</v>
      </c>
      <c r="G157" s="161">
        <f t="shared" si="185"/>
        <v>1.352941176470591</v>
      </c>
      <c r="H157" s="161">
        <f t="shared" si="185"/>
        <v>2.8478605388272582</v>
      </c>
      <c r="I157" s="161">
        <f t="shared" si="185"/>
        <v>0.89816124469590242</v>
      </c>
      <c r="J157" s="161">
        <f t="shared" si="185"/>
        <v>1.103191489361703</v>
      </c>
      <c r="K157" s="161">
        <f t="shared" si="185"/>
        <v>1.2358619695987312</v>
      </c>
      <c r="L157" s="161">
        <f t="shared" si="185"/>
        <v>1.1359223300970889</v>
      </c>
      <c r="M157" s="161">
        <f t="shared" si="185"/>
        <v>1.55981616252199</v>
      </c>
      <c r="N157" s="161">
        <f t="shared" si="185"/>
        <v>1.663712645370236</v>
      </c>
      <c r="O157" s="161">
        <f t="shared" si="185"/>
        <v>2.440888167274021</v>
      </c>
      <c r="P157" s="161">
        <f t="shared" si="185"/>
        <v>2.581487138409595</v>
      </c>
      <c r="Q157" s="161">
        <f t="shared" si="185"/>
        <v>2.8459136407343522</v>
      </c>
      <c r="R157" s="161">
        <f t="shared" si="185"/>
        <v>3.1798617713312654</v>
      </c>
      <c r="S157" s="161">
        <f t="shared" si="185"/>
        <v>3.538511111111819</v>
      </c>
      <c r="T157" s="161">
        <f t="shared" si="185"/>
        <v>3.9943402433428368</v>
      </c>
      <c r="U157" s="161">
        <f t="shared" si="185"/>
        <v>4.4885472537763977</v>
      </c>
      <c r="V157" s="161">
        <f t="shared" si="185"/>
        <v>4.811835723173254</v>
      </c>
      <c r="W157" s="161">
        <f t="shared" si="185"/>
        <v>5.1593999636421408</v>
      </c>
      <c r="X157" s="161">
        <f t="shared" si="185"/>
        <v>5.5314190129874401</v>
      </c>
      <c r="Y157" s="161">
        <f t="shared" si="185"/>
        <v>5.9320321600453028</v>
      </c>
      <c r="Z157" s="161">
        <f t="shared" si="185"/>
        <v>6.3672549770972058</v>
      </c>
      <c r="AA157" s="161">
        <f t="shared" si="185"/>
        <v>6.7656094573693011</v>
      </c>
      <c r="AB157" s="161">
        <f t="shared" si="185"/>
        <v>7.2544321078871059</v>
      </c>
      <c r="AC157" s="161">
        <f t="shared" si="185"/>
        <v>7.8036157767617853</v>
      </c>
      <c r="AD157" s="161">
        <f t="shared" si="185"/>
        <v>8.4180261948455595</v>
      </c>
      <c r="AE157" s="161">
        <f t="shared" si="185"/>
        <v>9.1093840399327775</v>
      </c>
      <c r="AF157" s="161">
        <f t="shared" si="185"/>
        <v>9.8921832645900913</v>
      </c>
      <c r="AG157" s="161">
        <f t="shared" si="185"/>
        <v>10.784706294843826</v>
      </c>
      <c r="AH157" s="161">
        <f t="shared" si="185"/>
        <v>11.810405532126431</v>
      </c>
      <c r="AI157" s="161">
        <f t="shared" si="185"/>
        <v>12.999743707395572</v>
      </c>
      <c r="AJ157" s="161">
        <f t="shared" ref="AJ157:BD157" si="186">EBIT/(-(AJ87+AJ88))</f>
        <v>14.393126735210364</v>
      </c>
      <c r="AK157" s="161">
        <f t="shared" si="186"/>
        <v>16.045285428746784</v>
      </c>
      <c r="AL157" s="161">
        <f t="shared" si="186"/>
        <v>18.032257517819616</v>
      </c>
      <c r="AM157" s="161">
        <f t="shared" si="186"/>
        <v>20.462892296077829</v>
      </c>
      <c r="AN157" s="161">
        <f t="shared" si="186"/>
        <v>23.498673741295775</v>
      </c>
      <c r="AO157" s="161">
        <f t="shared" si="186"/>
        <v>27.389941451046674</v>
      </c>
      <c r="AP157" s="161">
        <f t="shared" si="186"/>
        <v>32.546749176988314</v>
      </c>
      <c r="AQ157" s="161">
        <f t="shared" si="186"/>
        <v>39.690408644270398</v>
      </c>
      <c r="AR157" s="161">
        <f t="shared" si="186"/>
        <v>50.218022650642581</v>
      </c>
      <c r="AS157" s="161">
        <f t="shared" si="186"/>
        <v>67.235971312504574</v>
      </c>
      <c r="AT157" s="161">
        <f t="shared" si="186"/>
        <v>99.240338737329608</v>
      </c>
      <c r="AU157" s="161">
        <f t="shared" si="186"/>
        <v>181.50776628401681</v>
      </c>
      <c r="AV157" s="161">
        <f t="shared" si="186"/>
        <v>-880.25647451465125</v>
      </c>
      <c r="AW157" s="161">
        <f t="shared" si="186"/>
        <v>-128.91981788810446</v>
      </c>
      <c r="AX157" s="161">
        <f t="shared" si="186"/>
        <v>-69.925251251456146</v>
      </c>
      <c r="AY157" s="161">
        <f t="shared" si="186"/>
        <v>-48.177046460754987</v>
      </c>
      <c r="AZ157" s="161">
        <f t="shared" si="186"/>
        <v>-36.879797427918376</v>
      </c>
      <c r="BA157" s="161">
        <f t="shared" si="186"/>
        <v>-29.967990052049558</v>
      </c>
      <c r="BB157" s="161">
        <f t="shared" si="186"/>
        <v>-25.308270717752013</v>
      </c>
      <c r="BC157" s="161">
        <f t="shared" si="186"/>
        <v>-21.957500071899226</v>
      </c>
      <c r="BD157" s="162">
        <f t="shared" si="186"/>
        <v>-19.434370361855997</v>
      </c>
    </row>
    <row r="158" spans="2:56" x14ac:dyDescent="0.3">
      <c r="B158" s="157" t="s">
        <v>11</v>
      </c>
      <c r="C158" s="43"/>
      <c r="D158" s="188" t="e">
        <f t="shared" ref="D158:AI158" si="187">D7/D27</f>
        <v>#DIV/0!</v>
      </c>
      <c r="E158" s="188" t="e">
        <f t="shared" si="187"/>
        <v>#DIV/0!</v>
      </c>
      <c r="F158" s="188" t="e">
        <f t="shared" si="187"/>
        <v>#DIV/0!</v>
      </c>
      <c r="G158" s="188">
        <f t="shared" si="187"/>
        <v>1.922390481341266</v>
      </c>
      <c r="H158" s="188">
        <f t="shared" si="187"/>
        <v>1.7393933147823697</v>
      </c>
      <c r="I158" s="188">
        <f t="shared" si="187"/>
        <v>1.4812821712681328</v>
      </c>
      <c r="J158" s="188">
        <f t="shared" si="187"/>
        <v>1.8992669645350462</v>
      </c>
      <c r="K158" s="188">
        <f t="shared" si="187"/>
        <v>1.7082788681268044</v>
      </c>
      <c r="L158" s="188">
        <f t="shared" si="187"/>
        <v>1.6661470012283375</v>
      </c>
      <c r="M158" s="188">
        <f t="shared" si="187"/>
        <v>1.7624701624499759</v>
      </c>
      <c r="N158" s="188">
        <f t="shared" si="187"/>
        <v>1.7255318212685691</v>
      </c>
      <c r="O158" s="188">
        <f t="shared" si="187"/>
        <v>1.8455628998574827</v>
      </c>
      <c r="P158" s="188">
        <f t="shared" si="187"/>
        <v>1.9433327955115891</v>
      </c>
      <c r="Q158" s="188">
        <f t="shared" si="187"/>
        <v>2.0620921851901657</v>
      </c>
      <c r="R158" s="188">
        <f t="shared" si="187"/>
        <v>2.2147071824984774</v>
      </c>
      <c r="S158" s="188">
        <f t="shared" si="187"/>
        <v>2.3695590950893304</v>
      </c>
      <c r="T158" s="188">
        <f t="shared" si="187"/>
        <v>2.3002613654320343</v>
      </c>
      <c r="U158" s="188">
        <f t="shared" si="187"/>
        <v>2.3429910437742252</v>
      </c>
      <c r="V158" s="188">
        <f t="shared" si="187"/>
        <v>2.3859397475643935</v>
      </c>
      <c r="W158" s="188">
        <f t="shared" si="187"/>
        <v>2.4316038604987322</v>
      </c>
      <c r="X158" s="188">
        <f t="shared" si="187"/>
        <v>2.4789271716723245</v>
      </c>
      <c r="Y158" s="188">
        <f t="shared" si="187"/>
        <v>2.5269353212875902</v>
      </c>
      <c r="Z158" s="188">
        <f t="shared" si="187"/>
        <v>2.5766556875324147</v>
      </c>
      <c r="AA158" s="188">
        <f t="shared" si="187"/>
        <v>2.6339549018353523</v>
      </c>
      <c r="AB158" s="188">
        <f t="shared" si="187"/>
        <v>2.692639590249537</v>
      </c>
      <c r="AC158" s="188">
        <f t="shared" si="187"/>
        <v>2.7527254165382975</v>
      </c>
      <c r="AD158" s="188">
        <f t="shared" si="187"/>
        <v>2.814008291322748</v>
      </c>
      <c r="AE158" s="188">
        <f t="shared" si="187"/>
        <v>2.8763685182767098</v>
      </c>
      <c r="AF158" s="188">
        <f t="shared" si="187"/>
        <v>2.9397355317378908</v>
      </c>
      <c r="AG158" s="188">
        <f t="shared" si="187"/>
        <v>3.003949388126034</v>
      </c>
      <c r="AH158" s="188">
        <f t="shared" si="187"/>
        <v>3.0688835430764549</v>
      </c>
      <c r="AI158" s="188">
        <f t="shared" si="187"/>
        <v>3.1344118873518791</v>
      </c>
      <c r="AJ158" s="188">
        <f t="shared" ref="AJ158:BD158" si="188">AJ7/AJ27</f>
        <v>3.2003872239416919</v>
      </c>
      <c r="AK158" s="188">
        <f t="shared" si="188"/>
        <v>3.2666704759495371</v>
      </c>
      <c r="AL158" s="188">
        <f t="shared" si="188"/>
        <v>3.3331199081574749</v>
      </c>
      <c r="AM158" s="188">
        <f t="shared" si="188"/>
        <v>3.3995896242814525</v>
      </c>
      <c r="AN158" s="188">
        <f t="shared" si="188"/>
        <v>3.4659365461515748</v>
      </c>
      <c r="AO158" s="188">
        <f t="shared" si="188"/>
        <v>3.5320180133961778</v>
      </c>
      <c r="AP158" s="188">
        <f t="shared" si="188"/>
        <v>3.5976928331966773</v>
      </c>
      <c r="AQ158" s="188">
        <f t="shared" si="188"/>
        <v>3.6628233689190752</v>
      </c>
      <c r="AR158" s="188">
        <f t="shared" si="188"/>
        <v>3.7272755822345873</v>
      </c>
      <c r="AS158" s="188">
        <f t="shared" si="188"/>
        <v>3.7909200522143478</v>
      </c>
      <c r="AT158" s="188">
        <f t="shared" si="188"/>
        <v>3.8550540282955681</v>
      </c>
      <c r="AU158" s="188">
        <f t="shared" si="188"/>
        <v>3.9506290916040818</v>
      </c>
      <c r="AV158" s="188">
        <f t="shared" si="188"/>
        <v>4.0449465166715335</v>
      </c>
      <c r="AW158" s="188">
        <f t="shared" si="188"/>
        <v>4.1393748641376078</v>
      </c>
      <c r="AX158" s="188">
        <f t="shared" si="188"/>
        <v>4.2337715932514026</v>
      </c>
      <c r="AY158" s="188">
        <f t="shared" si="188"/>
        <v>4.3279815626882048</v>
      </c>
      <c r="AZ158" s="188">
        <f t="shared" si="188"/>
        <v>4.4218638864333828</v>
      </c>
      <c r="BA158" s="188">
        <f t="shared" si="188"/>
        <v>4.5152910893250091</v>
      </c>
      <c r="BB158" s="188">
        <f t="shared" si="188"/>
        <v>4.608147904063534</v>
      </c>
      <c r="BC158" s="188">
        <f t="shared" si="188"/>
        <v>4.7003301893346734</v>
      </c>
      <c r="BD158" s="189">
        <f t="shared" si="188"/>
        <v>4.7917439674612892</v>
      </c>
    </row>
    <row r="160" spans="2:56" x14ac:dyDescent="0.3">
      <c r="B160" s="154" t="s">
        <v>240</v>
      </c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7"/>
    </row>
    <row r="161" spans="2:56" x14ac:dyDescent="0.3">
      <c r="B161" s="155" t="s">
        <v>241</v>
      </c>
      <c r="C161" s="17"/>
      <c r="D161" s="190" t="e">
        <f t="shared" ref="D161:AI161" si="189">ReceitaLíquida/AtivoTotal</f>
        <v>#DIV/0!</v>
      </c>
      <c r="E161" s="190" t="e">
        <f t="shared" si="189"/>
        <v>#DIV/0!</v>
      </c>
      <c r="F161" s="190" t="e">
        <f t="shared" si="189"/>
        <v>#DIV/0!</v>
      </c>
      <c r="G161" s="190">
        <f t="shared" si="189"/>
        <v>0.52541613794133013</v>
      </c>
      <c r="H161" s="190">
        <f t="shared" si="189"/>
        <v>0.68188816855753653</v>
      </c>
      <c r="I161" s="190">
        <f t="shared" si="189"/>
        <v>0.8362668849774868</v>
      </c>
      <c r="J161" s="190">
        <f t="shared" si="189"/>
        <v>0.84745385083110836</v>
      </c>
      <c r="K161" s="190">
        <f t="shared" si="189"/>
        <v>0.87251802692184521</v>
      </c>
      <c r="L161" s="190">
        <f t="shared" si="189"/>
        <v>0.87891954627058211</v>
      </c>
      <c r="M161" s="190">
        <f t="shared" si="189"/>
        <v>0.80792256095902959</v>
      </c>
      <c r="N161" s="190">
        <f t="shared" si="189"/>
        <v>0.76709025827728095</v>
      </c>
      <c r="O161" s="190">
        <f t="shared" si="189"/>
        <v>0.7976740208911185</v>
      </c>
      <c r="P161" s="190">
        <f t="shared" si="189"/>
        <v>0.80323973705621898</v>
      </c>
      <c r="Q161" s="190">
        <f t="shared" si="189"/>
        <v>0.81179623776453047</v>
      </c>
      <c r="R161" s="190">
        <f t="shared" si="189"/>
        <v>0.8184992827972698</v>
      </c>
      <c r="S161" s="190">
        <f t="shared" si="189"/>
        <v>0.8199186932072795</v>
      </c>
      <c r="T161" s="190">
        <f t="shared" si="189"/>
        <v>0.82508333363917485</v>
      </c>
      <c r="U161" s="190">
        <f t="shared" si="189"/>
        <v>0.84654194691226603</v>
      </c>
      <c r="V161" s="190">
        <f t="shared" si="189"/>
        <v>0.86730421529767243</v>
      </c>
      <c r="W161" s="190">
        <f t="shared" si="189"/>
        <v>0.88790579200878761</v>
      </c>
      <c r="X161" s="190">
        <f t="shared" si="189"/>
        <v>0.90809051621536452</v>
      </c>
      <c r="Y161" s="190">
        <f t="shared" si="189"/>
        <v>0.92765936949985783</v>
      </c>
      <c r="Z161" s="190">
        <f t="shared" si="189"/>
        <v>0.94678053352313163</v>
      </c>
      <c r="AA161" s="190">
        <f t="shared" si="189"/>
        <v>0.95882737038640764</v>
      </c>
      <c r="AB161" s="190">
        <f t="shared" si="189"/>
        <v>0.96992825228156876</v>
      </c>
      <c r="AC161" s="190">
        <f t="shared" si="189"/>
        <v>0.98059607234542889</v>
      </c>
      <c r="AD161" s="190">
        <f t="shared" si="189"/>
        <v>0.99081873803115506</v>
      </c>
      <c r="AE161" s="190">
        <f t="shared" si="189"/>
        <v>1.0006019020534624</v>
      </c>
      <c r="AF161" s="190">
        <f t="shared" si="189"/>
        <v>1.0099602334399025</v>
      </c>
      <c r="AG161" s="190">
        <f t="shared" si="189"/>
        <v>1.0188972626723647</v>
      </c>
      <c r="AH161" s="190">
        <f t="shared" si="189"/>
        <v>1.0274232248571598</v>
      </c>
      <c r="AI161" s="190">
        <f t="shared" si="189"/>
        <v>1.0355498401000682</v>
      </c>
      <c r="AJ161" s="190">
        <f t="shared" ref="AJ161:BD161" si="190">ReceitaLíquida/AtivoTotal</f>
        <v>1.0432874225986726</v>
      </c>
      <c r="AK161" s="190">
        <f t="shared" si="190"/>
        <v>1.050648436841261</v>
      </c>
      <c r="AL161" s="190">
        <f t="shared" si="190"/>
        <v>1.0576458754813833</v>
      </c>
      <c r="AM161" s="190">
        <f t="shared" si="190"/>
        <v>1.064292899348769</v>
      </c>
      <c r="AN161" s="190">
        <f t="shared" si="190"/>
        <v>1.0706034187544555</v>
      </c>
      <c r="AO161" s="190">
        <f t="shared" si="190"/>
        <v>1.0765916065936811</v>
      </c>
      <c r="AP161" s="190">
        <f t="shared" si="190"/>
        <v>1.0822718137879954</v>
      </c>
      <c r="AQ161" s="190">
        <f t="shared" si="190"/>
        <v>1.0876585900043017</v>
      </c>
      <c r="AR161" s="190">
        <f t="shared" si="190"/>
        <v>1.0927665054837059</v>
      </c>
      <c r="AS161" s="190">
        <f t="shared" si="190"/>
        <v>1.0976100826554713</v>
      </c>
      <c r="AT161" s="190">
        <f t="shared" si="190"/>
        <v>1.1015971951082602</v>
      </c>
      <c r="AU161" s="190">
        <f t="shared" si="190"/>
        <v>1.0920885567598262</v>
      </c>
      <c r="AV161" s="190">
        <f t="shared" si="190"/>
        <v>1.082790801702127</v>
      </c>
      <c r="AW161" s="190">
        <f t="shared" si="190"/>
        <v>1.0737859014648028</v>
      </c>
      <c r="AX161" s="190">
        <f t="shared" si="190"/>
        <v>1.0650528523481646</v>
      </c>
      <c r="AY161" s="190">
        <f t="shared" si="190"/>
        <v>1.0565723217338243</v>
      </c>
      <c r="AZ161" s="190">
        <f t="shared" si="190"/>
        <v>1.0483278910218821</v>
      </c>
      <c r="BA161" s="190">
        <f t="shared" si="190"/>
        <v>1.0403055678661441</v>
      </c>
      <c r="BB161" s="190">
        <f t="shared" si="190"/>
        <v>1.0324933590298322</v>
      </c>
      <c r="BC161" s="190">
        <f t="shared" si="190"/>
        <v>1.0248809181204808</v>
      </c>
      <c r="BD161" s="191">
        <f t="shared" si="190"/>
        <v>1.0174592555775157</v>
      </c>
    </row>
    <row r="162" spans="2:56" x14ac:dyDescent="0.3">
      <c r="B162" s="155" t="s">
        <v>273</v>
      </c>
      <c r="C162" s="17"/>
      <c r="D162" s="190" t="e">
        <f t="shared" ref="D162:AI162" si="191">CAPEX/Depreciação</f>
        <v>#DIV/0!</v>
      </c>
      <c r="E162" s="190" t="e">
        <f t="shared" si="191"/>
        <v>#DIV/0!</v>
      </c>
      <c r="F162" s="190" t="e">
        <f t="shared" si="191"/>
        <v>#DIV/0!</v>
      </c>
      <c r="G162" s="190" t="e">
        <f t="shared" si="191"/>
        <v>#DIV/0!</v>
      </c>
      <c r="H162" s="190" t="e">
        <f t="shared" si="191"/>
        <v>#DIV/0!</v>
      </c>
      <c r="I162" s="190">
        <f t="shared" si="191"/>
        <v>0.64808743169398908</v>
      </c>
      <c r="J162" s="190">
        <f t="shared" si="191"/>
        <v>0.64302325581395359</v>
      </c>
      <c r="K162" s="190">
        <f t="shared" si="191"/>
        <v>0.53621346886912313</v>
      </c>
      <c r="L162" s="190">
        <f t="shared" si="191"/>
        <v>0.94873873873873882</v>
      </c>
      <c r="M162" s="190">
        <f t="shared" si="191"/>
        <v>0.96639077340569868</v>
      </c>
      <c r="N162" s="190">
        <f t="shared" si="191"/>
        <v>0.53973333333333318</v>
      </c>
      <c r="O162" s="190">
        <f t="shared" si="191"/>
        <v>1.0125504855768492</v>
      </c>
      <c r="P162" s="190">
        <f t="shared" si="191"/>
        <v>1.0591409074614815</v>
      </c>
      <c r="Q162" s="190">
        <f t="shared" si="191"/>
        <v>1.110444180354152</v>
      </c>
      <c r="R162" s="190">
        <f t="shared" si="191"/>
        <v>1.1583866818923472</v>
      </c>
      <c r="S162" s="190">
        <f t="shared" si="191"/>
        <v>1.2020250267302233</v>
      </c>
      <c r="T162" s="190">
        <f t="shared" si="191"/>
        <v>1.2425571662973585</v>
      </c>
      <c r="U162" s="190">
        <f t="shared" si="191"/>
        <v>1.279443877545881</v>
      </c>
      <c r="V162" s="190">
        <f t="shared" si="191"/>
        <v>1.3127685942143947</v>
      </c>
      <c r="W162" s="190">
        <f t="shared" si="191"/>
        <v>1.3429495813999257</v>
      </c>
      <c r="X162" s="190">
        <f t="shared" si="191"/>
        <v>1.3700573338754634</v>
      </c>
      <c r="Y162" s="190">
        <f t="shared" si="191"/>
        <v>1.3943532339132902</v>
      </c>
      <c r="Z162" s="190">
        <f t="shared" si="191"/>
        <v>1.4161283186629787</v>
      </c>
      <c r="AA162" s="190">
        <f t="shared" si="191"/>
        <v>1.4238065241315814</v>
      </c>
      <c r="AB162" s="190">
        <f t="shared" si="191"/>
        <v>1.4301595699465641</v>
      </c>
      <c r="AC162" s="190">
        <f t="shared" si="191"/>
        <v>1.4361241297913843</v>
      </c>
      <c r="AD162" s="190">
        <f t="shared" si="191"/>
        <v>1.4417492161418308</v>
      </c>
      <c r="AE162" s="190">
        <f t="shared" si="191"/>
        <v>1.4470854465102236</v>
      </c>
      <c r="AF162" s="190">
        <f t="shared" si="191"/>
        <v>1.452174460059581</v>
      </c>
      <c r="AG162" s="190">
        <f t="shared" si="191"/>
        <v>1.4570503837444739</v>
      </c>
      <c r="AH162" s="190">
        <f t="shared" si="191"/>
        <v>1.461744011335055</v>
      </c>
      <c r="AI162" s="190">
        <f t="shared" si="191"/>
        <v>1.4662809560399501</v>
      </c>
      <c r="AJ162" s="190">
        <f t="shared" ref="AJ162:BD162" si="192">CAPEX/Depreciação</f>
        <v>1.4706827732457077</v>
      </c>
      <c r="AK162" s="190">
        <f t="shared" si="192"/>
        <v>1.4749679737343993</v>
      </c>
      <c r="AL162" s="190">
        <f t="shared" si="192"/>
        <v>1.4791519787535079</v>
      </c>
      <c r="AM162" s="190">
        <f t="shared" si="192"/>
        <v>1.4832476975015931</v>
      </c>
      <c r="AN162" s="190">
        <f t="shared" si="192"/>
        <v>1.4872659327292739</v>
      </c>
      <c r="AO162" s="190">
        <f t="shared" si="192"/>
        <v>1.4912155936987401</v>
      </c>
      <c r="AP162" s="190">
        <f t="shared" si="192"/>
        <v>1.4951040079187337</v>
      </c>
      <c r="AQ162" s="190">
        <f t="shared" si="192"/>
        <v>1.4989371539409613</v>
      </c>
      <c r="AR162" s="190">
        <f t="shared" si="192"/>
        <v>1.5027198457396984</v>
      </c>
      <c r="AS162" s="190">
        <f t="shared" si="192"/>
        <v>1.5064559163272584</v>
      </c>
      <c r="AT162" s="190">
        <f t="shared" si="192"/>
        <v>1.509110672294993</v>
      </c>
      <c r="AU162" s="190">
        <f t="shared" si="192"/>
        <v>1.4892456341662912</v>
      </c>
      <c r="AV162" s="190">
        <f t="shared" si="192"/>
        <v>1.4727566988603922</v>
      </c>
      <c r="AW162" s="190">
        <f t="shared" si="192"/>
        <v>1.4590271036811002</v>
      </c>
      <c r="AX162" s="190">
        <f t="shared" si="192"/>
        <v>1.447567793125264</v>
      </c>
      <c r="AY162" s="190">
        <f t="shared" si="192"/>
        <v>1.4379868427350702</v>
      </c>
      <c r="AZ162" s="190">
        <f t="shared" si="192"/>
        <v>1.4299672905854692</v>
      </c>
      <c r="BA162" s="190">
        <f t="shared" si="192"/>
        <v>1.4232507805979679</v>
      </c>
      <c r="BB162" s="190">
        <f t="shared" si="192"/>
        <v>1.4176253010240372</v>
      </c>
      <c r="BC162" s="190">
        <f t="shared" si="192"/>
        <v>1.4129158594552382</v>
      </c>
      <c r="BD162" s="191">
        <f t="shared" si="192"/>
        <v>1.4089772979880093</v>
      </c>
    </row>
    <row r="163" spans="2:56" x14ac:dyDescent="0.3">
      <c r="B163" s="157" t="s">
        <v>274</v>
      </c>
      <c r="C163" s="43"/>
      <c r="D163" s="158" t="e">
        <f t="shared" ref="D163:AI163" si="193">CapitalDeGiro/ReceitaLíquida</f>
        <v>#DIV/0!</v>
      </c>
      <c r="E163" s="158" t="e">
        <f t="shared" si="193"/>
        <v>#DIV/0!</v>
      </c>
      <c r="F163" s="158" t="e">
        <f t="shared" si="193"/>
        <v>#DIV/0!</v>
      </c>
      <c r="G163" s="158">
        <f t="shared" si="193"/>
        <v>0.65051853956527916</v>
      </c>
      <c r="H163" s="158">
        <f t="shared" si="193"/>
        <v>0.50728623209935231</v>
      </c>
      <c r="I163" s="158">
        <f t="shared" si="193"/>
        <v>0.42990699951052369</v>
      </c>
      <c r="J163" s="158">
        <f t="shared" si="193"/>
        <v>0.45169933078393881</v>
      </c>
      <c r="K163" s="158">
        <f t="shared" si="193"/>
        <v>0.44756042424335996</v>
      </c>
      <c r="L163" s="158">
        <f t="shared" si="193"/>
        <v>0.39346446176151562</v>
      </c>
      <c r="M163" s="158">
        <f t="shared" si="193"/>
        <v>0.39685222370542517</v>
      </c>
      <c r="N163" s="158">
        <f t="shared" si="193"/>
        <v>0.41148990453235207</v>
      </c>
      <c r="O163" s="158">
        <f t="shared" si="193"/>
        <v>0.40060219666643099</v>
      </c>
      <c r="P163" s="158">
        <f t="shared" si="193"/>
        <v>0.40298144163473609</v>
      </c>
      <c r="Q163" s="158">
        <f t="shared" si="193"/>
        <v>0.4050245142778397</v>
      </c>
      <c r="R163" s="158">
        <f t="shared" si="193"/>
        <v>0.40286938419300233</v>
      </c>
      <c r="S163" s="158">
        <f t="shared" si="193"/>
        <v>0.40362511336852597</v>
      </c>
      <c r="T163" s="158">
        <f t="shared" si="193"/>
        <v>0.4038396706131227</v>
      </c>
      <c r="U163" s="158">
        <f t="shared" si="193"/>
        <v>0.40344472272488369</v>
      </c>
      <c r="V163" s="158">
        <f t="shared" si="193"/>
        <v>0.40363650223551079</v>
      </c>
      <c r="W163" s="158">
        <f t="shared" si="193"/>
        <v>0.40364029852450573</v>
      </c>
      <c r="X163" s="158">
        <f t="shared" si="193"/>
        <v>0.40357384116163342</v>
      </c>
      <c r="Y163" s="158">
        <f t="shared" si="193"/>
        <v>0.40361688064054996</v>
      </c>
      <c r="Z163" s="158">
        <f t="shared" si="193"/>
        <v>0.40361034010889635</v>
      </c>
      <c r="AA163" s="158">
        <f t="shared" si="193"/>
        <v>0.40360035397035987</v>
      </c>
      <c r="AB163" s="158">
        <f t="shared" si="193"/>
        <v>0.4036091915732688</v>
      </c>
      <c r="AC163" s="158">
        <f t="shared" si="193"/>
        <v>0.40360662855084178</v>
      </c>
      <c r="AD163" s="158">
        <f t="shared" si="193"/>
        <v>0.40360539136482343</v>
      </c>
      <c r="AE163" s="158">
        <f t="shared" si="193"/>
        <v>0.40360707049631123</v>
      </c>
      <c r="AF163" s="158">
        <f t="shared" si="193"/>
        <v>0.40360636347065887</v>
      </c>
      <c r="AG163" s="158">
        <f t="shared" si="193"/>
        <v>0.40360627511059788</v>
      </c>
      <c r="AH163" s="158">
        <f t="shared" si="193"/>
        <v>0.40360656969252268</v>
      </c>
      <c r="AI163" s="158">
        <f t="shared" si="193"/>
        <v>0.40360640275792659</v>
      </c>
      <c r="AJ163" s="158">
        <f t="shared" ref="AJ163:BD163" si="194">CapitalDeGiro/ReceitaLíquida</f>
        <v>0.40360641585368234</v>
      </c>
      <c r="AK163" s="158">
        <f t="shared" si="194"/>
        <v>0.40360646276804391</v>
      </c>
      <c r="AL163" s="158">
        <f t="shared" si="194"/>
        <v>0.40360642712655087</v>
      </c>
      <c r="AM163" s="158">
        <f t="shared" si="194"/>
        <v>0.40360643524942569</v>
      </c>
      <c r="AN163" s="158">
        <f t="shared" si="194"/>
        <v>0.40360644171467347</v>
      </c>
      <c r="AO163" s="158">
        <f t="shared" si="194"/>
        <v>0.40360643469688323</v>
      </c>
      <c r="AP163" s="158">
        <f t="shared" si="194"/>
        <v>0.40360643722032752</v>
      </c>
      <c r="AQ163" s="158">
        <f t="shared" si="194"/>
        <v>0.40360643787729472</v>
      </c>
      <c r="AR163" s="158">
        <f t="shared" si="194"/>
        <v>0.40360643659816847</v>
      </c>
      <c r="AS163" s="158">
        <f t="shared" si="194"/>
        <v>0.40360643723193024</v>
      </c>
      <c r="AT163" s="158">
        <f t="shared" si="194"/>
        <v>0.4036064372357977</v>
      </c>
      <c r="AU163" s="158">
        <f t="shared" si="194"/>
        <v>0.40360643702196547</v>
      </c>
      <c r="AV163" s="158">
        <f t="shared" si="194"/>
        <v>0.40360643716323114</v>
      </c>
      <c r="AW163" s="158">
        <f t="shared" si="194"/>
        <v>0.4036064371403314</v>
      </c>
      <c r="AX163" s="158">
        <f t="shared" si="194"/>
        <v>0.40360643710850935</v>
      </c>
      <c r="AY163" s="158">
        <f t="shared" si="194"/>
        <v>0.40360643713735739</v>
      </c>
      <c r="AZ163" s="158">
        <f t="shared" si="194"/>
        <v>0.40360643712873279</v>
      </c>
      <c r="BA163" s="158">
        <f t="shared" si="194"/>
        <v>0.40360643712486644</v>
      </c>
      <c r="BB163" s="158">
        <f t="shared" si="194"/>
        <v>0.40360643713031885</v>
      </c>
      <c r="BC163" s="158">
        <f t="shared" si="194"/>
        <v>0.40360643712797262</v>
      </c>
      <c r="BD163" s="159">
        <f t="shared" si="194"/>
        <v>0.40360643712771932</v>
      </c>
    </row>
    <row r="165" spans="2:56" x14ac:dyDescent="0.3">
      <c r="B165" s="154" t="s">
        <v>226</v>
      </c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273"/>
      <c r="O165" s="274"/>
      <c r="P165" s="273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7"/>
    </row>
    <row r="166" spans="2:56" x14ac:dyDescent="0.3">
      <c r="B166" s="155" t="s">
        <v>227</v>
      </c>
      <c r="C166" s="17"/>
      <c r="D166" s="161" t="e">
        <f t="shared" ref="D166:AI166" si="195">MarketCap/LucroLiquido</f>
        <v>#DIV/0!</v>
      </c>
      <c r="E166" s="161" t="e">
        <f t="shared" si="195"/>
        <v>#DIV/0!</v>
      </c>
      <c r="F166" s="161" t="e">
        <f t="shared" si="195"/>
        <v>#DIV/0!</v>
      </c>
      <c r="G166" s="161">
        <f t="shared" si="195"/>
        <v>-13.008555482933927</v>
      </c>
      <c r="H166" s="161">
        <f t="shared" si="195"/>
        <v>40.699300699300707</v>
      </c>
      <c r="I166" s="161">
        <f t="shared" si="195"/>
        <v>-26.969696969697129</v>
      </c>
      <c r="J166" s="161">
        <f t="shared" si="195"/>
        <v>-17.594501718213106</v>
      </c>
      <c r="K166" s="161">
        <f t="shared" si="195"/>
        <v>6.383918709962475</v>
      </c>
      <c r="L166" s="161">
        <f t="shared" si="195"/>
        <v>-32.950845092263535</v>
      </c>
      <c r="M166" s="161">
        <f t="shared" si="195"/>
        <v>24.995375508693758</v>
      </c>
      <c r="N166" s="161">
        <f t="shared" si="195"/>
        <v>80.181745289320517</v>
      </c>
      <c r="O166" s="161">
        <f t="shared" si="195"/>
        <v>6.8560502728456836</v>
      </c>
      <c r="P166" s="161">
        <f t="shared" si="195"/>
        <v>5.8611466392360052</v>
      </c>
      <c r="Q166" s="161">
        <f t="shared" si="195"/>
        <v>4.8559767439705972</v>
      </c>
      <c r="R166" s="161">
        <f t="shared" si="195"/>
        <v>4.0290976227658382</v>
      </c>
      <c r="S166" s="161">
        <f t="shared" si="195"/>
        <v>3.5420227296089979</v>
      </c>
      <c r="T166" s="161">
        <f t="shared" si="195"/>
        <v>3.5854718637823182</v>
      </c>
      <c r="U166" s="161">
        <f t="shared" si="195"/>
        <v>3.2265793125461615</v>
      </c>
      <c r="V166" s="161">
        <f t="shared" si="195"/>
        <v>2.9524580938438438</v>
      </c>
      <c r="W166" s="161">
        <f t="shared" si="195"/>
        <v>2.7112029819727557</v>
      </c>
      <c r="X166" s="161">
        <f t="shared" si="195"/>
        <v>2.4975112705404792</v>
      </c>
      <c r="Y166" s="161">
        <f t="shared" si="195"/>
        <v>2.3031539948882855</v>
      </c>
      <c r="Z166" s="161">
        <f t="shared" si="195"/>
        <v>2.1276232526717811</v>
      </c>
      <c r="AA166" s="161">
        <f t="shared" si="195"/>
        <v>1.9947798836628827</v>
      </c>
      <c r="AB166" s="161">
        <f t="shared" si="195"/>
        <v>1.8694263909861575</v>
      </c>
      <c r="AC166" s="161">
        <f t="shared" si="195"/>
        <v>1.7524793933985985</v>
      </c>
      <c r="AD166" s="161">
        <f t="shared" si="195"/>
        <v>1.6433586091128893</v>
      </c>
      <c r="AE166" s="161">
        <f t="shared" si="195"/>
        <v>1.5413630749236089</v>
      </c>
      <c r="AF166" s="161">
        <f t="shared" si="195"/>
        <v>1.4460067132925227</v>
      </c>
      <c r="AG166" s="161">
        <f t="shared" si="195"/>
        <v>1.3567602207422897</v>
      </c>
      <c r="AH166" s="161">
        <f t="shared" si="195"/>
        <v>1.2731684094080478</v>
      </c>
      <c r="AI166" s="161">
        <f t="shared" si="195"/>
        <v>1.1948380423463763</v>
      </c>
      <c r="AJ166" s="161">
        <f t="shared" ref="AJ166:BD166" si="196">MarketCap/LucroLiquido</f>
        <v>1.1213961868976008</v>
      </c>
      <c r="AK166" s="161">
        <f t="shared" si="196"/>
        <v>1.0525088966002669</v>
      </c>
      <c r="AL166" s="161">
        <f t="shared" si="196"/>
        <v>0.98787261410445804</v>
      </c>
      <c r="AM166" s="161">
        <f t="shared" si="196"/>
        <v>0.92720627619856899</v>
      </c>
      <c r="AN166" s="161">
        <f t="shared" si="196"/>
        <v>0.87025246870901263</v>
      </c>
      <c r="AO166" s="161">
        <f t="shared" si="196"/>
        <v>0.81677368460843591</v>
      </c>
      <c r="AP166" s="161">
        <f t="shared" si="196"/>
        <v>0.76654979838734938</v>
      </c>
      <c r="AQ166" s="161">
        <f t="shared" si="196"/>
        <v>0.71937692096733208</v>
      </c>
      <c r="AR166" s="161">
        <f t="shared" si="196"/>
        <v>0.67506557535494649</v>
      </c>
      <c r="AS166" s="161">
        <f t="shared" si="196"/>
        <v>0.63343934546634928</v>
      </c>
      <c r="AT166" s="161">
        <f t="shared" si="196"/>
        <v>0.59486132386889745</v>
      </c>
      <c r="AU166" s="161">
        <f t="shared" si="196"/>
        <v>0.56942907772335249</v>
      </c>
      <c r="AV166" s="161">
        <f t="shared" si="196"/>
        <v>0.54361557853214959</v>
      </c>
      <c r="AW166" s="161">
        <f t="shared" si="196"/>
        <v>0.51881105698595775</v>
      </c>
      <c r="AX166" s="161">
        <f t="shared" si="196"/>
        <v>0.4950338759925087</v>
      </c>
      <c r="AY166" s="161">
        <f t="shared" si="196"/>
        <v>0.47227012962704901</v>
      </c>
      <c r="AZ166" s="161">
        <f t="shared" si="196"/>
        <v>0.45049886422279911</v>
      </c>
      <c r="BA166" s="161">
        <f t="shared" si="196"/>
        <v>0.42969421238259092</v>
      </c>
      <c r="BB166" s="161">
        <f t="shared" si="196"/>
        <v>0.40982680166812729</v>
      </c>
      <c r="BC166" s="161">
        <f t="shared" si="196"/>
        <v>0.39086487517759033</v>
      </c>
      <c r="BD166" s="162">
        <f t="shared" si="196"/>
        <v>0.37277517971484947</v>
      </c>
    </row>
    <row r="167" spans="2:56" x14ac:dyDescent="0.3">
      <c r="B167" s="155" t="s">
        <v>228</v>
      </c>
      <c r="C167" s="17"/>
      <c r="D167" s="161" t="e">
        <f t="shared" ref="D167:AI167" si="197">MarketCap/PatrimLíquido</f>
        <v>#DIV/0!</v>
      </c>
      <c r="E167" s="161" t="e">
        <f t="shared" si="197"/>
        <v>#DIV/0!</v>
      </c>
      <c r="F167" s="161" t="e">
        <f t="shared" si="197"/>
        <v>#DIV/0!</v>
      </c>
      <c r="G167" s="161">
        <f t="shared" si="197"/>
        <v>1.4846896726067134</v>
      </c>
      <c r="H167" s="161">
        <f t="shared" si="197"/>
        <v>1.9121573948662514</v>
      </c>
      <c r="I167" s="161">
        <f t="shared" si="197"/>
        <v>1.2362184217379983</v>
      </c>
      <c r="J167" s="161">
        <f t="shared" si="197"/>
        <v>0.47154172039049541</v>
      </c>
      <c r="K167" s="161">
        <f t="shared" si="197"/>
        <v>0.13392426837496568</v>
      </c>
      <c r="L167" s="161">
        <f t="shared" si="197"/>
        <v>0.20675148180003186</v>
      </c>
      <c r="M167" s="161">
        <f t="shared" si="197"/>
        <v>0.47020157337014912</v>
      </c>
      <c r="N167" s="161">
        <f t="shared" si="197"/>
        <v>0.51697754249555383</v>
      </c>
      <c r="O167" s="161">
        <f t="shared" si="197"/>
        <v>0.48072842122021625</v>
      </c>
      <c r="P167" s="161">
        <f t="shared" si="197"/>
        <v>0.44428812355338443</v>
      </c>
      <c r="Q167" s="161">
        <f t="shared" si="197"/>
        <v>0.4070462230702489</v>
      </c>
      <c r="R167" s="161">
        <f t="shared" si="197"/>
        <v>0.36969697708687671</v>
      </c>
      <c r="S167" s="161">
        <f t="shared" si="197"/>
        <v>0.33475688293002287</v>
      </c>
      <c r="T167" s="161">
        <f t="shared" si="197"/>
        <v>0.31982660839811083</v>
      </c>
      <c r="U167" s="161">
        <f t="shared" si="197"/>
        <v>0.30472410102312808</v>
      </c>
      <c r="V167" s="161">
        <f t="shared" si="197"/>
        <v>0.28977045259470496</v>
      </c>
      <c r="W167" s="161">
        <f t="shared" si="197"/>
        <v>0.27507081640108089</v>
      </c>
      <c r="X167" s="161">
        <f t="shared" si="197"/>
        <v>0.26071358420364066</v>
      </c>
      <c r="Y167" s="161">
        <f t="shared" si="197"/>
        <v>0.24674784109872114</v>
      </c>
      <c r="Z167" s="161">
        <f t="shared" si="197"/>
        <v>0.23322394648632694</v>
      </c>
      <c r="AA167" s="161">
        <f t="shared" si="197"/>
        <v>0.22034300990490926</v>
      </c>
      <c r="AB167" s="161">
        <f t="shared" si="197"/>
        <v>0.20808015538441207</v>
      </c>
      <c r="AC167" s="161">
        <f t="shared" si="197"/>
        <v>0.19641926204636334</v>
      </c>
      <c r="AD167" s="161">
        <f t="shared" si="197"/>
        <v>0.18534288685367392</v>
      </c>
      <c r="AE167" s="161">
        <f t="shared" si="197"/>
        <v>0.17483148537424495</v>
      </c>
      <c r="AF167" s="161">
        <f t="shared" si="197"/>
        <v>0.16486487501225003</v>
      </c>
      <c r="AG167" s="161">
        <f t="shared" si="197"/>
        <v>0.15542193252049041</v>
      </c>
      <c r="AH167" s="161">
        <f t="shared" si="197"/>
        <v>0.14648109829668948</v>
      </c>
      <c r="AI167" s="161">
        <f t="shared" si="197"/>
        <v>0.13802077403046525</v>
      </c>
      <c r="AJ167" s="161">
        <f t="shared" ref="AJ167:BD167" si="198">MarketCap/PatrimLíquido</f>
        <v>0.13001941782098433</v>
      </c>
      <c r="AK167" s="161">
        <f t="shared" si="198"/>
        <v>0.12245576343207987</v>
      </c>
      <c r="AL167" s="161">
        <f t="shared" si="198"/>
        <v>0.11530896764965788</v>
      </c>
      <c r="AM167" s="161">
        <f t="shared" si="198"/>
        <v>0.10855869463638745</v>
      </c>
      <c r="AN167" s="161">
        <f t="shared" si="198"/>
        <v>0.1021852037641114</v>
      </c>
      <c r="AO167" s="161">
        <f t="shared" si="198"/>
        <v>9.6169406151706174E-2</v>
      </c>
      <c r="AP167" s="161">
        <f t="shared" si="198"/>
        <v>9.0492900514540009E-2</v>
      </c>
      <c r="AQ167" s="161">
        <f t="shared" si="198"/>
        <v>8.5137999427473326E-2</v>
      </c>
      <c r="AR167" s="161">
        <f t="shared" si="198"/>
        <v>8.0087741818425776E-2</v>
      </c>
      <c r="AS167" s="161">
        <f t="shared" si="198"/>
        <v>7.5325896063684575E-2</v>
      </c>
      <c r="AT167" s="161">
        <f t="shared" si="198"/>
        <v>7.0840700103736165E-2</v>
      </c>
      <c r="AU167" s="161">
        <f t="shared" si="198"/>
        <v>6.669222565642921E-2</v>
      </c>
      <c r="AV167" s="161">
        <f t="shared" si="198"/>
        <v>6.2837677746566345E-2</v>
      </c>
      <c r="AW167" s="161">
        <f t="shared" si="198"/>
        <v>5.924956505558359E-2</v>
      </c>
      <c r="AX167" s="161">
        <f t="shared" si="198"/>
        <v>5.590404611458627E-2</v>
      </c>
      <c r="AY167" s="161">
        <f t="shared" si="198"/>
        <v>5.2780171696779392E-2</v>
      </c>
      <c r="AZ167" s="161">
        <f t="shared" si="198"/>
        <v>4.9859421987726943E-2</v>
      </c>
      <c r="BA167" s="161">
        <f t="shared" si="198"/>
        <v>4.7125335819881667E-2</v>
      </c>
      <c r="BB167" s="161">
        <f t="shared" si="198"/>
        <v>4.4563209335476417E-2</v>
      </c>
      <c r="BC167" s="161">
        <f t="shared" si="198"/>
        <v>4.2159849119239125E-2</v>
      </c>
      <c r="BD167" s="162">
        <f t="shared" si="198"/>
        <v>3.9903368425620464E-2</v>
      </c>
    </row>
    <row r="168" spans="2:56" x14ac:dyDescent="0.3">
      <c r="B168" s="155" t="s">
        <v>229</v>
      </c>
      <c r="C168" s="17"/>
      <c r="D168" s="161" t="e">
        <f t="shared" ref="D168:AI168" si="199">MarketCap/ReceitaLíquida</f>
        <v>#DIV/0!</v>
      </c>
      <c r="E168" s="161" t="e">
        <f t="shared" si="199"/>
        <v>#DIV/0!</v>
      </c>
      <c r="F168" s="161" t="e">
        <f t="shared" si="199"/>
        <v>#DIV/0!</v>
      </c>
      <c r="G168" s="161">
        <f t="shared" si="199"/>
        <v>1.2723952905242222</v>
      </c>
      <c r="H168" s="161">
        <f t="shared" si="199"/>
        <v>1.3833264008556658</v>
      </c>
      <c r="I168" s="161">
        <f t="shared" si="199"/>
        <v>0.69701419481155158</v>
      </c>
      <c r="J168" s="161">
        <f t="shared" si="199"/>
        <v>0.24474187380497131</v>
      </c>
      <c r="K168" s="161">
        <f t="shared" si="199"/>
        <v>6.373795540107495E-2</v>
      </c>
      <c r="L168" s="161">
        <f t="shared" si="199"/>
        <v>9.1940754675674113E-2</v>
      </c>
      <c r="M168" s="161">
        <f t="shared" si="199"/>
        <v>0.24582763866748228</v>
      </c>
      <c r="N168" s="161">
        <f t="shared" si="199"/>
        <v>0.26603775341758745</v>
      </c>
      <c r="O168" s="161">
        <f t="shared" si="199"/>
        <v>0.24983860781437364</v>
      </c>
      <c r="P168" s="161">
        <f t="shared" si="199"/>
        <v>0.23851919887527476</v>
      </c>
      <c r="Q168" s="161">
        <f t="shared" si="199"/>
        <v>0.22602901867151887</v>
      </c>
      <c r="R168" s="161">
        <f t="shared" si="199"/>
        <v>0.21407353760131043</v>
      </c>
      <c r="S168" s="161">
        <f t="shared" si="199"/>
        <v>0.20276905588326749</v>
      </c>
      <c r="T168" s="161">
        <f t="shared" si="199"/>
        <v>0.19189040841380206</v>
      </c>
      <c r="U168" s="161">
        <f t="shared" si="199"/>
        <v>0.18151509960539203</v>
      </c>
      <c r="V168" s="161">
        <f t="shared" si="199"/>
        <v>0.17163157375138022</v>
      </c>
      <c r="W168" s="161">
        <f t="shared" si="199"/>
        <v>0.16219416815396528</v>
      </c>
      <c r="X168" s="161">
        <f t="shared" si="199"/>
        <v>0.15320542716601632</v>
      </c>
      <c r="Y168" s="161">
        <f t="shared" si="199"/>
        <v>0.14464782147850055</v>
      </c>
      <c r="Z168" s="161">
        <f t="shared" si="199"/>
        <v>0.13650233060598232</v>
      </c>
      <c r="AA168" s="161">
        <f t="shared" si="199"/>
        <v>0.12982364768134041</v>
      </c>
      <c r="AB168" s="161">
        <f t="shared" si="199"/>
        <v>0.12349000042982015</v>
      </c>
      <c r="AC168" s="161">
        <f t="shared" si="199"/>
        <v>0.11742104123136976</v>
      </c>
      <c r="AD168" s="161">
        <f t="shared" si="199"/>
        <v>0.11160864041957125</v>
      </c>
      <c r="AE168" s="161">
        <f t="shared" si="199"/>
        <v>0.1060441351375444</v>
      </c>
      <c r="AF168" s="161">
        <f t="shared" si="199"/>
        <v>0.10071920320103919</v>
      </c>
      <c r="AG168" s="161">
        <f t="shared" si="199"/>
        <v>9.5625802944223681E-2</v>
      </c>
      <c r="AH168" s="161">
        <f t="shared" si="199"/>
        <v>9.0755946207937865E-2</v>
      </c>
      <c r="AI168" s="161">
        <f t="shared" si="199"/>
        <v>8.6101858578341656E-2</v>
      </c>
      <c r="AJ168" s="161">
        <f t="shared" ref="AJ168:BD168" si="200">MarketCap/ReceitaLíquida</f>
        <v>8.1655944673913308E-2</v>
      </c>
      <c r="AK168" s="161">
        <f t="shared" si="200"/>
        <v>7.7410760715989776E-2</v>
      </c>
      <c r="AL168" s="161">
        <f t="shared" si="200"/>
        <v>7.3359041207510398E-2</v>
      </c>
      <c r="AM168" s="161">
        <f t="shared" si="200"/>
        <v>6.949368929643493E-2</v>
      </c>
      <c r="AN168" s="161">
        <f t="shared" si="200"/>
        <v>6.5807773966942526E-2</v>
      </c>
      <c r="AO168" s="161">
        <f t="shared" si="200"/>
        <v>6.2294533835288157E-2</v>
      </c>
      <c r="AP168" s="161">
        <f t="shared" si="200"/>
        <v>5.8947374726093189E-2</v>
      </c>
      <c r="AQ168" s="161">
        <f t="shared" si="200"/>
        <v>5.5759869167590945E-2</v>
      </c>
      <c r="AR168" s="161">
        <f t="shared" si="200"/>
        <v>5.2725756464521469E-2</v>
      </c>
      <c r="AS168" s="161">
        <f t="shared" si="200"/>
        <v>4.9838941730618931E-2</v>
      </c>
      <c r="AT168" s="161">
        <f t="shared" si="200"/>
        <v>4.712587767487033E-2</v>
      </c>
      <c r="AU168" s="161">
        <f t="shared" si="200"/>
        <v>4.522196131608687E-2</v>
      </c>
      <c r="AV168" s="161">
        <f t="shared" si="200"/>
        <v>4.339298383155011E-2</v>
      </c>
      <c r="AW168" s="161">
        <f t="shared" si="200"/>
        <v>4.1636104090956694E-2</v>
      </c>
      <c r="AX168" s="161">
        <f t="shared" si="200"/>
        <v>3.9948582904148745E-2</v>
      </c>
      <c r="AY168" s="161">
        <f t="shared" si="200"/>
        <v>3.8327779650717146E-2</v>
      </c>
      <c r="AZ168" s="161">
        <f t="shared" si="200"/>
        <v>3.6771149020649534E-2</v>
      </c>
      <c r="BA168" s="161">
        <f t="shared" si="200"/>
        <v>3.5276237845275088E-2</v>
      </c>
      <c r="BB168" s="161">
        <f t="shared" si="200"/>
        <v>3.3840682018017564E-2</v>
      </c>
      <c r="BC168" s="161">
        <f t="shared" si="200"/>
        <v>3.2462203507642694E-2</v>
      </c>
      <c r="BD168" s="162">
        <f t="shared" si="200"/>
        <v>3.1138607458472196E-2</v>
      </c>
    </row>
    <row r="169" spans="2:56" x14ac:dyDescent="0.3">
      <c r="B169" s="155" t="s">
        <v>230</v>
      </c>
      <c r="C169" s="17"/>
      <c r="D169" s="161" t="e">
        <f t="shared" ref="D169:AI169" si="201">(MarketCap+DívidaLíquida)/EBITDA</f>
        <v>#DIV/0!</v>
      </c>
      <c r="E169" s="161" t="e">
        <f t="shared" si="201"/>
        <v>#DIV/0!</v>
      </c>
      <c r="F169" s="161" t="e">
        <f t="shared" si="201"/>
        <v>#DIV/0!</v>
      </c>
      <c r="G169" s="161">
        <f t="shared" si="201"/>
        <v>7.3440942012177421</v>
      </c>
      <c r="H169" s="161">
        <f t="shared" si="201"/>
        <v>7.2955373134328356</v>
      </c>
      <c r="I169" s="161">
        <f t="shared" si="201"/>
        <v>13.482580645161267</v>
      </c>
      <c r="J169" s="161">
        <f t="shared" si="201"/>
        <v>6.5454401686873984</v>
      </c>
      <c r="K169" s="161">
        <f t="shared" si="201"/>
        <v>3.9929942727214254</v>
      </c>
      <c r="L169" s="161">
        <f t="shared" si="201"/>
        <v>4.0318627174211672</v>
      </c>
      <c r="M169" s="161">
        <f t="shared" si="201"/>
        <v>5.3485418016850241</v>
      </c>
      <c r="N169" s="161">
        <f t="shared" si="201"/>
        <v>6.0969352701575152</v>
      </c>
      <c r="O169" s="161">
        <f t="shared" si="201"/>
        <v>4.2182144712337761</v>
      </c>
      <c r="P169" s="161">
        <f t="shared" si="201"/>
        <v>3.9882666405445586</v>
      </c>
      <c r="Q169" s="161">
        <f t="shared" si="201"/>
        <v>3.6121759644933293</v>
      </c>
      <c r="R169" s="161">
        <f t="shared" si="201"/>
        <v>3.1639264408918844</v>
      </c>
      <c r="S169" s="161">
        <f t="shared" si="201"/>
        <v>2.789170524952393</v>
      </c>
      <c r="T169" s="161">
        <f t="shared" si="201"/>
        <v>2.4441024091598207</v>
      </c>
      <c r="U169" s="161">
        <f t="shared" si="201"/>
        <v>2.2815661141596251</v>
      </c>
      <c r="V169" s="161">
        <f t="shared" si="201"/>
        <v>2.1379269056551644</v>
      </c>
      <c r="W169" s="161">
        <f t="shared" si="201"/>
        <v>1.9966664099377207</v>
      </c>
      <c r="X169" s="161">
        <f t="shared" si="201"/>
        <v>1.8628242069199941</v>
      </c>
      <c r="Y169" s="161">
        <f t="shared" si="201"/>
        <v>1.735970068239304</v>
      </c>
      <c r="Z169" s="161">
        <f t="shared" si="201"/>
        <v>1.6140206787874483</v>
      </c>
      <c r="AA169" s="161">
        <f t="shared" si="201"/>
        <v>1.4928878516906341</v>
      </c>
      <c r="AB169" s="161">
        <f t="shared" si="201"/>
        <v>1.3748662370025213</v>
      </c>
      <c r="AC169" s="161">
        <f t="shared" si="201"/>
        <v>1.2603158575258795</v>
      </c>
      <c r="AD169" s="161">
        <f t="shared" si="201"/>
        <v>1.1493908646946605</v>
      </c>
      <c r="AE169" s="161">
        <f t="shared" si="201"/>
        <v>1.0419892454493103</v>
      </c>
      <c r="AF169" s="161">
        <f t="shared" si="201"/>
        <v>0.93805376872319413</v>
      </c>
      <c r="AG169" s="161">
        <f t="shared" si="201"/>
        <v>0.83757155945537687</v>
      </c>
      <c r="AH169" s="161">
        <f t="shared" si="201"/>
        <v>0.74049182848609751</v>
      </c>
      <c r="AI169" s="161">
        <f t="shared" si="201"/>
        <v>0.64677525748278031</v>
      </c>
      <c r="AJ169" s="161">
        <f t="shared" ref="AJ169:BD169" si="202">(MarketCap+DívidaLíquida)/EBITDA</f>
        <v>0.55638553646858413</v>
      </c>
      <c r="AK169" s="161">
        <f t="shared" si="202"/>
        <v>0.46927891098110958</v>
      </c>
      <c r="AL169" s="161">
        <f t="shared" si="202"/>
        <v>0.385412048817594</v>
      </c>
      <c r="AM169" s="161">
        <f t="shared" si="202"/>
        <v>0.30473960080110529</v>
      </c>
      <c r="AN169" s="161">
        <f t="shared" si="202"/>
        <v>0.22721293928094566</v>
      </c>
      <c r="AO169" s="161">
        <f t="shared" si="202"/>
        <v>0.1527813563628547</v>
      </c>
      <c r="AP169" s="161">
        <f t="shared" si="202"/>
        <v>8.1391621902339631E-2</v>
      </c>
      <c r="AQ169" s="161">
        <f t="shared" si="202"/>
        <v>1.2987921375872595E-2</v>
      </c>
      <c r="AR169" s="161">
        <f t="shared" si="202"/>
        <v>-5.2487849860572838E-2</v>
      </c>
      <c r="AS169" s="161">
        <f t="shared" si="202"/>
        <v>-0.11509602728085261</v>
      </c>
      <c r="AT169" s="161">
        <f t="shared" si="202"/>
        <v>-0.17658495528384638</v>
      </c>
      <c r="AU169" s="161">
        <f t="shared" si="202"/>
        <v>-0.27364479123648811</v>
      </c>
      <c r="AV169" s="161">
        <f t="shared" si="202"/>
        <v>-0.37036104852489871</v>
      </c>
      <c r="AW169" s="161">
        <f t="shared" si="202"/>
        <v>-0.46596683642128217</v>
      </c>
      <c r="AX169" s="161">
        <f t="shared" si="202"/>
        <v>-0.56032597994224753</v>
      </c>
      <c r="AY169" s="161">
        <f t="shared" si="202"/>
        <v>-0.65333659282018364</v>
      </c>
      <c r="AZ169" s="161">
        <f t="shared" si="202"/>
        <v>-0.74491698104794557</v>
      </c>
      <c r="BA169" s="161">
        <f t="shared" si="202"/>
        <v>-0.83500255852459748</v>
      </c>
      <c r="BB169" s="161">
        <f t="shared" si="202"/>
        <v>-0.92354336076608523</v>
      </c>
      <c r="BC169" s="161">
        <f t="shared" si="202"/>
        <v>-1.0105019102105306</v>
      </c>
      <c r="BD169" s="162">
        <f t="shared" si="202"/>
        <v>-1.0958513802833676</v>
      </c>
    </row>
    <row r="170" spans="2:56" x14ac:dyDescent="0.3">
      <c r="B170" s="155" t="s">
        <v>231</v>
      </c>
      <c r="C170" s="17"/>
      <c r="D170" s="161" t="e">
        <f t="shared" ref="D170:AI170" si="203">(MarketCap+DívidaLíquida)/EBIT</f>
        <v>#DIV/0!</v>
      </c>
      <c r="E170" s="161" t="e">
        <f t="shared" si="203"/>
        <v>#DIV/0!</v>
      </c>
      <c r="F170" s="161" t="e">
        <f t="shared" si="203"/>
        <v>#DIV/0!</v>
      </c>
      <c r="G170" s="161">
        <f t="shared" si="203"/>
        <v>40.788697101449202</v>
      </c>
      <c r="H170" s="161">
        <f t="shared" si="203"/>
        <v>16.320567612687814</v>
      </c>
      <c r="I170" s="161">
        <f t="shared" si="203"/>
        <v>32.910236220472285</v>
      </c>
      <c r="J170" s="161">
        <f t="shared" si="203"/>
        <v>11.973674059787839</v>
      </c>
      <c r="K170" s="161">
        <f t="shared" si="203"/>
        <v>6.0283493636452006</v>
      </c>
      <c r="L170" s="161">
        <f t="shared" si="203"/>
        <v>6.3445042675811818</v>
      </c>
      <c r="M170" s="161">
        <f t="shared" si="203"/>
        <v>7.5276375798114827</v>
      </c>
      <c r="N170" s="161">
        <f t="shared" si="203"/>
        <v>8.7943123097614411</v>
      </c>
      <c r="O170" s="161">
        <f t="shared" si="203"/>
        <v>5.3932159828478898</v>
      </c>
      <c r="P170" s="161">
        <f t="shared" si="203"/>
        <v>5.0687670045401596</v>
      </c>
      <c r="Q170" s="161">
        <f t="shared" si="203"/>
        <v>4.5276529717604124</v>
      </c>
      <c r="R170" s="161">
        <f t="shared" si="203"/>
        <v>3.9117806845656466</v>
      </c>
      <c r="S170" s="161">
        <f t="shared" si="203"/>
        <v>3.4206813285170607</v>
      </c>
      <c r="T170" s="161">
        <f t="shared" si="203"/>
        <v>2.9721749494438687</v>
      </c>
      <c r="U170" s="161">
        <f t="shared" si="203"/>
        <v>2.7549420572398562</v>
      </c>
      <c r="V170" s="161">
        <f t="shared" si="203"/>
        <v>2.5670675129910192</v>
      </c>
      <c r="W170" s="161">
        <f t="shared" si="203"/>
        <v>2.3852410296289608</v>
      </c>
      <c r="X170" s="161">
        <f t="shared" si="203"/>
        <v>2.2158127072290257</v>
      </c>
      <c r="Y170" s="161">
        <f t="shared" si="203"/>
        <v>2.0573660024819218</v>
      </c>
      <c r="Z170" s="161">
        <f t="shared" si="203"/>
        <v>1.9066746251423028</v>
      </c>
      <c r="AA170" s="161">
        <f t="shared" si="203"/>
        <v>1.7616045310678632</v>
      </c>
      <c r="AB170" s="161">
        <f t="shared" si="203"/>
        <v>1.6208463198597829</v>
      </c>
      <c r="AC170" s="161">
        <f t="shared" si="203"/>
        <v>1.4845153907230813</v>
      </c>
      <c r="AD170" s="161">
        <f t="shared" si="203"/>
        <v>1.3527648336237792</v>
      </c>
      <c r="AE170" s="161">
        <f t="shared" si="203"/>
        <v>1.2254204439113001</v>
      </c>
      <c r="AF170" s="161">
        <f t="shared" si="203"/>
        <v>1.1023814166256241</v>
      </c>
      <c r="AG170" s="161">
        <f t="shared" si="203"/>
        <v>0.98360672760452506</v>
      </c>
      <c r="AH170" s="161">
        <f t="shared" si="203"/>
        <v>0.86901126763321734</v>
      </c>
      <c r="AI170" s="161">
        <f t="shared" si="203"/>
        <v>0.75852968030004386</v>
      </c>
      <c r="AJ170" s="161">
        <f t="shared" ref="AJ170:BD170" si="204">(MarketCap+DívidaLíquida)/EBIT</f>
        <v>0.65210288624062929</v>
      </c>
      <c r="AK170" s="161">
        <f t="shared" si="204"/>
        <v>0.54966505933523857</v>
      </c>
      <c r="AL170" s="161">
        <f t="shared" si="204"/>
        <v>0.45115310384213586</v>
      </c>
      <c r="AM170" s="161">
        <f t="shared" si="204"/>
        <v>0.35650294026413409</v>
      </c>
      <c r="AN170" s="161">
        <f t="shared" si="204"/>
        <v>0.26564778574219666</v>
      </c>
      <c r="AO170" s="161">
        <f t="shared" si="204"/>
        <v>0.17851936381098588</v>
      </c>
      <c r="AP170" s="161">
        <f t="shared" si="204"/>
        <v>9.5047142675088042E-2</v>
      </c>
      <c r="AQ170" s="161">
        <f t="shared" si="204"/>
        <v>1.5158133409906032E-2</v>
      </c>
      <c r="AR170" s="161">
        <f t="shared" si="204"/>
        <v>-6.1222876063445106E-2</v>
      </c>
      <c r="AS170" s="161">
        <f t="shared" si="204"/>
        <v>-0.13417333469243223</v>
      </c>
      <c r="AT170" s="161">
        <f t="shared" si="204"/>
        <v>-0.20576216005924278</v>
      </c>
      <c r="AU170" s="161">
        <f t="shared" si="204"/>
        <v>-0.31957099896188818</v>
      </c>
      <c r="AV170" s="161">
        <f t="shared" si="204"/>
        <v>-0.43334165735614594</v>
      </c>
      <c r="AW170" s="161">
        <f t="shared" si="204"/>
        <v>-0.54608688175044984</v>
      </c>
      <c r="AX170" s="161">
        <f t="shared" si="204"/>
        <v>-0.65757156381584725</v>
      </c>
      <c r="AY170" s="161">
        <f t="shared" si="204"/>
        <v>-0.76761526919832168</v>
      </c>
      <c r="AZ170" s="161">
        <f t="shared" si="204"/>
        <v>-0.87607342971208024</v>
      </c>
      <c r="BA170" s="161">
        <f t="shared" si="204"/>
        <v>-0.98283168102654972</v>
      </c>
      <c r="BB170" s="161">
        <f t="shared" si="204"/>
        <v>-1.0878011777947103</v>
      </c>
      <c r="BC170" s="161">
        <f t="shared" si="204"/>
        <v>-1.1909145786298045</v>
      </c>
      <c r="BD170" s="162">
        <f t="shared" si="204"/>
        <v>-1.2921226141525268</v>
      </c>
    </row>
    <row r="171" spans="2:56" x14ac:dyDescent="0.3">
      <c r="B171" s="155" t="s">
        <v>232</v>
      </c>
      <c r="C171" s="17"/>
      <c r="D171" s="163" t="e">
        <f t="shared" ref="D171:AI171" si="205">Dividendos/MarketCap</f>
        <v>#DIV/0!</v>
      </c>
      <c r="E171" s="163" t="e">
        <f t="shared" si="205"/>
        <v>#DIV/0!</v>
      </c>
      <c r="F171" s="163" t="e">
        <f t="shared" si="205"/>
        <v>#DIV/0!</v>
      </c>
      <c r="G171" s="163">
        <f t="shared" si="205"/>
        <v>0</v>
      </c>
      <c r="H171" s="163">
        <f t="shared" si="205"/>
        <v>0</v>
      </c>
      <c r="I171" s="163">
        <f t="shared" si="205"/>
        <v>0</v>
      </c>
      <c r="J171" s="163">
        <f t="shared" si="205"/>
        <v>0</v>
      </c>
      <c r="K171" s="163">
        <f t="shared" si="205"/>
        <v>0</v>
      </c>
      <c r="L171" s="163">
        <f t="shared" si="205"/>
        <v>0</v>
      </c>
      <c r="M171" s="163">
        <f t="shared" si="205"/>
        <v>0</v>
      </c>
      <c r="N171" s="163">
        <f t="shared" si="205"/>
        <v>0</v>
      </c>
      <c r="O171" s="163">
        <f t="shared" si="205"/>
        <v>0</v>
      </c>
      <c r="P171" s="163">
        <f t="shared" si="205"/>
        <v>0</v>
      </c>
      <c r="Q171" s="163">
        <f t="shared" si="205"/>
        <v>0</v>
      </c>
      <c r="R171" s="163">
        <f t="shared" si="205"/>
        <v>0</v>
      </c>
      <c r="S171" s="163">
        <f t="shared" si="205"/>
        <v>0</v>
      </c>
      <c r="T171" s="163">
        <f t="shared" si="205"/>
        <v>0.13945165908303891</v>
      </c>
      <c r="U171" s="163">
        <f t="shared" si="205"/>
        <v>0.15496287292731681</v>
      </c>
      <c r="V171" s="163">
        <f t="shared" si="205"/>
        <v>0.16935041382722674</v>
      </c>
      <c r="W171" s="163">
        <f t="shared" si="205"/>
        <v>0.18441998010646343</v>
      </c>
      <c r="X171" s="163">
        <f t="shared" si="205"/>
        <v>0.20019929675504386</v>
      </c>
      <c r="Y171" s="163">
        <f t="shared" si="205"/>
        <v>0.21709360342804715</v>
      </c>
      <c r="Z171" s="163">
        <f t="shared" si="205"/>
        <v>0.23500401181088837</v>
      </c>
      <c r="AA171" s="163">
        <f t="shared" si="205"/>
        <v>0.25065422209987548</v>
      </c>
      <c r="AB171" s="163">
        <f t="shared" si="205"/>
        <v>0.26746172109843847</v>
      </c>
      <c r="AC171" s="163">
        <f t="shared" si="205"/>
        <v>0.28531005949824362</v>
      </c>
      <c r="AD171" s="163">
        <f t="shared" si="205"/>
        <v>0.30425495520415219</v>
      </c>
      <c r="AE171" s="163">
        <f t="shared" si="205"/>
        <v>0.32438820426834242</v>
      </c>
      <c r="AF171" s="163">
        <f t="shared" si="205"/>
        <v>0.34577986077361422</v>
      </c>
      <c r="AG171" s="163">
        <f t="shared" si="205"/>
        <v>0.3685249555197363</v>
      </c>
      <c r="AH171" s="163">
        <f t="shared" si="205"/>
        <v>0.39272102284761529</v>
      </c>
      <c r="AI171" s="163">
        <f t="shared" si="205"/>
        <v>0.41846675639664066</v>
      </c>
      <c r="AJ171" s="163">
        <f t="shared" ref="AJ171:BD171" si="206">Dividendos/MarketCap</f>
        <v>0.44587274849157038</v>
      </c>
      <c r="AK171" s="163">
        <f t="shared" si="206"/>
        <v>0.47505536686203936</v>
      </c>
      <c r="AL171" s="163">
        <f t="shared" si="206"/>
        <v>0.50613813244865369</v>
      </c>
      <c r="AM171" s="163">
        <f t="shared" si="206"/>
        <v>0.53925433081615681</v>
      </c>
      <c r="AN171" s="163">
        <f t="shared" si="206"/>
        <v>0.57454591394808863</v>
      </c>
      <c r="AO171" s="163">
        <f t="shared" si="206"/>
        <v>0.61216467844419076</v>
      </c>
      <c r="AP171" s="163">
        <f t="shared" si="206"/>
        <v>0.65227334356083455</v>
      </c>
      <c r="AQ171" s="163">
        <f t="shared" si="206"/>
        <v>0.69504592853445979</v>
      </c>
      <c r="AR171" s="163">
        <f t="shared" si="206"/>
        <v>0.74066878575033568</v>
      </c>
      <c r="AS171" s="163">
        <f t="shared" si="206"/>
        <v>0.7893415582385257</v>
      </c>
      <c r="AT171" s="163">
        <f t="shared" si="206"/>
        <v>0.84053203652250863</v>
      </c>
      <c r="AU171" s="163">
        <f t="shared" si="206"/>
        <v>0.87807247567872992</v>
      </c>
      <c r="AV171" s="163">
        <f t="shared" si="206"/>
        <v>0.91976760737814256</v>
      </c>
      <c r="AW171" s="163">
        <f t="shared" si="206"/>
        <v>0.96374198904849684</v>
      </c>
      <c r="AX171" s="163">
        <f t="shared" si="206"/>
        <v>1.0100318872067786</v>
      </c>
      <c r="AY171" s="163">
        <f t="shared" si="206"/>
        <v>1.0587161216290542</v>
      </c>
      <c r="AZ171" s="163">
        <f t="shared" si="206"/>
        <v>1.1098807116031253</v>
      </c>
      <c r="BA171" s="163">
        <f t="shared" si="206"/>
        <v>1.1636181861225774</v>
      </c>
      <c r="BB171" s="163">
        <f t="shared" si="206"/>
        <v>1.2200275774176768</v>
      </c>
      <c r="BC171" s="163">
        <f t="shared" si="206"/>
        <v>1.2792144594031989</v>
      </c>
      <c r="BD171" s="164">
        <f t="shared" si="206"/>
        <v>1.3412910172358306</v>
      </c>
    </row>
    <row r="172" spans="2:56" x14ac:dyDescent="0.3">
      <c r="B172" s="155" t="s">
        <v>234</v>
      </c>
      <c r="C172" s="17"/>
      <c r="D172" s="163" t="e">
        <f t="shared" ref="D172:AI172" si="207">FCFE/MarketCap</f>
        <v>#DIV/0!</v>
      </c>
      <c r="E172" s="163" t="e">
        <f t="shared" si="207"/>
        <v>#DIV/0!</v>
      </c>
      <c r="F172" s="163" t="e">
        <f t="shared" si="207"/>
        <v>#DIV/0!</v>
      </c>
      <c r="G172" s="163">
        <f t="shared" si="207"/>
        <v>-0.68654889872515545</v>
      </c>
      <c r="H172" s="163">
        <f t="shared" si="207"/>
        <v>2.6412371134020625E-2</v>
      </c>
      <c r="I172" s="163">
        <f t="shared" si="207"/>
        <v>-3.6016853932584018E-2</v>
      </c>
      <c r="J172" s="163">
        <f t="shared" si="207"/>
        <v>-0.1241308593750001</v>
      </c>
      <c r="K172" s="163">
        <f t="shared" si="207"/>
        <v>-0.13324567474048415</v>
      </c>
      <c r="L172" s="163">
        <f t="shared" si="207"/>
        <v>0.5025223529411772</v>
      </c>
      <c r="M172" s="163">
        <f t="shared" si="207"/>
        <v>0.10377798334875181</v>
      </c>
      <c r="N172" s="163">
        <f t="shared" si="207"/>
        <v>-6.5853333333333056E-2</v>
      </c>
      <c r="O172" s="163">
        <f t="shared" si="207"/>
        <v>8.765930185447128E-2</v>
      </c>
      <c r="P172" s="163">
        <f t="shared" si="207"/>
        <v>7.7522198803433848E-2</v>
      </c>
      <c r="Q172" s="163">
        <f t="shared" si="207"/>
        <v>9.0330767753275587E-2</v>
      </c>
      <c r="R172" s="163">
        <f t="shared" si="207"/>
        <v>0.13902656269940403</v>
      </c>
      <c r="S172" s="163">
        <f t="shared" si="207"/>
        <v>0.14881314869676776</v>
      </c>
      <c r="T172" s="163">
        <f t="shared" si="207"/>
        <v>0.13441740644633568</v>
      </c>
      <c r="U172" s="163">
        <f t="shared" si="207"/>
        <v>0.15570968784092662</v>
      </c>
      <c r="V172" s="163">
        <f t="shared" si="207"/>
        <v>0.16794586972859407</v>
      </c>
      <c r="W172" s="163">
        <f t="shared" si="207"/>
        <v>0.18474311747456917</v>
      </c>
      <c r="X172" s="163">
        <f t="shared" si="207"/>
        <v>0.20193143831586155</v>
      </c>
      <c r="Y172" s="163">
        <f t="shared" si="207"/>
        <v>0.2193886818389392</v>
      </c>
      <c r="Z172" s="163">
        <f t="shared" si="207"/>
        <v>0.23896696311691529</v>
      </c>
      <c r="AA172" s="163">
        <f t="shared" si="207"/>
        <v>0.2804913764151295</v>
      </c>
      <c r="AB172" s="163">
        <f t="shared" si="207"/>
        <v>0.30233437299673027</v>
      </c>
      <c r="AC172" s="163">
        <f t="shared" si="207"/>
        <v>0.32412773425250219</v>
      </c>
      <c r="AD172" s="163">
        <f t="shared" si="207"/>
        <v>0.34715525671702357</v>
      </c>
      <c r="AE172" s="163">
        <f t="shared" si="207"/>
        <v>0.371599103091941</v>
      </c>
      <c r="AF172" s="163">
        <f t="shared" si="207"/>
        <v>0.39759925123337148</v>
      </c>
      <c r="AG172" s="163">
        <f t="shared" si="207"/>
        <v>0.42520035376293425</v>
      </c>
      <c r="AH172" s="163">
        <f t="shared" si="207"/>
        <v>0.45454372145450861</v>
      </c>
      <c r="AI172" s="163">
        <f t="shared" si="207"/>
        <v>0.48575180704417675</v>
      </c>
      <c r="AJ172" s="163">
        <f t="shared" ref="AJ172:BD172" si="208">FCFE/MarketCap</f>
        <v>0.51894043705610315</v>
      </c>
      <c r="AK172" s="163">
        <f t="shared" si="208"/>
        <v>0.55425384376001219</v>
      </c>
      <c r="AL172" s="163">
        <f t="shared" si="208"/>
        <v>0.5918366755334834</v>
      </c>
      <c r="AM172" s="163">
        <f t="shared" si="208"/>
        <v>0.63184225811976447</v>
      </c>
      <c r="AN172" s="163">
        <f t="shared" si="208"/>
        <v>0.67443853598855719</v>
      </c>
      <c r="AO172" s="163">
        <f t="shared" si="208"/>
        <v>0.71980238582574585</v>
      </c>
      <c r="AP172" s="163">
        <f t="shared" si="208"/>
        <v>0.76812312403761629</v>
      </c>
      <c r="AQ172" s="163">
        <f t="shared" si="208"/>
        <v>0.81960392237407864</v>
      </c>
      <c r="AR172" s="163">
        <f t="shared" si="208"/>
        <v>0.87446143207411942</v>
      </c>
      <c r="AS172" s="163">
        <f t="shared" si="208"/>
        <v>0.93292758900509665</v>
      </c>
      <c r="AT172" s="163">
        <f t="shared" si="208"/>
        <v>1.0000854186688124</v>
      </c>
      <c r="AU172" s="163">
        <f t="shared" si="208"/>
        <v>1.1776309570258365</v>
      </c>
      <c r="AV172" s="163">
        <f t="shared" si="208"/>
        <v>1.2414275019845094</v>
      </c>
      <c r="AW172" s="163">
        <f t="shared" si="208"/>
        <v>1.3083235638740394</v>
      </c>
      <c r="AX172" s="163">
        <f t="shared" si="208"/>
        <v>1.3783927845478949</v>
      </c>
      <c r="AY172" s="163">
        <f t="shared" si="208"/>
        <v>1.4517867134977689</v>
      </c>
      <c r="AZ172" s="163">
        <f t="shared" si="208"/>
        <v>1.5286645661547926</v>
      </c>
      <c r="BA172" s="163">
        <f t="shared" si="208"/>
        <v>1.6091922430188204</v>
      </c>
      <c r="BB172" s="163">
        <f t="shared" si="208"/>
        <v>1.6935426781767773</v>
      </c>
      <c r="BC172" s="163">
        <f t="shared" si="208"/>
        <v>1.7818962080693397</v>
      </c>
      <c r="BD172" s="164">
        <f t="shared" si="208"/>
        <v>1.8744409563363014</v>
      </c>
    </row>
    <row r="173" spans="2:56" x14ac:dyDescent="0.3">
      <c r="B173" s="155" t="s">
        <v>235</v>
      </c>
      <c r="C173" s="17"/>
      <c r="D173" s="163" t="e">
        <f t="shared" ref="D173:AI173" si="209">FCFF/(MarketCap+DívidaLíquida)</f>
        <v>#DIV/0!</v>
      </c>
      <c r="E173" s="163" t="e">
        <f t="shared" si="209"/>
        <v>#DIV/0!</v>
      </c>
      <c r="F173" s="163" t="e">
        <f t="shared" si="209"/>
        <v>#DIV/0!</v>
      </c>
      <c r="G173" s="163">
        <f t="shared" si="209"/>
        <v>-0.44311476851345361</v>
      </c>
      <c r="H173" s="163">
        <f t="shared" si="209"/>
        <v>6.1813839715276091E-2</v>
      </c>
      <c r="I173" s="163">
        <f t="shared" si="209"/>
        <v>2.957795004306649E-2</v>
      </c>
      <c r="J173" s="163">
        <f t="shared" si="209"/>
        <v>6.1646814370968098E-2</v>
      </c>
      <c r="K173" s="163">
        <f t="shared" si="209"/>
        <v>0.10691734703415647</v>
      </c>
      <c r="L173" s="163">
        <f t="shared" si="209"/>
        <v>0.31771396883160063</v>
      </c>
      <c r="M173" s="163">
        <f t="shared" si="209"/>
        <v>0.1772239651262531</v>
      </c>
      <c r="N173" s="163">
        <f t="shared" si="209"/>
        <v>0.11956894302366383</v>
      </c>
      <c r="O173" s="163">
        <f t="shared" si="209"/>
        <v>0.14592791699941388</v>
      </c>
      <c r="P173" s="163">
        <f t="shared" si="209"/>
        <v>0.1387641396216443</v>
      </c>
      <c r="Q173" s="163">
        <f t="shared" si="209"/>
        <v>0.14591364657018818</v>
      </c>
      <c r="R173" s="163">
        <f t="shared" si="209"/>
        <v>0.17372431448270509</v>
      </c>
      <c r="S173" s="163">
        <f t="shared" si="209"/>
        <v>0.18721256334482761</v>
      </c>
      <c r="T173" s="163">
        <f t="shared" si="209"/>
        <v>0.19034466976153094</v>
      </c>
      <c r="U173" s="163">
        <f t="shared" si="209"/>
        <v>0.20268998877227018</v>
      </c>
      <c r="V173" s="163">
        <f t="shared" si="209"/>
        <v>0.2118444787334165</v>
      </c>
      <c r="W173" s="163">
        <f t="shared" si="209"/>
        <v>0.22508778690904374</v>
      </c>
      <c r="X173" s="163">
        <f t="shared" si="209"/>
        <v>0.23920854777809061</v>
      </c>
      <c r="Y173" s="163">
        <f t="shared" si="209"/>
        <v>0.25375123419262863</v>
      </c>
      <c r="Z173" s="163">
        <f t="shared" si="209"/>
        <v>0.2706399780341433</v>
      </c>
      <c r="AA173" s="163">
        <f t="shared" si="209"/>
        <v>0.30494421447198899</v>
      </c>
      <c r="AB173" s="163">
        <f t="shared" si="209"/>
        <v>0.32949622924465949</v>
      </c>
      <c r="AC173" s="163">
        <f t="shared" si="209"/>
        <v>0.35680454808345852</v>
      </c>
      <c r="AD173" s="163">
        <f t="shared" si="209"/>
        <v>0.38834412304398702</v>
      </c>
      <c r="AE173" s="163">
        <f t="shared" si="209"/>
        <v>0.42524837133074361</v>
      </c>
      <c r="AF173" s="163">
        <f t="shared" si="209"/>
        <v>0.46903545759603804</v>
      </c>
      <c r="AG173" s="163">
        <f t="shared" si="209"/>
        <v>0.52165700970530426</v>
      </c>
      <c r="AH173" s="163">
        <f t="shared" si="209"/>
        <v>0.58604357350931013</v>
      </c>
      <c r="AI173" s="163">
        <f t="shared" si="209"/>
        <v>0.66652549889276291</v>
      </c>
      <c r="AJ173" s="163">
        <f t="shared" ref="AJ173:BD173" si="210">FCFF/(MarketCap+DívidaLíquida)</f>
        <v>0.76980490528242251</v>
      </c>
      <c r="AK173" s="163">
        <f t="shared" si="210"/>
        <v>0.90695271305363112</v>
      </c>
      <c r="AL173" s="163">
        <f t="shared" si="210"/>
        <v>1.0975466898033699</v>
      </c>
      <c r="AM173" s="163">
        <f t="shared" si="210"/>
        <v>1.3798246073924989</v>
      </c>
      <c r="AN173" s="163">
        <f t="shared" si="210"/>
        <v>1.8399141472720846</v>
      </c>
      <c r="AO173" s="163">
        <f t="shared" si="210"/>
        <v>2.72089151479239</v>
      </c>
      <c r="AP173" s="163">
        <f t="shared" si="210"/>
        <v>5.0795532874456075</v>
      </c>
      <c r="AQ173" s="163">
        <f t="shared" si="210"/>
        <v>31.663710253807889</v>
      </c>
      <c r="AR173" s="163">
        <f t="shared" si="210"/>
        <v>-7.7949067253730684</v>
      </c>
      <c r="AS173" s="163">
        <f t="shared" si="210"/>
        <v>-3.5371133596238042</v>
      </c>
      <c r="AT173" s="163">
        <f t="shared" si="210"/>
        <v>-2.3045963619524237</v>
      </c>
      <c r="AU173" s="163">
        <f t="shared" si="210"/>
        <v>-1.6259623972721648</v>
      </c>
      <c r="AV173" s="163">
        <f t="shared" si="210"/>
        <v>-1.1974677971562704</v>
      </c>
      <c r="AW173" s="163">
        <f t="shared" si="210"/>
        <v>-0.94859487210631621</v>
      </c>
      <c r="AX173" s="163">
        <f t="shared" si="210"/>
        <v>-0.78617094190256709</v>
      </c>
      <c r="AY173" s="163">
        <f t="shared" si="210"/>
        <v>-0.67193502233573033</v>
      </c>
      <c r="AZ173" s="163">
        <f t="shared" si="210"/>
        <v>-0.58729337509648583</v>
      </c>
      <c r="BA173" s="163">
        <f t="shared" si="210"/>
        <v>-0.5221226574013601</v>
      </c>
      <c r="BB173" s="163">
        <f t="shared" si="210"/>
        <v>-0.47044029166922602</v>
      </c>
      <c r="BC173" s="163">
        <f t="shared" si="210"/>
        <v>-0.42848414554885983</v>
      </c>
      <c r="BD173" s="164">
        <f t="shared" si="210"/>
        <v>-0.39377013345911549</v>
      </c>
    </row>
    <row r="174" spans="2:56" x14ac:dyDescent="0.3">
      <c r="B174" s="157" t="s">
        <v>283</v>
      </c>
      <c r="C174" s="43"/>
      <c r="D174" s="165"/>
      <c r="E174" s="165"/>
      <c r="F174" s="165"/>
      <c r="G174" s="201"/>
      <c r="H174" s="201"/>
      <c r="I174" s="201"/>
      <c r="J174" s="201"/>
      <c r="K174" s="201"/>
      <c r="L174" s="201"/>
      <c r="M174" s="201"/>
      <c r="N174" s="201">
        <f t="shared" ref="N174:AN174" si="211">N179/(100*AVERAGE(N138:P138))</f>
        <v>3.5256680355463803E-2</v>
      </c>
      <c r="O174" s="201">
        <f t="shared" si="211"/>
        <v>3.2515106864368891E-2</v>
      </c>
      <c r="P174" s="201">
        <f t="shared" si="211"/>
        <v>0.61858977899987944</v>
      </c>
      <c r="Q174" s="201">
        <f t="shared" si="211"/>
        <v>0.65485916811959743</v>
      </c>
      <c r="R174" s="201">
        <f t="shared" si="211"/>
        <v>1.0888568506137564</v>
      </c>
      <c r="S174" s="201">
        <f t="shared" si="211"/>
        <v>1.5213937267655542</v>
      </c>
      <c r="T174" s="201">
        <f t="shared" si="211"/>
        <v>1.8754198441524452</v>
      </c>
      <c r="U174" s="201">
        <f t="shared" si="211"/>
        <v>1.2284188512488541</v>
      </c>
      <c r="V174" s="201">
        <f t="shared" si="211"/>
        <v>1.3463406282422077</v>
      </c>
      <c r="W174" s="201">
        <f t="shared" si="211"/>
        <v>1.3903165959173487</v>
      </c>
      <c r="X174" s="201">
        <f t="shared" si="211"/>
        <v>1.4260240483403881</v>
      </c>
      <c r="Y174" s="201">
        <f t="shared" si="211"/>
        <v>1.5418628449247156</v>
      </c>
      <c r="Z174" s="201">
        <f t="shared" si="211"/>
        <v>1.665503268927877</v>
      </c>
      <c r="AA174" s="201">
        <f t="shared" si="211"/>
        <v>1.7965655584962383</v>
      </c>
      <c r="AB174" s="201">
        <f t="shared" si="211"/>
        <v>1.7983103961804847</v>
      </c>
      <c r="AC174" s="201">
        <f t="shared" si="211"/>
        <v>1.8062706065254321</v>
      </c>
      <c r="AD174" s="201">
        <f t="shared" si="211"/>
        <v>1.8134376279074731</v>
      </c>
      <c r="AE174" s="201">
        <f t="shared" si="211"/>
        <v>1.8191370061373799</v>
      </c>
      <c r="AF174" s="201">
        <f t="shared" si="211"/>
        <v>1.8238905810557711</v>
      </c>
      <c r="AG174" s="201">
        <f t="shared" si="211"/>
        <v>1.827476548911279</v>
      </c>
      <c r="AH174" s="201">
        <f t="shared" si="211"/>
        <v>1.830149178006083</v>
      </c>
      <c r="AI174" s="201">
        <f t="shared" si="211"/>
        <v>1.8320675291550448</v>
      </c>
      <c r="AJ174" s="201">
        <f t="shared" si="211"/>
        <v>1.8332573746854499</v>
      </c>
      <c r="AK174" s="201">
        <f t="shared" si="211"/>
        <v>1.8338389176584775</v>
      </c>
      <c r="AL174" s="201">
        <f t="shared" si="211"/>
        <v>1.8338893558150657</v>
      </c>
      <c r="AM174" s="201">
        <f t="shared" si="211"/>
        <v>1.8334609277851319</v>
      </c>
      <c r="AN174" s="201">
        <f t="shared" si="211"/>
        <v>1.8326187398733425</v>
      </c>
      <c r="AO174" s="165"/>
      <c r="AP174" s="165"/>
      <c r="AQ174" s="165"/>
      <c r="AR174" s="165"/>
      <c r="AS174" s="165"/>
      <c r="AT174" s="165"/>
      <c r="AU174" s="165"/>
      <c r="AV174" s="165"/>
      <c r="AW174" s="165"/>
      <c r="AX174" s="165"/>
      <c r="AY174" s="165"/>
      <c r="AZ174" s="165"/>
      <c r="BA174" s="165"/>
      <c r="BB174" s="165"/>
      <c r="BC174" s="165"/>
      <c r="BD174" s="166"/>
    </row>
    <row r="176" spans="2:56" x14ac:dyDescent="0.3">
      <c r="B176" s="154" t="s">
        <v>219</v>
      </c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73">
        <f t="shared" ref="O176:V176" si="212">O177/N177-1</f>
        <v>3.6663630124616153E-2</v>
      </c>
      <c r="P176" s="273">
        <f t="shared" si="212"/>
        <v>5.3678040282447714E-2</v>
      </c>
      <c r="Q176" s="273">
        <f t="shared" si="212"/>
        <v>6.0609239530516001E-2</v>
      </c>
      <c r="R176" s="273">
        <f t="shared" si="212"/>
        <v>5.022939206368715E-2</v>
      </c>
      <c r="S176" s="273">
        <f t="shared" si="212"/>
        <v>5.773097399650462E-2</v>
      </c>
      <c r="T176" s="273">
        <f t="shared" si="212"/>
        <v>5.7253693054146293E-2</v>
      </c>
      <c r="U176" s="273">
        <f t="shared" si="212"/>
        <v>5.6125597729354437E-2</v>
      </c>
      <c r="V176" s="273">
        <f t="shared" si="212"/>
        <v>5.8088437728993414E-2</v>
      </c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7"/>
    </row>
    <row r="177" spans="2:56" x14ac:dyDescent="0.3">
      <c r="B177" s="155" t="s">
        <v>220</v>
      </c>
      <c r="C177" s="17"/>
      <c r="D177" s="181">
        <f t="shared" ref="D177:AI177" si="213">ContasAReceber+Estoques-Fornecedores</f>
        <v>0</v>
      </c>
      <c r="E177" s="181">
        <f t="shared" si="213"/>
        <v>0</v>
      </c>
      <c r="F177" s="181">
        <f t="shared" si="213"/>
        <v>0</v>
      </c>
      <c r="G177" s="181">
        <f t="shared" si="213"/>
        <v>915.8</v>
      </c>
      <c r="H177" s="181">
        <f t="shared" si="213"/>
        <v>853.71199999999999</v>
      </c>
      <c r="I177" s="181">
        <f t="shared" si="213"/>
        <v>878.3</v>
      </c>
      <c r="J177" s="181">
        <f t="shared" si="213"/>
        <v>944.95500000000004</v>
      </c>
      <c r="K177" s="181">
        <f t="shared" si="213"/>
        <v>1014.662</v>
      </c>
      <c r="L177" s="181">
        <f t="shared" si="213"/>
        <v>909.40300000000002</v>
      </c>
      <c r="M177" s="181">
        <f t="shared" si="213"/>
        <v>872.5569999999999</v>
      </c>
      <c r="N177" s="181">
        <f t="shared" si="213"/>
        <v>928.04099999999994</v>
      </c>
      <c r="O177" s="181">
        <f t="shared" si="213"/>
        <v>962.06635196447883</v>
      </c>
      <c r="P177" s="181">
        <f t="shared" si="213"/>
        <v>1013.7081883596156</v>
      </c>
      <c r="Q177" s="181">
        <f t="shared" si="213"/>
        <v>1075.1482707619491</v>
      </c>
      <c r="R177" s="181">
        <f t="shared" si="213"/>
        <v>1129.1523147806463</v>
      </c>
      <c r="S177" s="181">
        <f t="shared" si="213"/>
        <v>1194.3393777033407</v>
      </c>
      <c r="T177" s="181">
        <f t="shared" si="213"/>
        <v>1262.7197178368478</v>
      </c>
      <c r="U177" s="181">
        <f t="shared" si="213"/>
        <v>1333.5906167650828</v>
      </c>
      <c r="V177" s="181">
        <f t="shared" si="213"/>
        <v>1411.0568122630111</v>
      </c>
      <c r="W177" s="181">
        <f t="shared" si="213"/>
        <v>1493.1743962878272</v>
      </c>
      <c r="X177" s="181">
        <f t="shared" si="213"/>
        <v>1580.5204109028584</v>
      </c>
      <c r="Y177" s="181">
        <f t="shared" si="213"/>
        <v>1674.2051550380552</v>
      </c>
      <c r="Z177" s="181">
        <f t="shared" si="213"/>
        <v>1774.0810943686899</v>
      </c>
      <c r="AA177" s="181">
        <f t="shared" si="213"/>
        <v>1865.3012506366485</v>
      </c>
      <c r="AB177" s="181">
        <f t="shared" si="213"/>
        <v>1961.013151680932</v>
      </c>
      <c r="AC177" s="181">
        <f t="shared" si="213"/>
        <v>2062.3558996835864</v>
      </c>
      <c r="AD177" s="181">
        <f t="shared" si="213"/>
        <v>2169.7534698794634</v>
      </c>
      <c r="AE177" s="181">
        <f t="shared" si="213"/>
        <v>2283.6174955238016</v>
      </c>
      <c r="AF177" s="181">
        <f t="shared" si="213"/>
        <v>2404.3460470892283</v>
      </c>
      <c r="AG177" s="181">
        <f t="shared" si="213"/>
        <v>2532.4102659572673</v>
      </c>
      <c r="AH177" s="181">
        <f t="shared" si="213"/>
        <v>2668.2983532635244</v>
      </c>
      <c r="AI177" s="181">
        <f t="shared" si="213"/>
        <v>2812.5274605358013</v>
      </c>
      <c r="AJ177" s="181">
        <f t="shared" ref="AJ177:BD177" si="214">ContasAReceber+Estoques-Fornecedores</f>
        <v>2965.6609874427636</v>
      </c>
      <c r="AK177" s="181">
        <f t="shared" si="214"/>
        <v>3128.2973506654298</v>
      </c>
      <c r="AL177" s="181">
        <f t="shared" si="214"/>
        <v>3301.0771718093029</v>
      </c>
      <c r="AM177" s="181">
        <f t="shared" si="214"/>
        <v>3484.6885177828453</v>
      </c>
      <c r="AN177" s="181">
        <f t="shared" si="214"/>
        <v>3679.8671407796169</v>
      </c>
      <c r="AO177" s="181">
        <f t="shared" si="214"/>
        <v>3887.4014445381517</v>
      </c>
      <c r="AP177" s="181">
        <f t="shared" si="214"/>
        <v>4108.1365108699592</v>
      </c>
      <c r="AQ177" s="181">
        <f t="shared" si="214"/>
        <v>4342.9775991499027</v>
      </c>
      <c r="AR177" s="181">
        <f t="shared" si="214"/>
        <v>4592.8949757572518</v>
      </c>
      <c r="AS177" s="181">
        <f t="shared" si="214"/>
        <v>4858.9286596023958</v>
      </c>
      <c r="AT177" s="181">
        <f t="shared" si="214"/>
        <v>5138.6599950924938</v>
      </c>
      <c r="AU177" s="181">
        <f t="shared" si="214"/>
        <v>5355.0057353888806</v>
      </c>
      <c r="AV177" s="181">
        <f t="shared" si="214"/>
        <v>5580.714689683693</v>
      </c>
      <c r="AW177" s="181">
        <f t="shared" si="214"/>
        <v>5816.1988872728489</v>
      </c>
      <c r="AX177" s="181">
        <f t="shared" si="214"/>
        <v>6061.888674402926</v>
      </c>
      <c r="AY177" s="181">
        <f t="shared" si="214"/>
        <v>6318.2335238113201</v>
      </c>
      <c r="AZ177" s="181">
        <f t="shared" si="214"/>
        <v>6585.702887370966</v>
      </c>
      <c r="BA177" s="181">
        <f t="shared" si="214"/>
        <v>6864.7870937108837</v>
      </c>
      <c r="BB177" s="181">
        <f t="shared" si="214"/>
        <v>7155.9982789134592</v>
      </c>
      <c r="BC177" s="181">
        <f t="shared" si="214"/>
        <v>7459.8713614671915</v>
      </c>
      <c r="BD177" s="182">
        <f t="shared" si="214"/>
        <v>7776.9650617675143</v>
      </c>
    </row>
    <row r="178" spans="2:56" x14ac:dyDescent="0.3">
      <c r="B178" s="155" t="s">
        <v>237</v>
      </c>
      <c r="C178" s="17"/>
      <c r="D178" s="183">
        <f>BD!D2/1000</f>
        <v>0</v>
      </c>
      <c r="E178" s="183">
        <f>BD!E2/1000</f>
        <v>0</v>
      </c>
      <c r="F178" s="183">
        <f>BD!F2/1000</f>
        <v>0</v>
      </c>
      <c r="G178" s="183">
        <f>BD!G2/1000</f>
        <v>143.64699999999999</v>
      </c>
      <c r="H178" s="183">
        <f>BD!H2/1000</f>
        <v>200</v>
      </c>
      <c r="I178" s="183">
        <f>BD!I2/1000</f>
        <v>200</v>
      </c>
      <c r="J178" s="183">
        <f>BD!J2/1000</f>
        <v>200</v>
      </c>
      <c r="K178" s="183">
        <f>BD!K2/1000</f>
        <v>50</v>
      </c>
      <c r="L178" s="183">
        <f>BD!L2/1000</f>
        <v>50</v>
      </c>
      <c r="M178" s="183">
        <f>BD!M2/1000</f>
        <v>50</v>
      </c>
      <c r="N178" s="275">
        <f>M178</f>
        <v>50</v>
      </c>
      <c r="O178" s="275">
        <f t="shared" ref="O178:BD178" si="215">N178</f>
        <v>50</v>
      </c>
      <c r="P178" s="275">
        <f t="shared" si="215"/>
        <v>50</v>
      </c>
      <c r="Q178" s="275">
        <f t="shared" si="215"/>
        <v>50</v>
      </c>
      <c r="R178" s="275">
        <f t="shared" si="215"/>
        <v>50</v>
      </c>
      <c r="S178" s="275">
        <f t="shared" si="215"/>
        <v>50</v>
      </c>
      <c r="T178" s="275">
        <f t="shared" si="215"/>
        <v>50</v>
      </c>
      <c r="U178" s="275">
        <f t="shared" si="215"/>
        <v>50</v>
      </c>
      <c r="V178" s="275">
        <f t="shared" si="215"/>
        <v>50</v>
      </c>
      <c r="W178" s="275">
        <f t="shared" si="215"/>
        <v>50</v>
      </c>
      <c r="X178" s="275">
        <f t="shared" si="215"/>
        <v>50</v>
      </c>
      <c r="Y178" s="275">
        <f t="shared" si="215"/>
        <v>50</v>
      </c>
      <c r="Z178" s="275">
        <f t="shared" si="215"/>
        <v>50</v>
      </c>
      <c r="AA178" s="275">
        <f t="shared" si="215"/>
        <v>50</v>
      </c>
      <c r="AB178" s="275">
        <f t="shared" si="215"/>
        <v>50</v>
      </c>
      <c r="AC178" s="275">
        <f t="shared" si="215"/>
        <v>50</v>
      </c>
      <c r="AD178" s="275">
        <f t="shared" si="215"/>
        <v>50</v>
      </c>
      <c r="AE178" s="275">
        <f t="shared" si="215"/>
        <v>50</v>
      </c>
      <c r="AF178" s="275">
        <f t="shared" si="215"/>
        <v>50</v>
      </c>
      <c r="AG178" s="275">
        <f t="shared" si="215"/>
        <v>50</v>
      </c>
      <c r="AH178" s="275">
        <f t="shared" si="215"/>
        <v>50</v>
      </c>
      <c r="AI178" s="275">
        <f t="shared" si="215"/>
        <v>50</v>
      </c>
      <c r="AJ178" s="275">
        <f t="shared" si="215"/>
        <v>50</v>
      </c>
      <c r="AK178" s="275">
        <f t="shared" si="215"/>
        <v>50</v>
      </c>
      <c r="AL178" s="275">
        <f t="shared" si="215"/>
        <v>50</v>
      </c>
      <c r="AM178" s="275">
        <f t="shared" si="215"/>
        <v>50</v>
      </c>
      <c r="AN178" s="275">
        <f t="shared" si="215"/>
        <v>50</v>
      </c>
      <c r="AO178" s="275">
        <f t="shared" si="215"/>
        <v>50</v>
      </c>
      <c r="AP178" s="275">
        <f t="shared" si="215"/>
        <v>50</v>
      </c>
      <c r="AQ178" s="275">
        <f t="shared" si="215"/>
        <v>50</v>
      </c>
      <c r="AR178" s="275">
        <f t="shared" si="215"/>
        <v>50</v>
      </c>
      <c r="AS178" s="275">
        <f t="shared" si="215"/>
        <v>50</v>
      </c>
      <c r="AT178" s="275">
        <f t="shared" si="215"/>
        <v>50</v>
      </c>
      <c r="AU178" s="275">
        <f t="shared" si="215"/>
        <v>50</v>
      </c>
      <c r="AV178" s="275">
        <f t="shared" si="215"/>
        <v>50</v>
      </c>
      <c r="AW178" s="275">
        <f t="shared" si="215"/>
        <v>50</v>
      </c>
      <c r="AX178" s="275">
        <f t="shared" si="215"/>
        <v>50</v>
      </c>
      <c r="AY178" s="275">
        <f t="shared" si="215"/>
        <v>50</v>
      </c>
      <c r="AZ178" s="275">
        <f t="shared" si="215"/>
        <v>50</v>
      </c>
      <c r="BA178" s="275">
        <f t="shared" si="215"/>
        <v>50</v>
      </c>
      <c r="BB178" s="275">
        <f t="shared" si="215"/>
        <v>50</v>
      </c>
      <c r="BC178" s="275">
        <f t="shared" si="215"/>
        <v>50</v>
      </c>
      <c r="BD178" s="276">
        <f t="shared" si="215"/>
        <v>50</v>
      </c>
    </row>
    <row r="179" spans="2:56" x14ac:dyDescent="0.3">
      <c r="B179" s="155" t="s">
        <v>236</v>
      </c>
      <c r="C179" s="17"/>
      <c r="D179" s="183">
        <f>BD!D3</f>
        <v>0</v>
      </c>
      <c r="E179" s="183">
        <f>BD!E3</f>
        <v>0</v>
      </c>
      <c r="F179" s="183">
        <f>BD!F3</f>
        <v>0</v>
      </c>
      <c r="G179" s="183">
        <f>BD!G3</f>
        <v>12.47</v>
      </c>
      <c r="H179" s="183">
        <f>BD!H3</f>
        <v>11.64</v>
      </c>
      <c r="I179" s="183">
        <f>BD!I3</f>
        <v>7.12</v>
      </c>
      <c r="J179" s="183">
        <f>BD!J3</f>
        <v>2.56</v>
      </c>
      <c r="K179" s="183">
        <f>BD!K3</f>
        <v>2.89</v>
      </c>
      <c r="L179" s="183">
        <f>BD!L3</f>
        <v>4.25</v>
      </c>
      <c r="M179" s="183">
        <f>BD!M3</f>
        <v>10.81</v>
      </c>
      <c r="N179" s="184">
        <f t="shared" ref="N179:BD179" si="216">ÚltimoPreço</f>
        <v>12</v>
      </c>
      <c r="O179" s="184">
        <f t="shared" si="216"/>
        <v>12</v>
      </c>
      <c r="P179" s="184">
        <f t="shared" si="216"/>
        <v>12</v>
      </c>
      <c r="Q179" s="184">
        <f t="shared" si="216"/>
        <v>12</v>
      </c>
      <c r="R179" s="184">
        <f t="shared" si="216"/>
        <v>12</v>
      </c>
      <c r="S179" s="184">
        <f t="shared" si="216"/>
        <v>12</v>
      </c>
      <c r="T179" s="184">
        <f t="shared" si="216"/>
        <v>12</v>
      </c>
      <c r="U179" s="184">
        <f t="shared" si="216"/>
        <v>12</v>
      </c>
      <c r="V179" s="184">
        <f t="shared" si="216"/>
        <v>12</v>
      </c>
      <c r="W179" s="184">
        <f t="shared" si="216"/>
        <v>12</v>
      </c>
      <c r="X179" s="184">
        <f t="shared" si="216"/>
        <v>12</v>
      </c>
      <c r="Y179" s="184">
        <f t="shared" si="216"/>
        <v>12</v>
      </c>
      <c r="Z179" s="184">
        <f t="shared" si="216"/>
        <v>12</v>
      </c>
      <c r="AA179" s="184">
        <f t="shared" si="216"/>
        <v>12</v>
      </c>
      <c r="AB179" s="184">
        <f t="shared" si="216"/>
        <v>12</v>
      </c>
      <c r="AC179" s="184">
        <f t="shared" si="216"/>
        <v>12</v>
      </c>
      <c r="AD179" s="184">
        <f t="shared" si="216"/>
        <v>12</v>
      </c>
      <c r="AE179" s="184">
        <f t="shared" si="216"/>
        <v>12</v>
      </c>
      <c r="AF179" s="184">
        <f t="shared" si="216"/>
        <v>12</v>
      </c>
      <c r="AG179" s="184">
        <f t="shared" si="216"/>
        <v>12</v>
      </c>
      <c r="AH179" s="184">
        <f t="shared" si="216"/>
        <v>12</v>
      </c>
      <c r="AI179" s="184">
        <f t="shared" si="216"/>
        <v>12</v>
      </c>
      <c r="AJ179" s="184">
        <f t="shared" si="216"/>
        <v>12</v>
      </c>
      <c r="AK179" s="184">
        <f t="shared" si="216"/>
        <v>12</v>
      </c>
      <c r="AL179" s="184">
        <f t="shared" si="216"/>
        <v>12</v>
      </c>
      <c r="AM179" s="184">
        <f t="shared" si="216"/>
        <v>12</v>
      </c>
      <c r="AN179" s="184">
        <f t="shared" si="216"/>
        <v>12</v>
      </c>
      <c r="AO179" s="184">
        <f t="shared" si="216"/>
        <v>12</v>
      </c>
      <c r="AP179" s="184">
        <f t="shared" si="216"/>
        <v>12</v>
      </c>
      <c r="AQ179" s="184">
        <f t="shared" si="216"/>
        <v>12</v>
      </c>
      <c r="AR179" s="184">
        <f t="shared" si="216"/>
        <v>12</v>
      </c>
      <c r="AS179" s="184">
        <f t="shared" si="216"/>
        <v>12</v>
      </c>
      <c r="AT179" s="184">
        <f t="shared" si="216"/>
        <v>12</v>
      </c>
      <c r="AU179" s="184">
        <f t="shared" si="216"/>
        <v>12</v>
      </c>
      <c r="AV179" s="184">
        <f t="shared" si="216"/>
        <v>12</v>
      </c>
      <c r="AW179" s="184">
        <f t="shared" si="216"/>
        <v>12</v>
      </c>
      <c r="AX179" s="184">
        <f t="shared" si="216"/>
        <v>12</v>
      </c>
      <c r="AY179" s="184">
        <f t="shared" si="216"/>
        <v>12</v>
      </c>
      <c r="AZ179" s="184">
        <f t="shared" si="216"/>
        <v>12</v>
      </c>
      <c r="BA179" s="184">
        <f t="shared" si="216"/>
        <v>12</v>
      </c>
      <c r="BB179" s="184">
        <f t="shared" si="216"/>
        <v>12</v>
      </c>
      <c r="BC179" s="184">
        <f t="shared" si="216"/>
        <v>12</v>
      </c>
      <c r="BD179" s="184">
        <f t="shared" si="216"/>
        <v>12</v>
      </c>
    </row>
    <row r="180" spans="2:56" x14ac:dyDescent="0.3">
      <c r="B180" s="157" t="s">
        <v>238</v>
      </c>
      <c r="C180" s="43"/>
      <c r="D180" s="185">
        <f>D179*D178</f>
        <v>0</v>
      </c>
      <c r="E180" s="185">
        <f t="shared" ref="E180:BD180" si="217">E179*E178</f>
        <v>0</v>
      </c>
      <c r="F180" s="185">
        <f t="shared" si="217"/>
        <v>0</v>
      </c>
      <c r="G180" s="185">
        <f t="shared" si="217"/>
        <v>1791.27809</v>
      </c>
      <c r="H180" s="185">
        <f t="shared" si="217"/>
        <v>2328</v>
      </c>
      <c r="I180" s="185">
        <f t="shared" si="217"/>
        <v>1424</v>
      </c>
      <c r="J180" s="185">
        <f t="shared" si="217"/>
        <v>512</v>
      </c>
      <c r="K180" s="185">
        <f t="shared" si="217"/>
        <v>144.5</v>
      </c>
      <c r="L180" s="185">
        <f t="shared" si="217"/>
        <v>212.5</v>
      </c>
      <c r="M180" s="185">
        <f t="shared" si="217"/>
        <v>540.5</v>
      </c>
      <c r="N180" s="185">
        <f t="shared" si="217"/>
        <v>600</v>
      </c>
      <c r="O180" s="185">
        <f t="shared" si="217"/>
        <v>600</v>
      </c>
      <c r="P180" s="185">
        <f t="shared" si="217"/>
        <v>600</v>
      </c>
      <c r="Q180" s="185">
        <f t="shared" si="217"/>
        <v>600</v>
      </c>
      <c r="R180" s="185">
        <f t="shared" si="217"/>
        <v>600</v>
      </c>
      <c r="S180" s="185">
        <f t="shared" si="217"/>
        <v>600</v>
      </c>
      <c r="T180" s="185">
        <f t="shared" si="217"/>
        <v>600</v>
      </c>
      <c r="U180" s="185">
        <f t="shared" si="217"/>
        <v>600</v>
      </c>
      <c r="V180" s="185">
        <f t="shared" si="217"/>
        <v>600</v>
      </c>
      <c r="W180" s="185">
        <f t="shared" si="217"/>
        <v>600</v>
      </c>
      <c r="X180" s="185">
        <f t="shared" si="217"/>
        <v>600</v>
      </c>
      <c r="Y180" s="185">
        <f t="shared" si="217"/>
        <v>600</v>
      </c>
      <c r="Z180" s="185">
        <f t="shared" si="217"/>
        <v>600</v>
      </c>
      <c r="AA180" s="185">
        <f t="shared" si="217"/>
        <v>600</v>
      </c>
      <c r="AB180" s="185">
        <f t="shared" si="217"/>
        <v>600</v>
      </c>
      <c r="AC180" s="185">
        <f t="shared" si="217"/>
        <v>600</v>
      </c>
      <c r="AD180" s="185">
        <f t="shared" si="217"/>
        <v>600</v>
      </c>
      <c r="AE180" s="185">
        <f t="shared" si="217"/>
        <v>600</v>
      </c>
      <c r="AF180" s="185">
        <f t="shared" si="217"/>
        <v>600</v>
      </c>
      <c r="AG180" s="185">
        <f t="shared" si="217"/>
        <v>600</v>
      </c>
      <c r="AH180" s="185">
        <f t="shared" si="217"/>
        <v>600</v>
      </c>
      <c r="AI180" s="185">
        <f t="shared" si="217"/>
        <v>600</v>
      </c>
      <c r="AJ180" s="185">
        <f t="shared" si="217"/>
        <v>600</v>
      </c>
      <c r="AK180" s="185">
        <f t="shared" si="217"/>
        <v>600</v>
      </c>
      <c r="AL180" s="185">
        <f t="shared" si="217"/>
        <v>600</v>
      </c>
      <c r="AM180" s="185">
        <f t="shared" si="217"/>
        <v>600</v>
      </c>
      <c r="AN180" s="185">
        <f t="shared" si="217"/>
        <v>600</v>
      </c>
      <c r="AO180" s="185">
        <f t="shared" si="217"/>
        <v>600</v>
      </c>
      <c r="AP180" s="185">
        <f t="shared" si="217"/>
        <v>600</v>
      </c>
      <c r="AQ180" s="185">
        <f t="shared" si="217"/>
        <v>600</v>
      </c>
      <c r="AR180" s="185">
        <f t="shared" si="217"/>
        <v>600</v>
      </c>
      <c r="AS180" s="185">
        <f t="shared" si="217"/>
        <v>600</v>
      </c>
      <c r="AT180" s="185">
        <f t="shared" si="217"/>
        <v>600</v>
      </c>
      <c r="AU180" s="185">
        <f t="shared" si="217"/>
        <v>600</v>
      </c>
      <c r="AV180" s="185">
        <f t="shared" si="217"/>
        <v>600</v>
      </c>
      <c r="AW180" s="185">
        <f t="shared" si="217"/>
        <v>600</v>
      </c>
      <c r="AX180" s="185">
        <f t="shared" si="217"/>
        <v>600</v>
      </c>
      <c r="AY180" s="185">
        <f t="shared" si="217"/>
        <v>600</v>
      </c>
      <c r="AZ180" s="185">
        <f t="shared" si="217"/>
        <v>600</v>
      </c>
      <c r="BA180" s="185">
        <f t="shared" si="217"/>
        <v>600</v>
      </c>
      <c r="BB180" s="185">
        <f t="shared" si="217"/>
        <v>600</v>
      </c>
      <c r="BC180" s="185">
        <f t="shared" si="217"/>
        <v>600</v>
      </c>
      <c r="BD180" s="186">
        <f t="shared" si="217"/>
        <v>600</v>
      </c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38"/>
  <sheetViews>
    <sheetView zoomScale="110" zoomScaleNormal="110" workbookViewId="0">
      <pane xSplit="3" ySplit="1" topLeftCell="K2" activePane="bottomRight" state="frozen"/>
      <selection pane="topRight" activeCell="D1" sqref="D1"/>
      <selection pane="bottomLeft" activeCell="A2" sqref="A2"/>
      <selection pane="bottomRight" activeCell="U5" sqref="U5"/>
    </sheetView>
  </sheetViews>
  <sheetFormatPr defaultColWidth="0" defaultRowHeight="14.4" x14ac:dyDescent="0.3"/>
  <cols>
    <col min="1" max="2" width="9.109375" customWidth="1"/>
    <col min="3" max="3" width="25.33203125" bestFit="1" customWidth="1"/>
    <col min="4" max="56" width="9.109375" customWidth="1"/>
    <col min="57" max="16384" width="9.109375" hidden="1"/>
  </cols>
  <sheetData>
    <row r="1" spans="1:56" s="16" customFormat="1" ht="14.25" customHeight="1" x14ac:dyDescent="0.3">
      <c r="A1" s="16">
        <f>TP</f>
        <v>30.483813870715789</v>
      </c>
      <c r="D1" s="16">
        <v>2008</v>
      </c>
      <c r="E1" s="16">
        <v>2009</v>
      </c>
      <c r="F1" s="16">
        <v>2010</v>
      </c>
      <c r="G1" s="16">
        <v>2011</v>
      </c>
      <c r="H1" s="16">
        <v>2012</v>
      </c>
      <c r="I1" s="16">
        <v>2013</v>
      </c>
      <c r="J1" s="16">
        <v>2014</v>
      </c>
      <c r="K1" s="16">
        <v>2015</v>
      </c>
      <c r="L1" s="16">
        <v>2016</v>
      </c>
      <c r="M1" s="16">
        <v>2017</v>
      </c>
      <c r="N1" s="16">
        <v>2018</v>
      </c>
      <c r="O1" s="16">
        <v>2019</v>
      </c>
      <c r="P1" s="16">
        <v>2020</v>
      </c>
      <c r="Q1" s="16">
        <v>2021</v>
      </c>
      <c r="R1" s="16">
        <v>2022</v>
      </c>
      <c r="S1" s="16">
        <v>2023</v>
      </c>
      <c r="T1" s="16">
        <v>2024</v>
      </c>
      <c r="U1" s="16">
        <v>2025</v>
      </c>
      <c r="V1" s="16">
        <v>2026</v>
      </c>
      <c r="W1" s="16">
        <v>2027</v>
      </c>
      <c r="X1" s="16">
        <v>2028</v>
      </c>
      <c r="Y1" s="16">
        <v>2029</v>
      </c>
      <c r="Z1" s="16">
        <v>2030</v>
      </c>
      <c r="AA1" s="16">
        <v>2031</v>
      </c>
      <c r="AB1" s="16">
        <v>2032</v>
      </c>
      <c r="AC1" s="16">
        <v>2033</v>
      </c>
      <c r="AD1" s="16">
        <v>2034</v>
      </c>
      <c r="AE1" s="16">
        <v>2035</v>
      </c>
      <c r="AF1" s="16">
        <v>2036</v>
      </c>
      <c r="AG1" s="16">
        <v>2037</v>
      </c>
      <c r="AH1" s="16">
        <v>2038</v>
      </c>
      <c r="AI1" s="16">
        <v>2039</v>
      </c>
      <c r="AJ1" s="16">
        <v>2040</v>
      </c>
      <c r="AK1" s="16">
        <v>2041</v>
      </c>
      <c r="AL1" s="16">
        <v>2042</v>
      </c>
      <c r="AM1" s="16">
        <v>2043</v>
      </c>
      <c r="AN1" s="16">
        <v>2044</v>
      </c>
      <c r="AO1" s="16">
        <v>2045</v>
      </c>
      <c r="AP1" s="16">
        <v>2046</v>
      </c>
      <c r="AQ1" s="16">
        <v>2047</v>
      </c>
      <c r="AR1" s="16">
        <v>2048</v>
      </c>
      <c r="AS1" s="16">
        <v>2049</v>
      </c>
      <c r="AT1" s="16">
        <v>2050</v>
      </c>
      <c r="AU1" s="16">
        <v>2051</v>
      </c>
      <c r="AV1" s="16">
        <v>2052</v>
      </c>
      <c r="AW1" s="16">
        <v>2053</v>
      </c>
      <c r="AX1" s="16">
        <v>2054</v>
      </c>
      <c r="AY1" s="16">
        <v>2055</v>
      </c>
      <c r="AZ1" s="16">
        <v>2056</v>
      </c>
      <c r="BA1" s="16">
        <v>2057</v>
      </c>
      <c r="BB1" s="16">
        <v>2058</v>
      </c>
      <c r="BC1" s="16">
        <v>2059</v>
      </c>
      <c r="BD1" s="16">
        <v>2060</v>
      </c>
    </row>
    <row r="2" spans="1:56" ht="14.25" customHeight="1" x14ac:dyDescent="0.3">
      <c r="M2" s="178" t="s">
        <v>255</v>
      </c>
      <c r="N2" s="28">
        <f>Kd</f>
        <v>9.3350000000000016E-2</v>
      </c>
      <c r="O2" s="28">
        <f>Kd</f>
        <v>0.10574999999999998</v>
      </c>
      <c r="P2" s="28"/>
      <c r="Q2" s="28"/>
      <c r="R2" s="28"/>
      <c r="S2" s="28"/>
      <c r="T2" s="28"/>
      <c r="U2" s="28"/>
      <c r="V2" s="28"/>
      <c r="W2" s="28"/>
      <c r="X2" s="28"/>
    </row>
    <row r="3" spans="1:56" ht="14.25" customHeight="1" x14ac:dyDescent="0.3">
      <c r="M3" s="178" t="s">
        <v>257</v>
      </c>
      <c r="O3" s="291">
        <f>O6*O2*(1-AlíquotaIR)+(1-O6)*Ke</f>
        <v>0.10571973667911705</v>
      </c>
      <c r="P3" s="172"/>
      <c r="Q3" s="172"/>
      <c r="R3" s="172"/>
      <c r="S3" s="172"/>
      <c r="T3" s="172"/>
      <c r="U3" s="172"/>
      <c r="V3" s="172"/>
      <c r="W3" s="172"/>
      <c r="X3" s="172"/>
    </row>
    <row r="4" spans="1:56" ht="14.25" customHeight="1" x14ac:dyDescent="0.3">
      <c r="M4" s="178" t="s">
        <v>5</v>
      </c>
      <c r="N4" s="73">
        <f>MarketCap</f>
        <v>600</v>
      </c>
      <c r="O4" s="73">
        <f>MarketCap</f>
        <v>600</v>
      </c>
      <c r="P4" s="73"/>
      <c r="Q4" s="73"/>
      <c r="R4" s="73"/>
      <c r="S4" s="73"/>
      <c r="T4" s="73"/>
      <c r="U4" s="73"/>
      <c r="V4" s="73"/>
      <c r="W4" s="73"/>
      <c r="X4" s="73"/>
    </row>
    <row r="5" spans="1:56" ht="14.25" customHeight="1" x14ac:dyDescent="0.3">
      <c r="B5" t="s">
        <v>256</v>
      </c>
      <c r="C5" s="171">
        <v>0.15</v>
      </c>
      <c r="M5" s="178" t="s">
        <v>198</v>
      </c>
      <c r="N5" s="73">
        <f>DívidaLíquida</f>
        <v>890.84699999999998</v>
      </c>
      <c r="O5" s="73">
        <f>DívidaLíquida</f>
        <v>838.25141888731719</v>
      </c>
      <c r="P5" s="73"/>
      <c r="Q5" s="73"/>
      <c r="R5" s="172"/>
      <c r="S5" s="73"/>
      <c r="T5" s="73"/>
      <c r="U5" s="73"/>
      <c r="V5" s="73"/>
      <c r="W5" s="73"/>
      <c r="X5" s="73"/>
    </row>
    <row r="6" spans="1:56" ht="14.25" customHeight="1" x14ac:dyDescent="0.3">
      <c r="B6" t="s">
        <v>260</v>
      </c>
      <c r="C6" s="171">
        <v>4.4999999999999998E-2</v>
      </c>
      <c r="D6" s="172"/>
      <c r="M6" s="178" t="s">
        <v>258</v>
      </c>
      <c r="N6" s="28">
        <f>N5/(N5+N4)</f>
        <v>0.59754421479870168</v>
      </c>
      <c r="O6" s="28">
        <f>O5/(O5+O4)</f>
        <v>0.58282676302577086</v>
      </c>
      <c r="P6" s="28"/>
      <c r="Q6" s="28"/>
      <c r="R6" s="28"/>
      <c r="S6" s="28"/>
      <c r="T6" s="28"/>
      <c r="U6" s="28"/>
      <c r="V6" s="28"/>
      <c r="W6" s="28"/>
      <c r="X6" s="28"/>
    </row>
    <row r="7" spans="1:56" ht="14.25" customHeight="1" x14ac:dyDescent="0.3"/>
    <row r="8" spans="1:56" ht="14.25" customHeight="1" thickBot="1" x14ac:dyDescent="0.35">
      <c r="N8">
        <f>N10/M10-1</f>
        <v>-6.2859669974294818E-2</v>
      </c>
    </row>
    <row r="9" spans="1:56" ht="14.25" customHeight="1" x14ac:dyDescent="0.3">
      <c r="B9" s="241" t="s">
        <v>249</v>
      </c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>
        <v>1</v>
      </c>
      <c r="Q9" s="228">
        <f t="shared" ref="Q9:AX9" si="0">P9+1</f>
        <v>2</v>
      </c>
      <c r="R9" s="228">
        <f t="shared" si="0"/>
        <v>3</v>
      </c>
      <c r="S9" s="228">
        <f t="shared" si="0"/>
        <v>4</v>
      </c>
      <c r="T9" s="228">
        <f t="shared" si="0"/>
        <v>5</v>
      </c>
      <c r="U9" s="228">
        <f t="shared" si="0"/>
        <v>6</v>
      </c>
      <c r="V9" s="228">
        <f t="shared" si="0"/>
        <v>7</v>
      </c>
      <c r="W9" s="228">
        <f t="shared" si="0"/>
        <v>8</v>
      </c>
      <c r="X9" s="228">
        <f t="shared" si="0"/>
        <v>9</v>
      </c>
      <c r="Y9" s="228">
        <f t="shared" si="0"/>
        <v>10</v>
      </c>
      <c r="Z9" s="228">
        <f t="shared" si="0"/>
        <v>11</v>
      </c>
      <c r="AA9" s="228">
        <f t="shared" si="0"/>
        <v>12</v>
      </c>
      <c r="AB9" s="228">
        <f t="shared" si="0"/>
        <v>13</v>
      </c>
      <c r="AC9" s="228">
        <f t="shared" si="0"/>
        <v>14</v>
      </c>
      <c r="AD9" s="228">
        <f t="shared" si="0"/>
        <v>15</v>
      </c>
      <c r="AE9" s="228">
        <f t="shared" si="0"/>
        <v>16</v>
      </c>
      <c r="AF9" s="228">
        <f t="shared" si="0"/>
        <v>17</v>
      </c>
      <c r="AG9" s="228">
        <f t="shared" si="0"/>
        <v>18</v>
      </c>
      <c r="AH9" s="228">
        <f t="shared" si="0"/>
        <v>19</v>
      </c>
      <c r="AI9" s="228">
        <f t="shared" si="0"/>
        <v>20</v>
      </c>
      <c r="AJ9" s="228">
        <f t="shared" si="0"/>
        <v>21</v>
      </c>
      <c r="AK9" s="228">
        <f t="shared" si="0"/>
        <v>22</v>
      </c>
      <c r="AL9" s="228">
        <f t="shared" si="0"/>
        <v>23</v>
      </c>
      <c r="AM9" s="228">
        <f t="shared" si="0"/>
        <v>24</v>
      </c>
      <c r="AN9" s="228">
        <f t="shared" si="0"/>
        <v>25</v>
      </c>
      <c r="AO9" s="228">
        <f t="shared" si="0"/>
        <v>26</v>
      </c>
      <c r="AP9" s="228">
        <f t="shared" si="0"/>
        <v>27</v>
      </c>
      <c r="AQ9" s="228">
        <f t="shared" si="0"/>
        <v>28</v>
      </c>
      <c r="AR9" s="228">
        <f t="shared" si="0"/>
        <v>29</v>
      </c>
      <c r="AS9" s="228">
        <f t="shared" si="0"/>
        <v>30</v>
      </c>
      <c r="AT9" s="228">
        <f t="shared" si="0"/>
        <v>31</v>
      </c>
      <c r="AU9" s="228">
        <f t="shared" si="0"/>
        <v>32</v>
      </c>
      <c r="AV9" s="228">
        <f t="shared" si="0"/>
        <v>33</v>
      </c>
      <c r="AW9" s="228">
        <f t="shared" si="0"/>
        <v>34</v>
      </c>
      <c r="AX9" s="228">
        <f t="shared" si="0"/>
        <v>35</v>
      </c>
      <c r="AY9" s="228"/>
      <c r="AZ9" s="228"/>
      <c r="BA9" s="228"/>
      <c r="BB9" s="228"/>
      <c r="BC9" s="228"/>
      <c r="BD9" s="229"/>
    </row>
    <row r="10" spans="1:56" x14ac:dyDescent="0.3">
      <c r="B10" s="230"/>
      <c r="C10" s="17" t="s">
        <v>162</v>
      </c>
      <c r="D10" s="181">
        <f t="shared" ref="D10:BD10" si="1">EBIT</f>
        <v>0</v>
      </c>
      <c r="E10" s="181">
        <f t="shared" si="1"/>
        <v>0</v>
      </c>
      <c r="F10" s="181">
        <f t="shared" si="1"/>
        <v>0</v>
      </c>
      <c r="G10" s="181">
        <f t="shared" si="1"/>
        <v>62.100000000000115</v>
      </c>
      <c r="H10" s="181">
        <f t="shared" si="1"/>
        <v>179.7</v>
      </c>
      <c r="I10" s="181">
        <f t="shared" si="1"/>
        <v>63.500000000000306</v>
      </c>
      <c r="J10" s="181">
        <f t="shared" si="1"/>
        <v>103.70000000000007</v>
      </c>
      <c r="K10" s="181">
        <f t="shared" si="1"/>
        <v>154.3949999999999</v>
      </c>
      <c r="L10" s="181">
        <f t="shared" si="1"/>
        <v>168.83100000000022</v>
      </c>
      <c r="M10" s="181">
        <f t="shared" si="1"/>
        <v>180.89500000000024</v>
      </c>
      <c r="N10" s="181">
        <f t="shared" si="1"/>
        <v>169.52400000000017</v>
      </c>
      <c r="O10" s="181">
        <f t="shared" si="1"/>
        <v>266.67788263281233</v>
      </c>
      <c r="P10" s="181">
        <f t="shared" si="1"/>
        <v>274.57133033707396</v>
      </c>
      <c r="Q10" s="181">
        <f t="shared" si="1"/>
        <v>295.41567061250242</v>
      </c>
      <c r="R10" s="181">
        <f t="shared" si="1"/>
        <v>320.60174188239375</v>
      </c>
      <c r="S10" s="181">
        <f t="shared" si="1"/>
        <v>340.52742721303707</v>
      </c>
      <c r="T10" s="181">
        <f t="shared" si="1"/>
        <v>364.77844901110268</v>
      </c>
      <c r="U10" s="181">
        <f t="shared" si="1"/>
        <v>390.00114291678193</v>
      </c>
      <c r="V10" s="181">
        <f t="shared" si="1"/>
        <v>415.50942759175479</v>
      </c>
      <c r="W10" s="181">
        <f t="shared" si="1"/>
        <v>443.31164758153119</v>
      </c>
      <c r="X10" s="181">
        <f t="shared" si="1"/>
        <v>472.46694288861499</v>
      </c>
      <c r="Y10" s="181">
        <f t="shared" si="1"/>
        <v>503.25738030999878</v>
      </c>
      <c r="Z10" s="181">
        <f t="shared" si="1"/>
        <v>536.14843112431424</v>
      </c>
      <c r="AA10" s="181">
        <f t="shared" si="1"/>
        <v>564.80791949876698</v>
      </c>
      <c r="AB10" s="181">
        <f t="shared" si="1"/>
        <v>594.72640177097037</v>
      </c>
      <c r="AC10" s="181">
        <f t="shared" si="1"/>
        <v>626.44045157963797</v>
      </c>
      <c r="AD10" s="181">
        <f t="shared" si="1"/>
        <v>660.02112948076194</v>
      </c>
      <c r="AE10" s="181">
        <f t="shared" si="1"/>
        <v>695.63625195994473</v>
      </c>
      <c r="AF10" s="181">
        <f t="shared" si="1"/>
        <v>733.43059335434168</v>
      </c>
      <c r="AG10" s="181">
        <f t="shared" si="1"/>
        <v>773.54895950941318</v>
      </c>
      <c r="AH10" s="181">
        <f t="shared" si="1"/>
        <v>816.1651379685344</v>
      </c>
      <c r="AI10" s="181">
        <f t="shared" si="1"/>
        <v>861.45374083142656</v>
      </c>
      <c r="AJ10" s="181">
        <f t="shared" si="1"/>
        <v>909.60189679575274</v>
      </c>
      <c r="AK10" s="181">
        <f t="shared" si="1"/>
        <v>960.81305533247428</v>
      </c>
      <c r="AL10" s="181">
        <f t="shared" si="1"/>
        <v>1015.3018475670507</v>
      </c>
      <c r="AM10" s="181">
        <f t="shared" si="1"/>
        <v>1073.2985937798126</v>
      </c>
      <c r="AN10" s="181">
        <f t="shared" si="1"/>
        <v>1135.0502339704917</v>
      </c>
      <c r="AO10" s="181">
        <f t="shared" si="1"/>
        <v>1200.8204245047671</v>
      </c>
      <c r="AP10" s="181">
        <f t="shared" si="1"/>
        <v>1270.8917646341206</v>
      </c>
      <c r="AQ10" s="181">
        <f t="shared" si="1"/>
        <v>1345.5669664774098</v>
      </c>
      <c r="AR10" s="181">
        <f t="shared" si="1"/>
        <v>1425.1702001642077</v>
      </c>
      <c r="AS10" s="181">
        <f t="shared" si="1"/>
        <v>1510.0489299998951</v>
      </c>
      <c r="AT10" s="181">
        <f t="shared" si="1"/>
        <v>1599.198884042896</v>
      </c>
      <c r="AU10" s="181">
        <f t="shared" si="1"/>
        <v>1662.5850617638737</v>
      </c>
      <c r="AV10" s="181">
        <f t="shared" si="1"/>
        <v>1729.1829024750778</v>
      </c>
      <c r="AW10" s="181">
        <f t="shared" si="1"/>
        <v>1799.0920338148001</v>
      </c>
      <c r="AX10" s="181">
        <f t="shared" si="1"/>
        <v>1872.4213511952437</v>
      </c>
      <c r="AY10" s="181">
        <f t="shared" si="1"/>
        <v>1949.2889105305769</v>
      </c>
      <c r="AZ10" s="181">
        <f t="shared" si="1"/>
        <v>2029.8218599120185</v>
      </c>
      <c r="BA10" s="181">
        <f t="shared" si="1"/>
        <v>2114.1564293051747</v>
      </c>
      <c r="BB10" s="181">
        <f t="shared" si="1"/>
        <v>2202.4379652324201</v>
      </c>
      <c r="BC10" s="181">
        <f t="shared" si="1"/>
        <v>2294.8210056635317</v>
      </c>
      <c r="BD10" s="181">
        <f t="shared" si="1"/>
        <v>2391.4693971803727</v>
      </c>
    </row>
    <row r="11" spans="1:56" x14ac:dyDescent="0.3">
      <c r="B11" s="230"/>
      <c r="C11" s="17" t="s">
        <v>520</v>
      </c>
      <c r="D11" s="181">
        <f>Modelo!D90</f>
        <v>0</v>
      </c>
      <c r="E11" s="181">
        <f>Modelo!E90</f>
        <v>0</v>
      </c>
      <c r="F11" s="181">
        <f>Modelo!F90</f>
        <v>0</v>
      </c>
      <c r="G11" s="181">
        <f>Modelo!G90</f>
        <v>-45</v>
      </c>
      <c r="H11" s="181">
        <f>Modelo!H90</f>
        <v>-51</v>
      </c>
      <c r="I11" s="181">
        <f>Modelo!I90</f>
        <v>-56</v>
      </c>
      <c r="J11" s="181">
        <f>Modelo!J90</f>
        <v>-58.6</v>
      </c>
      <c r="K11" s="181">
        <f>Modelo!K90</f>
        <v>-63.54</v>
      </c>
      <c r="L11" s="181">
        <f>Modelo!L90</f>
        <v>-60.963999999999999</v>
      </c>
      <c r="M11" s="181">
        <f>Modelo!M90</f>
        <v>-59.600999999999999</v>
      </c>
      <c r="N11" s="181">
        <f>Modelo!N90</f>
        <v>-52.18</v>
      </c>
      <c r="O11" s="181">
        <f>Modelo!O90</f>
        <v>-48.031007316994902</v>
      </c>
      <c r="P11" s="181">
        <f>Modelo!P90</f>
        <v>-40.248332399523036</v>
      </c>
      <c r="Q11" s="181">
        <f>Modelo!Q90</f>
        <v>-37.163369771593203</v>
      </c>
      <c r="R11" s="181">
        <f>Modelo!R90</f>
        <v>-33.633302278627482</v>
      </c>
      <c r="S11" s="181">
        <f>Modelo!S90</f>
        <v>-32.549345220601936</v>
      </c>
      <c r="T11" s="181">
        <f>Modelo!T90</f>
        <v>-34.394632095250067</v>
      </c>
      <c r="U11" s="181">
        <f>Modelo!U90</f>
        <v>-37.462448109181999</v>
      </c>
      <c r="V11" s="181">
        <f>Modelo!V90</f>
        <v>-38.842891904748122</v>
      </c>
      <c r="W11" s="181">
        <f>Modelo!W90</f>
        <v>-41.240008595989465</v>
      </c>
      <c r="X11" s="181">
        <f>Modelo!X90</f>
        <v>-43.853006011583417</v>
      </c>
      <c r="Y11" s="181">
        <f>Modelo!Y90</f>
        <v>-46.259652971585993</v>
      </c>
      <c r="Z11" s="181">
        <f>Modelo!Z90</f>
        <v>-49.080396265942149</v>
      </c>
      <c r="AA11" s="181">
        <f>Modelo!AA90</f>
        <v>-51.632773586149632</v>
      </c>
      <c r="AB11" s="181">
        <f>Modelo!AB90</f>
        <v>-54.239483464185092</v>
      </c>
      <c r="AC11" s="181">
        <f>Modelo!AC90</f>
        <v>-57.061826709925761</v>
      </c>
      <c r="AD11" s="181">
        <f>Modelo!AD90</f>
        <v>-60.035518977861948</v>
      </c>
      <c r="AE11" s="181">
        <f>Modelo!AE90</f>
        <v>-63.177391712366926</v>
      </c>
      <c r="AF11" s="181">
        <f>Modelo!AF90</f>
        <v>-66.522678835166559</v>
      </c>
      <c r="AG11" s="181">
        <f>Modelo!AG90</f>
        <v>-70.065418546731706</v>
      </c>
      <c r="AH11" s="181">
        <f>Modelo!AH90</f>
        <v>-73.823500712422174</v>
      </c>
      <c r="AI11" s="181">
        <f>Modelo!AI90</f>
        <v>-77.815179624261233</v>
      </c>
      <c r="AJ11" s="181">
        <f>Modelo!AJ90</f>
        <v>-82.051650732908755</v>
      </c>
      <c r="AK11" s="181">
        <f>Modelo!AK90</f>
        <v>-86.551094953445755</v>
      </c>
      <c r="AL11" s="181">
        <f>Modelo!AL90</f>
        <v>-91.33172232625607</v>
      </c>
      <c r="AM11" s="181">
        <f>Modelo!AM90</f>
        <v>-96.411625952313202</v>
      </c>
      <c r="AN11" s="181">
        <f>Modelo!AN90</f>
        <v>-101.81164549254157</v>
      </c>
      <c r="AO11" s="181">
        <f>Modelo!AO90</f>
        <v>-107.55360423275975</v>
      </c>
      <c r="AP11" s="181">
        <f>Modelo!AP90</f>
        <v>-113.66069630554357</v>
      </c>
      <c r="AQ11" s="181">
        <f>Modelo!AQ90</f>
        <v>-120.15809547005827</v>
      </c>
      <c r="AR11" s="181">
        <f>Modelo!AR90</f>
        <v>-127.07262588762033</v>
      </c>
      <c r="AS11" s="181">
        <f>Modelo!AS90</f>
        <v>-134.43302878893351</v>
      </c>
      <c r="AT11" s="181">
        <f>Modelo!AT90</f>
        <v>-142.17241770965666</v>
      </c>
      <c r="AU11" s="181">
        <f>Modelo!AU90</f>
        <v>-148.15810427131149</v>
      </c>
      <c r="AV11" s="181">
        <f>Modelo!AV90</f>
        <v>-154.40284073156127</v>
      </c>
      <c r="AW11" s="181">
        <f>Modelo!AW90</f>
        <v>-160.91803364733795</v>
      </c>
      <c r="AX11" s="181">
        <f>Modelo!AX90</f>
        <v>-167.71558646366287</v>
      </c>
      <c r="AY11" s="181">
        <f>Modelo!AY90</f>
        <v>-174.80793446943255</v>
      </c>
      <c r="AZ11" s="181">
        <f>Modelo!AZ90</f>
        <v>-182.20806744864097</v>
      </c>
      <c r="BA11" s="181">
        <f>Modelo!BA90</f>
        <v>-189.92955062065684</v>
      </c>
      <c r="BB11" s="181">
        <f>Modelo!BB90</f>
        <v>-197.98655343587888</v>
      </c>
      <c r="BC11" s="181">
        <f>Modelo!BC90</f>
        <v>-206.39387584388354</v>
      </c>
      <c r="BD11" s="181">
        <f>Modelo!BD90</f>
        <v>-215.166975887718</v>
      </c>
    </row>
    <row r="12" spans="1:56" x14ac:dyDescent="0.3">
      <c r="B12" s="230"/>
      <c r="C12" s="17" t="s">
        <v>295</v>
      </c>
      <c r="D12" s="181">
        <f t="shared" ref="D12:AI12" si="2">(D10+D11)*(1-AlíquotaIR)</f>
        <v>0</v>
      </c>
      <c r="E12" s="181">
        <f t="shared" si="2"/>
        <v>0</v>
      </c>
      <c r="F12" s="181">
        <f t="shared" si="2"/>
        <v>0</v>
      </c>
      <c r="G12" s="181">
        <f t="shared" si="2"/>
        <v>11.970000000000081</v>
      </c>
      <c r="H12" s="181">
        <f t="shared" si="2"/>
        <v>90.089999999999989</v>
      </c>
      <c r="I12" s="181">
        <f t="shared" si="2"/>
        <v>5.2500000000002132</v>
      </c>
      <c r="J12" s="181">
        <f t="shared" si="2"/>
        <v>31.57000000000005</v>
      </c>
      <c r="K12" s="181">
        <f t="shared" si="2"/>
        <v>63.59849999999993</v>
      </c>
      <c r="L12" s="181">
        <f t="shared" si="2"/>
        <v>75.506900000000144</v>
      </c>
      <c r="M12" s="181">
        <f t="shared" si="2"/>
        <v>84.905800000000156</v>
      </c>
      <c r="N12" s="181">
        <f t="shared" si="2"/>
        <v>82.140800000000112</v>
      </c>
      <c r="O12" s="181">
        <f t="shared" si="2"/>
        <v>153.0528127210722</v>
      </c>
      <c r="P12" s="181">
        <f t="shared" si="2"/>
        <v>164.02609855628563</v>
      </c>
      <c r="Q12" s="181">
        <f t="shared" si="2"/>
        <v>180.77661058863646</v>
      </c>
      <c r="R12" s="181">
        <f t="shared" si="2"/>
        <v>200.87790772263639</v>
      </c>
      <c r="S12" s="181">
        <f t="shared" si="2"/>
        <v>215.58465739470458</v>
      </c>
      <c r="T12" s="181">
        <f t="shared" si="2"/>
        <v>231.26867184109682</v>
      </c>
      <c r="U12" s="181">
        <f t="shared" si="2"/>
        <v>246.77708636531995</v>
      </c>
      <c r="V12" s="181">
        <f t="shared" si="2"/>
        <v>263.66657498090467</v>
      </c>
      <c r="W12" s="181">
        <f t="shared" si="2"/>
        <v>281.45014728987917</v>
      </c>
      <c r="X12" s="181">
        <f t="shared" si="2"/>
        <v>300.02975581392207</v>
      </c>
      <c r="Y12" s="181">
        <f t="shared" si="2"/>
        <v>319.89840913688892</v>
      </c>
      <c r="Z12" s="181">
        <f t="shared" si="2"/>
        <v>340.94762440086043</v>
      </c>
      <c r="AA12" s="181">
        <f t="shared" si="2"/>
        <v>359.22260213883214</v>
      </c>
      <c r="AB12" s="181">
        <f t="shared" si="2"/>
        <v>378.34084281474964</v>
      </c>
      <c r="AC12" s="181">
        <f t="shared" si="2"/>
        <v>398.5650374087985</v>
      </c>
      <c r="AD12" s="181">
        <f t="shared" si="2"/>
        <v>419.98992735203001</v>
      </c>
      <c r="AE12" s="181">
        <f t="shared" si="2"/>
        <v>442.72120217330445</v>
      </c>
      <c r="AF12" s="181">
        <f t="shared" si="2"/>
        <v>466.83554016342259</v>
      </c>
      <c r="AG12" s="181">
        <f t="shared" si="2"/>
        <v>492.438478673877</v>
      </c>
      <c r="AH12" s="181">
        <f t="shared" si="2"/>
        <v>519.63914607927848</v>
      </c>
      <c r="AI12" s="181">
        <f t="shared" si="2"/>
        <v>548.54699284501567</v>
      </c>
      <c r="AJ12" s="181">
        <f t="shared" ref="AJ12:BD12" si="3">(AJ10+AJ11)*(1-AlíquotaIR)</f>
        <v>579.2851722439907</v>
      </c>
      <c r="AK12" s="181">
        <f t="shared" si="3"/>
        <v>611.98337226531999</v>
      </c>
      <c r="AL12" s="181">
        <f t="shared" si="3"/>
        <v>646.77908766855614</v>
      </c>
      <c r="AM12" s="181">
        <f t="shared" si="3"/>
        <v>683.82087747924948</v>
      </c>
      <c r="AN12" s="181">
        <f t="shared" si="3"/>
        <v>723.26701193456506</v>
      </c>
      <c r="AO12" s="181">
        <f t="shared" si="3"/>
        <v>765.28677419040514</v>
      </c>
      <c r="AP12" s="181">
        <f t="shared" si="3"/>
        <v>810.06174783000392</v>
      </c>
      <c r="AQ12" s="181">
        <f t="shared" si="3"/>
        <v>857.78620970514601</v>
      </c>
      <c r="AR12" s="181">
        <f t="shared" si="3"/>
        <v>908.66830199361118</v>
      </c>
      <c r="AS12" s="181">
        <f t="shared" si="3"/>
        <v>962.93113084767299</v>
      </c>
      <c r="AT12" s="181">
        <f t="shared" si="3"/>
        <v>1019.9185264332675</v>
      </c>
      <c r="AU12" s="181">
        <f t="shared" si="3"/>
        <v>1060.0988702447935</v>
      </c>
      <c r="AV12" s="181">
        <f t="shared" si="3"/>
        <v>1102.3460432204613</v>
      </c>
      <c r="AW12" s="181">
        <f t="shared" si="3"/>
        <v>1146.7218001172234</v>
      </c>
      <c r="AX12" s="181">
        <f t="shared" si="3"/>
        <v>1193.2940353121064</v>
      </c>
      <c r="AY12" s="181">
        <f t="shared" si="3"/>
        <v>1242.1366832428009</v>
      </c>
      <c r="AZ12" s="181">
        <f t="shared" si="3"/>
        <v>1293.3296547243642</v>
      </c>
      <c r="BA12" s="181">
        <f t="shared" si="3"/>
        <v>1346.9588150791624</v>
      </c>
      <c r="BB12" s="181">
        <f t="shared" si="3"/>
        <v>1403.1159882575787</v>
      </c>
      <c r="BC12" s="181">
        <f t="shared" si="3"/>
        <v>1461.8989908737535</v>
      </c>
      <c r="BD12" s="181">
        <f t="shared" si="3"/>
        <v>1523.4116949048582</v>
      </c>
    </row>
    <row r="13" spans="1:56" x14ac:dyDescent="0.3">
      <c r="B13" s="230"/>
      <c r="C13" s="17" t="s">
        <v>246</v>
      </c>
      <c r="D13" s="181">
        <f t="shared" ref="D13:AI13" si="4">Depreciação + Amortização</f>
        <v>0</v>
      </c>
      <c r="E13" s="181">
        <f t="shared" si="4"/>
        <v>0</v>
      </c>
      <c r="F13" s="181">
        <f t="shared" si="4"/>
        <v>0</v>
      </c>
      <c r="G13" s="181">
        <f t="shared" si="4"/>
        <v>0</v>
      </c>
      <c r="H13" s="181">
        <f t="shared" si="4"/>
        <v>0</v>
      </c>
      <c r="I13" s="181">
        <f t="shared" si="4"/>
        <v>91.5</v>
      </c>
      <c r="J13" s="181">
        <f t="shared" si="4"/>
        <v>86</v>
      </c>
      <c r="K13" s="181">
        <f t="shared" si="4"/>
        <v>78.7</v>
      </c>
      <c r="L13" s="181">
        <f t="shared" si="4"/>
        <v>77.699999999999989</v>
      </c>
      <c r="M13" s="181">
        <f t="shared" si="4"/>
        <v>73.7</v>
      </c>
      <c r="N13" s="181">
        <f t="shared" si="4"/>
        <v>75.000000000000014</v>
      </c>
      <c r="O13" s="181">
        <f t="shared" si="4"/>
        <v>71.153500000000008</v>
      </c>
      <c r="P13" s="181">
        <f t="shared" si="4"/>
        <v>71.251731207304161</v>
      </c>
      <c r="Q13" s="181">
        <f t="shared" si="4"/>
        <v>71.715259331902317</v>
      </c>
      <c r="R13" s="181">
        <f t="shared" si="4"/>
        <v>72.586517965840045</v>
      </c>
      <c r="S13" s="181">
        <f t="shared" si="4"/>
        <v>73.851159116220202</v>
      </c>
      <c r="T13" s="181">
        <f t="shared" si="4"/>
        <v>75.49233517961656</v>
      </c>
      <c r="U13" s="181">
        <f t="shared" si="4"/>
        <v>77.506567938433747</v>
      </c>
      <c r="V13" s="181">
        <f t="shared" si="4"/>
        <v>79.889028885232563</v>
      </c>
      <c r="W13" s="181">
        <f t="shared" si="4"/>
        <v>82.637574603567174</v>
      </c>
      <c r="X13" s="181">
        <f t="shared" si="4"/>
        <v>85.755031981569019</v>
      </c>
      <c r="Y13" s="181">
        <f t="shared" si="4"/>
        <v>89.245802616734508</v>
      </c>
      <c r="Z13" s="181">
        <f t="shared" si="4"/>
        <v>93.117183412995118</v>
      </c>
      <c r="AA13" s="181">
        <f t="shared" si="4"/>
        <v>97.379540079946125</v>
      </c>
      <c r="AB13" s="181">
        <f t="shared" si="4"/>
        <v>101.91924936425566</v>
      </c>
      <c r="AC13" s="181">
        <f t="shared" si="4"/>
        <v>106.7418188165942</v>
      </c>
      <c r="AD13" s="181">
        <f t="shared" si="4"/>
        <v>111.86261392940524</v>
      </c>
      <c r="AE13" s="181">
        <f t="shared" si="4"/>
        <v>117.29828835148327</v>
      </c>
      <c r="AF13" s="181">
        <f t="shared" si="4"/>
        <v>123.06694768995914</v>
      </c>
      <c r="AG13" s="181">
        <f t="shared" si="4"/>
        <v>129.18819805847681</v>
      </c>
      <c r="AH13" s="181">
        <f t="shared" si="4"/>
        <v>135.68320476324405</v>
      </c>
      <c r="AI13" s="181">
        <f t="shared" si="4"/>
        <v>142.57480455944341</v>
      </c>
      <c r="AJ13" s="181">
        <f t="shared" ref="AJ13:BD13" si="5">Depreciação + Amortização</f>
        <v>149.88759533893389</v>
      </c>
      <c r="AK13" s="181">
        <f t="shared" si="5"/>
        <v>157.64804133435248</v>
      </c>
      <c r="AL13" s="181">
        <f t="shared" si="5"/>
        <v>165.88459611748766</v>
      </c>
      <c r="AM13" s="181">
        <f t="shared" si="5"/>
        <v>174.62782868967395</v>
      </c>
      <c r="AN13" s="181">
        <f t="shared" si="5"/>
        <v>183.91056326441259</v>
      </c>
      <c r="AO13" s="181">
        <f t="shared" si="5"/>
        <v>193.76803200067062</v>
      </c>
      <c r="AP13" s="181">
        <f t="shared" si="5"/>
        <v>204.23803867736567</v>
      </c>
      <c r="AQ13" s="181">
        <f t="shared" si="5"/>
        <v>215.36113654441439</v>
      </c>
      <c r="AR13" s="181">
        <f t="shared" si="5"/>
        <v>227.18082052348009</v>
      </c>
      <c r="AS13" s="181">
        <f t="shared" si="5"/>
        <v>239.74373429882408</v>
      </c>
      <c r="AT13" s="181">
        <f t="shared" si="5"/>
        <v>253.09989388900735</v>
      </c>
      <c r="AU13" s="181">
        <f t="shared" si="5"/>
        <v>267.27403817392599</v>
      </c>
      <c r="AV13" s="181">
        <f t="shared" si="5"/>
        <v>281.65793036721067</v>
      </c>
      <c r="AW13" s="181">
        <f t="shared" si="5"/>
        <v>296.30505443771847</v>
      </c>
      <c r="AX13" s="181">
        <f t="shared" si="5"/>
        <v>311.26638004162629</v>
      </c>
      <c r="AY13" s="181">
        <f t="shared" si="5"/>
        <v>326.59078878845156</v>
      </c>
      <c r="AZ13" s="181">
        <f t="shared" si="5"/>
        <v>342.32546031771068</v>
      </c>
      <c r="BA13" s="181">
        <f t="shared" si="5"/>
        <v>358.51622289154597</v>
      </c>
      <c r="BB13" s="181">
        <f t="shared" si="5"/>
        <v>375.20787272309298</v>
      </c>
      <c r="BC13" s="181">
        <f t="shared" si="5"/>
        <v>392.44446581027574</v>
      </c>
      <c r="BD13" s="231">
        <f t="shared" si="5"/>
        <v>410.26958563801099</v>
      </c>
    </row>
    <row r="14" spans="1:56" x14ac:dyDescent="0.3">
      <c r="B14" s="230"/>
      <c r="C14" s="232" t="s">
        <v>250</v>
      </c>
      <c r="D14" s="181">
        <f t="shared" ref="D14:AH14" si="6">-CAPEX</f>
        <v>0</v>
      </c>
      <c r="E14" s="181">
        <f t="shared" si="6"/>
        <v>0</v>
      </c>
      <c r="F14" s="181">
        <f t="shared" si="6"/>
        <v>0</v>
      </c>
      <c r="G14" s="181">
        <f t="shared" si="6"/>
        <v>-112.5</v>
      </c>
      <c r="H14" s="181">
        <f t="shared" si="6"/>
        <v>-62.5</v>
      </c>
      <c r="I14" s="181">
        <f t="shared" si="6"/>
        <v>-59.3</v>
      </c>
      <c r="J14" s="181">
        <f t="shared" si="6"/>
        <v>-55.300000000000004</v>
      </c>
      <c r="K14" s="181">
        <f t="shared" si="6"/>
        <v>-42.199999999999996</v>
      </c>
      <c r="L14" s="181">
        <f t="shared" si="6"/>
        <v>-73.716999999999999</v>
      </c>
      <c r="M14" s="181">
        <f t="shared" si="6"/>
        <v>-71.222999999999999</v>
      </c>
      <c r="N14" s="181">
        <f t="shared" si="6"/>
        <v>-40.479999999999997</v>
      </c>
      <c r="O14" s="181">
        <f t="shared" si="6"/>
        <v>-72.046510975492353</v>
      </c>
      <c r="P14" s="181">
        <f t="shared" si="6"/>
        <v>-75.46562324910569</v>
      </c>
      <c r="Q14" s="181">
        <f t="shared" si="6"/>
        <v>-79.635792367699722</v>
      </c>
      <c r="R14" s="181">
        <f t="shared" si="6"/>
        <v>-84.083255696568699</v>
      </c>
      <c r="S14" s="181">
        <f t="shared" si="6"/>
        <v>-88.770941510732555</v>
      </c>
      <c r="T14" s="181">
        <f t="shared" si="6"/>
        <v>-93.803542077954731</v>
      </c>
      <c r="U14" s="181">
        <f t="shared" si="6"/>
        <v>-99.165303818422927</v>
      </c>
      <c r="V14" s="181">
        <f t="shared" si="6"/>
        <v>-104.87580814281992</v>
      </c>
      <c r="W14" s="181">
        <f t="shared" si="6"/>
        <v>-110.97809622176567</v>
      </c>
      <c r="X14" s="181">
        <f t="shared" si="6"/>
        <v>-117.48931048307354</v>
      </c>
      <c r="Y14" s="181">
        <f t="shared" si="6"/>
        <v>-124.44017349183093</v>
      </c>
      <c r="Z14" s="181">
        <f t="shared" si="6"/>
        <v>-131.86588038527699</v>
      </c>
      <c r="AA14" s="181">
        <f t="shared" si="6"/>
        <v>-138.64962448276012</v>
      </c>
      <c r="AB14" s="181">
        <f t="shared" si="6"/>
        <v>-145.76078984006051</v>
      </c>
      <c r="AC14" s="181">
        <f t="shared" si="6"/>
        <v>-153.29450166033095</v>
      </c>
      <c r="AD14" s="181">
        <f t="shared" si="6"/>
        <v>-161.27783594829626</v>
      </c>
      <c r="AE14" s="181">
        <f t="shared" si="6"/>
        <v>-169.74064597399112</v>
      </c>
      <c r="AF14" s="181">
        <f t="shared" si="6"/>
        <v>-178.7146783128471</v>
      </c>
      <c r="AG14" s="181">
        <f t="shared" si="6"/>
        <v>-188.23371355636075</v>
      </c>
      <c r="AH14" s="181">
        <f t="shared" si="6"/>
        <v>-198.33411200142001</v>
      </c>
      <c r="AI14" s="290">
        <f>-AI13</f>
        <v>-142.57480455944341</v>
      </c>
      <c r="AJ14" s="181">
        <f t="shared" ref="AJ14:BD14" si="7">-CAPEX</f>
        <v>-220.43710438819372</v>
      </c>
      <c r="AK14" s="181">
        <f t="shared" si="7"/>
        <v>-232.52581209012669</v>
      </c>
      <c r="AL14" s="181">
        <f t="shared" si="7"/>
        <v>-245.36852859190836</v>
      </c>
      <c r="AM14" s="181">
        <f t="shared" si="7"/>
        <v>-259.01632482366153</v>
      </c>
      <c r="AN14" s="181">
        <f t="shared" si="7"/>
        <v>-273.52391541221272</v>
      </c>
      <c r="AO14" s="181">
        <f t="shared" si="7"/>
        <v>-288.94991087971653</v>
      </c>
      <c r="AP14" s="181">
        <f t="shared" si="7"/>
        <v>-305.35711019599074</v>
      </c>
      <c r="AQ14" s="181">
        <f t="shared" si="7"/>
        <v>-322.81280908137524</v>
      </c>
      <c r="AR14" s="181">
        <f t="shared" si="7"/>
        <v>-341.38912757206214</v>
      </c>
      <c r="AS14" s="181">
        <f t="shared" si="7"/>
        <v>-361.16336693685378</v>
      </c>
      <c r="AT14" s="181">
        <f t="shared" si="7"/>
        <v>-381.95575102463124</v>
      </c>
      <c r="AU14" s="181">
        <f t="shared" si="7"/>
        <v>-398.0366944765139</v>
      </c>
      <c r="AV14" s="181">
        <f t="shared" si="7"/>
        <v>-414.8136037354634</v>
      </c>
      <c r="AW14" s="181">
        <f t="shared" si="7"/>
        <v>-432.31710538233511</v>
      </c>
      <c r="AX14" s="181">
        <f t="shared" si="7"/>
        <v>-450.5791868309467</v>
      </c>
      <c r="AY14" s="181">
        <f t="shared" si="7"/>
        <v>-469.63325723626161</v>
      </c>
      <c r="AZ14" s="181">
        <f t="shared" si="7"/>
        <v>-489.51421098894031</v>
      </c>
      <c r="BA14" s="181">
        <f t="shared" si="7"/>
        <v>-510.25849408742789</v>
      </c>
      <c r="BB14" s="181">
        <f t="shared" si="7"/>
        <v>-531.90417351566327</v>
      </c>
      <c r="BC14" s="181">
        <f t="shared" si="7"/>
        <v>-554.49100969877759</v>
      </c>
      <c r="BD14" s="231">
        <f t="shared" si="7"/>
        <v>-578.06053221890488</v>
      </c>
    </row>
    <row r="15" spans="1:56" x14ac:dyDescent="0.3">
      <c r="B15" s="230"/>
      <c r="C15" s="232" t="s">
        <v>251</v>
      </c>
      <c r="D15" s="181"/>
      <c r="E15" s="181">
        <f>Modelo!D177-Modelo!E177</f>
        <v>0</v>
      </c>
      <c r="F15" s="181">
        <f>Modelo!E177-Modelo!F177</f>
        <v>0</v>
      </c>
      <c r="G15" s="181">
        <f>Modelo!F177-Modelo!G177</f>
        <v>-915.8</v>
      </c>
      <c r="H15" s="181">
        <f>Modelo!G177-Modelo!H177</f>
        <v>62.087999999999965</v>
      </c>
      <c r="I15" s="181">
        <f>Modelo!H177-Modelo!I177</f>
        <v>-24.587999999999965</v>
      </c>
      <c r="J15" s="181">
        <f>Modelo!I177-Modelo!J177</f>
        <v>-66.655000000000086</v>
      </c>
      <c r="K15" s="181">
        <f>Modelo!J177-Modelo!K177</f>
        <v>-69.706999999999994</v>
      </c>
      <c r="L15" s="181">
        <f>Modelo!K177-Modelo!L177</f>
        <v>105.25900000000001</v>
      </c>
      <c r="M15" s="181">
        <f>Modelo!L177-Modelo!M177</f>
        <v>36.846000000000117</v>
      </c>
      <c r="N15" s="181">
        <f>Modelo!M177-Modelo!N177</f>
        <v>-55.484000000000037</v>
      </c>
      <c r="O15" s="181">
        <f>Modelo!N177-Modelo!O177</f>
        <v>-34.025351964478887</v>
      </c>
      <c r="P15" s="181">
        <f>Modelo!O177-Modelo!P177</f>
        <v>-51.641836395136806</v>
      </c>
      <c r="Q15" s="181">
        <f>Modelo!P177-Modelo!Q177</f>
        <v>-61.440082402333474</v>
      </c>
      <c r="R15" s="181">
        <f>Modelo!Q177-Modelo!R177</f>
        <v>-54.004044018697186</v>
      </c>
      <c r="S15" s="181">
        <f>Modelo!R177-Modelo!S177</f>
        <v>-65.187062922694395</v>
      </c>
      <c r="T15" s="181">
        <f>Modelo!S177-Modelo!T177</f>
        <v>-68.380340133507161</v>
      </c>
      <c r="U15" s="181">
        <f>Modelo!T177-Modelo!U177</f>
        <v>-70.870898928234965</v>
      </c>
      <c r="V15" s="181">
        <f>Modelo!U177-Modelo!V177</f>
        <v>-77.466195497928311</v>
      </c>
      <c r="W15" s="181">
        <f>Modelo!V177-Modelo!W177</f>
        <v>-82.117584024816097</v>
      </c>
      <c r="X15" s="181">
        <f>Modelo!W177-Modelo!X177</f>
        <v>-87.346014615031208</v>
      </c>
      <c r="Y15" s="181">
        <f>Modelo!X177-Modelo!Y177</f>
        <v>-93.684744135196752</v>
      </c>
      <c r="Z15" s="181">
        <f>Modelo!Y177-Modelo!Z177</f>
        <v>-99.875939330634765</v>
      </c>
      <c r="AA15" s="181">
        <f>Modelo!Z177-Modelo!AA177</f>
        <v>-91.2201562679586</v>
      </c>
      <c r="AB15" s="181">
        <f>Modelo!AA177-Modelo!AB177</f>
        <v>-95.711901044283422</v>
      </c>
      <c r="AC15" s="181">
        <f>Modelo!AB177-Modelo!AC177</f>
        <v>-101.34274800265439</v>
      </c>
      <c r="AD15" s="181">
        <f>Modelo!AC177-Modelo!AD177</f>
        <v>-107.39757019587705</v>
      </c>
      <c r="AE15" s="181">
        <f>Modelo!AD177-Modelo!AE177</f>
        <v>-113.8640256443382</v>
      </c>
      <c r="AF15" s="181">
        <f>Modelo!AE177-Modelo!AF177</f>
        <v>-120.72855156542664</v>
      </c>
      <c r="AG15" s="181">
        <f>Modelo!AF177-Modelo!AG177</f>
        <v>-128.06421886803901</v>
      </c>
      <c r="AH15" s="181">
        <f>Modelo!AG177-Modelo!AH177</f>
        <v>-135.88808730625715</v>
      </c>
      <c r="AI15" s="181">
        <f>Modelo!AH177-Modelo!AI177</f>
        <v>-144.22910727227691</v>
      </c>
      <c r="AJ15" s="181">
        <f>Modelo!AI177-Modelo!AJ177</f>
        <v>-153.13352690696229</v>
      </c>
      <c r="AK15" s="181">
        <f>Modelo!AJ177-Modelo!AK177</f>
        <v>-162.6363632226662</v>
      </c>
      <c r="AL15" s="181">
        <f>Modelo!AK177-Modelo!AL177</f>
        <v>-172.77982114387305</v>
      </c>
      <c r="AM15" s="181">
        <f>Modelo!AL177-Modelo!AM177</f>
        <v>-183.61134597354248</v>
      </c>
      <c r="AN15" s="181">
        <f>Modelo!AM177-Modelo!AN177</f>
        <v>-195.17862299677154</v>
      </c>
      <c r="AO15" s="181">
        <f>Modelo!AN177-Modelo!AO177</f>
        <v>-207.53430375853486</v>
      </c>
      <c r="AP15" s="181">
        <f>Modelo!AO177-Modelo!AP177</f>
        <v>-220.7350663318075</v>
      </c>
      <c r="AQ15" s="181">
        <f>Modelo!AP177-Modelo!AQ177</f>
        <v>-234.84108827994351</v>
      </c>
      <c r="AR15" s="181">
        <f>Modelo!AQ177-Modelo!AR177</f>
        <v>-249.91737660734907</v>
      </c>
      <c r="AS15" s="181">
        <f>Modelo!AR177-Modelo!AS177</f>
        <v>-266.03368384514397</v>
      </c>
      <c r="AT15" s="181">
        <f>Modelo!AS177-Modelo!AT177</f>
        <v>-279.73133549009799</v>
      </c>
      <c r="AU15" s="181">
        <f>Modelo!AT177-Modelo!AU177</f>
        <v>-216.34574029638679</v>
      </c>
      <c r="AV15" s="181">
        <f>Modelo!AU177-Modelo!AV177</f>
        <v>-225.70895429481243</v>
      </c>
      <c r="AW15" s="181">
        <f>Modelo!AV177-Modelo!AW177</f>
        <v>-235.48419758915588</v>
      </c>
      <c r="AX15" s="181">
        <f>Modelo!AW177-Modelo!AX177</f>
        <v>-245.68978713007709</v>
      </c>
      <c r="AY15" s="181">
        <f>Modelo!AX177-Modelo!AY177</f>
        <v>-256.34484940839411</v>
      </c>
      <c r="AZ15" s="181">
        <f>Modelo!AY177-Modelo!AZ177</f>
        <v>-267.4693635596459</v>
      </c>
      <c r="BA15" s="181">
        <f>Modelo!AZ177-Modelo!BA177</f>
        <v>-279.08420633991773</v>
      </c>
      <c r="BB15" s="181">
        <f>Modelo!BA177-Modelo!BB177</f>
        <v>-291.21118520257551</v>
      </c>
      <c r="BC15" s="181">
        <f>Modelo!BB177-Modelo!BC177</f>
        <v>-303.87308255373227</v>
      </c>
      <c r="BD15" s="231">
        <f>Modelo!BC177-Modelo!BD177</f>
        <v>-317.09370030032278</v>
      </c>
    </row>
    <row r="16" spans="1:56" s="31" customFormat="1" x14ac:dyDescent="0.3">
      <c r="B16" s="233"/>
      <c r="C16" s="173" t="s">
        <v>252</v>
      </c>
      <c r="D16" s="244">
        <f>SUM(D12:D15)</f>
        <v>0</v>
      </c>
      <c r="E16" s="244">
        <f t="shared" ref="E16:AH16" si="8">SUM(E12:E15)</f>
        <v>0</v>
      </c>
      <c r="F16" s="244">
        <f t="shared" si="8"/>
        <v>0</v>
      </c>
      <c r="G16" s="244">
        <f t="shared" si="8"/>
        <v>-1016.3299999999999</v>
      </c>
      <c r="H16" s="244">
        <f t="shared" si="8"/>
        <v>89.677999999999955</v>
      </c>
      <c r="I16" s="244">
        <f t="shared" si="8"/>
        <v>12.862000000000251</v>
      </c>
      <c r="J16" s="244">
        <f t="shared" si="8"/>
        <v>-4.3850000000000406</v>
      </c>
      <c r="K16" s="244">
        <f t="shared" si="8"/>
        <v>30.391499999999951</v>
      </c>
      <c r="L16" s="244">
        <f t="shared" si="8"/>
        <v>184.74890000000016</v>
      </c>
      <c r="M16" s="244">
        <f t="shared" si="8"/>
        <v>124.22880000000028</v>
      </c>
      <c r="N16" s="244">
        <f t="shared" si="8"/>
        <v>61.1768000000001</v>
      </c>
      <c r="O16" s="244">
        <f t="shared" si="8"/>
        <v>118.13444978110095</v>
      </c>
      <c r="P16" s="244">
        <f t="shared" si="8"/>
        <v>108.1703701193473</v>
      </c>
      <c r="Q16" s="244">
        <f t="shared" si="8"/>
        <v>111.41599515050558</v>
      </c>
      <c r="R16" s="244">
        <f t="shared" si="8"/>
        <v>135.37712597321058</v>
      </c>
      <c r="S16" s="244">
        <f t="shared" si="8"/>
        <v>135.47781207749784</v>
      </c>
      <c r="T16" s="244">
        <f t="shared" si="8"/>
        <v>144.57712480925147</v>
      </c>
      <c r="U16" s="244">
        <f t="shared" si="8"/>
        <v>154.24745155709579</v>
      </c>
      <c r="V16" s="244">
        <f t="shared" si="8"/>
        <v>161.213600225389</v>
      </c>
      <c r="W16" s="244">
        <f t="shared" si="8"/>
        <v>170.99204164686455</v>
      </c>
      <c r="X16" s="244">
        <f t="shared" si="8"/>
        <v>180.94946269738631</v>
      </c>
      <c r="Y16" s="244">
        <f t="shared" si="8"/>
        <v>191.01929412659575</v>
      </c>
      <c r="Z16" s="244">
        <f t="shared" si="8"/>
        <v>202.32298809794383</v>
      </c>
      <c r="AA16" s="244">
        <f t="shared" si="8"/>
        <v>226.73236146805959</v>
      </c>
      <c r="AB16" s="244">
        <f t="shared" si="8"/>
        <v>238.78740129466138</v>
      </c>
      <c r="AC16" s="244">
        <f t="shared" si="8"/>
        <v>250.66960656240735</v>
      </c>
      <c r="AD16" s="244">
        <f t="shared" si="8"/>
        <v>263.17713513726198</v>
      </c>
      <c r="AE16" s="244">
        <f t="shared" si="8"/>
        <v>276.41481890645832</v>
      </c>
      <c r="AF16" s="244">
        <f t="shared" si="8"/>
        <v>290.4592579751079</v>
      </c>
      <c r="AG16" s="244">
        <f t="shared" si="8"/>
        <v>305.32874430795414</v>
      </c>
      <c r="AH16" s="244">
        <f t="shared" si="8"/>
        <v>321.10015153484534</v>
      </c>
      <c r="AI16" s="244">
        <f>SUM(AI12:AI15)</f>
        <v>404.31788557273876</v>
      </c>
      <c r="AJ16" s="244"/>
      <c r="AK16" s="244"/>
      <c r="AL16" s="244"/>
      <c r="AM16" s="244"/>
      <c r="AN16" s="244"/>
      <c r="AO16" s="244"/>
      <c r="AP16" s="244"/>
      <c r="AQ16" s="244"/>
      <c r="AR16" s="244"/>
      <c r="AS16" s="24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234"/>
    </row>
    <row r="17" spans="2:56" s="31" customFormat="1" ht="15" thickBot="1" x14ac:dyDescent="0.35">
      <c r="B17" s="233"/>
      <c r="C17" s="173" t="s">
        <v>282</v>
      </c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>
        <f>(AI16*(1+g))/(WACC-g)</f>
        <v>6958.3995835875203</v>
      </c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234"/>
    </row>
    <row r="18" spans="2:56" s="31" customFormat="1" ht="15" thickBot="1" x14ac:dyDescent="0.35">
      <c r="B18" s="233"/>
      <c r="C18" s="173" t="s">
        <v>263</v>
      </c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O18" s="176">
        <f>-MarketCap-DívidaLíquida</f>
        <v>-1438.2514188873172</v>
      </c>
      <c r="P18" s="174">
        <f t="shared" ref="P18:AI18" si="9">P16+P17</f>
        <v>108.1703701193473</v>
      </c>
      <c r="Q18" s="174">
        <f t="shared" si="9"/>
        <v>111.41599515050558</v>
      </c>
      <c r="R18" s="174">
        <f t="shared" si="9"/>
        <v>135.37712597321058</v>
      </c>
      <c r="S18" s="174">
        <f t="shared" si="9"/>
        <v>135.47781207749784</v>
      </c>
      <c r="T18" s="174">
        <f t="shared" si="9"/>
        <v>144.57712480925147</v>
      </c>
      <c r="U18" s="174">
        <f t="shared" si="9"/>
        <v>154.24745155709579</v>
      </c>
      <c r="V18" s="174">
        <f t="shared" si="9"/>
        <v>161.213600225389</v>
      </c>
      <c r="W18" s="174">
        <f t="shared" si="9"/>
        <v>170.99204164686455</v>
      </c>
      <c r="X18" s="174">
        <f t="shared" si="9"/>
        <v>180.94946269738631</v>
      </c>
      <c r="Y18" s="174">
        <f t="shared" si="9"/>
        <v>191.01929412659575</v>
      </c>
      <c r="Z18" s="174">
        <f t="shared" si="9"/>
        <v>202.32298809794383</v>
      </c>
      <c r="AA18" s="174">
        <f t="shared" si="9"/>
        <v>226.73236146805959</v>
      </c>
      <c r="AB18" s="174">
        <f t="shared" si="9"/>
        <v>238.78740129466138</v>
      </c>
      <c r="AC18" s="174">
        <f t="shared" si="9"/>
        <v>250.66960656240735</v>
      </c>
      <c r="AD18" s="174">
        <f t="shared" si="9"/>
        <v>263.17713513726198</v>
      </c>
      <c r="AE18" s="174">
        <f t="shared" si="9"/>
        <v>276.41481890645832</v>
      </c>
      <c r="AF18" s="174">
        <f t="shared" si="9"/>
        <v>290.4592579751079</v>
      </c>
      <c r="AG18" s="174">
        <f t="shared" si="9"/>
        <v>305.32874430795414</v>
      </c>
      <c r="AH18" s="174">
        <f t="shared" si="9"/>
        <v>321.10015153484534</v>
      </c>
      <c r="AI18" s="174">
        <f t="shared" si="9"/>
        <v>7362.7174691602595</v>
      </c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234"/>
    </row>
    <row r="19" spans="2:56" s="3" customFormat="1" x14ac:dyDescent="0.3">
      <c r="B19" s="233"/>
      <c r="C19" s="173"/>
      <c r="D19" s="181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4"/>
      <c r="BD19" s="234"/>
    </row>
    <row r="20" spans="2:56" x14ac:dyDescent="0.3">
      <c r="B20" s="230"/>
      <c r="C20" s="17" t="s">
        <v>259</v>
      </c>
      <c r="D20" s="181">
        <f>NPV(O3,P18:BD18)</f>
        <v>2362.4421124231067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235"/>
    </row>
    <row r="21" spans="2:56" x14ac:dyDescent="0.3">
      <c r="B21" s="230"/>
      <c r="C21" s="175" t="s">
        <v>262</v>
      </c>
      <c r="D21" s="181">
        <f>D20-O5</f>
        <v>1524.1906935357895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235"/>
    </row>
    <row r="22" spans="2:56" x14ac:dyDescent="0.3">
      <c r="B22" s="230"/>
      <c r="C22" s="175" t="s">
        <v>245</v>
      </c>
      <c r="D22" s="15">
        <f>D21/MMAções</f>
        <v>30.483813870715789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235"/>
    </row>
    <row r="23" spans="2:56" ht="15" thickBot="1" x14ac:dyDescent="0.35">
      <c r="B23" s="236"/>
      <c r="C23" s="237" t="s">
        <v>261</v>
      </c>
      <c r="D23" s="238">
        <f>IRR($O$18:$AS$18,WACC)</f>
        <v>0.15043759552356151</v>
      </c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239"/>
      <c r="AX23" s="239"/>
      <c r="AY23" s="239"/>
      <c r="AZ23" s="239"/>
      <c r="BA23" s="239"/>
      <c r="BB23" s="239"/>
      <c r="BC23" s="239"/>
      <c r="BD23" s="240"/>
    </row>
    <row r="24" spans="2:56" ht="15" thickBot="1" x14ac:dyDescent="0.35"/>
    <row r="25" spans="2:56" x14ac:dyDescent="0.3">
      <c r="B25" s="241" t="s">
        <v>248</v>
      </c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9"/>
    </row>
    <row r="26" spans="2:56" ht="15.75" customHeight="1" x14ac:dyDescent="0.3">
      <c r="B26" s="230"/>
      <c r="C26" s="17" t="s">
        <v>159</v>
      </c>
      <c r="D26" s="181">
        <f t="shared" ref="D26:AI26" si="10">LucroLiquido</f>
        <v>0</v>
      </c>
      <c r="E26" s="181">
        <f t="shared" si="10"/>
        <v>0</v>
      </c>
      <c r="F26" s="181">
        <f t="shared" si="10"/>
        <v>0</v>
      </c>
      <c r="G26" s="181">
        <f t="shared" si="10"/>
        <v>-137.69999999999987</v>
      </c>
      <c r="H26" s="181">
        <f t="shared" si="10"/>
        <v>57.199999999999989</v>
      </c>
      <c r="I26" s="181">
        <f t="shared" si="10"/>
        <v>-52.799999999999692</v>
      </c>
      <c r="J26" s="181">
        <f t="shared" si="10"/>
        <v>-29.09999999999992</v>
      </c>
      <c r="K26" s="181">
        <f t="shared" si="10"/>
        <v>22.634999999999902</v>
      </c>
      <c r="L26" s="181">
        <f t="shared" si="10"/>
        <v>-6.4489999999997707</v>
      </c>
      <c r="M26" s="181">
        <f t="shared" si="10"/>
        <v>21.624000000000247</v>
      </c>
      <c r="N26" s="181">
        <f t="shared" si="10"/>
        <v>7.4830000000001817</v>
      </c>
      <c r="O26" s="181">
        <f t="shared" si="10"/>
        <v>87.513944052653954</v>
      </c>
      <c r="P26" s="181">
        <f t="shared" si="10"/>
        <v>102.36904771899879</v>
      </c>
      <c r="Q26" s="181">
        <f t="shared" si="10"/>
        <v>123.55907609009607</v>
      </c>
      <c r="R26" s="181">
        <f t="shared" si="10"/>
        <v>148.91671936906818</v>
      </c>
      <c r="S26" s="181">
        <f t="shared" si="10"/>
        <v>169.39473453526756</v>
      </c>
      <c r="T26" s="181">
        <f t="shared" si="10"/>
        <v>167.3419908996467</v>
      </c>
      <c r="U26" s="181">
        <f t="shared" si="10"/>
        <v>185.95544751278015</v>
      </c>
      <c r="V26" s="181">
        <f t="shared" si="10"/>
        <v>203.22049659267208</v>
      </c>
      <c r="W26" s="181">
        <f t="shared" si="10"/>
        <v>221.30397612775613</v>
      </c>
      <c r="X26" s="181">
        <f t="shared" si="10"/>
        <v>240.23915610605263</v>
      </c>
      <c r="Y26" s="181">
        <f t="shared" si="10"/>
        <v>260.51232411365658</v>
      </c>
      <c r="Z26" s="181">
        <f t="shared" si="10"/>
        <v>282.00481417306605</v>
      </c>
      <c r="AA26" s="181">
        <f t="shared" si="10"/>
        <v>300.7850665198506</v>
      </c>
      <c r="AB26" s="181">
        <f t="shared" si="10"/>
        <v>320.95406531812614</v>
      </c>
      <c r="AC26" s="181">
        <f t="shared" si="10"/>
        <v>342.37207139789234</v>
      </c>
      <c r="AD26" s="181">
        <f t="shared" si="10"/>
        <v>365.10594624498265</v>
      </c>
      <c r="AE26" s="181">
        <f t="shared" si="10"/>
        <v>389.26584512201089</v>
      </c>
      <c r="AF26" s="181">
        <f t="shared" si="10"/>
        <v>414.93583292833705</v>
      </c>
      <c r="AG26" s="181">
        <f t="shared" si="10"/>
        <v>442.22994662368359</v>
      </c>
      <c r="AH26" s="181">
        <f t="shared" si="10"/>
        <v>471.26522741713836</v>
      </c>
      <c r="AI26" s="181">
        <f t="shared" si="10"/>
        <v>502.16010767596879</v>
      </c>
      <c r="AJ26" s="181">
        <f t="shared" ref="AJ26:BD26" si="11">LucroLiquido</f>
        <v>535.04729818988449</v>
      </c>
      <c r="AK26" s="181">
        <f t="shared" si="11"/>
        <v>570.06644023444721</v>
      </c>
      <c r="AL26" s="181">
        <f t="shared" si="11"/>
        <v>607.36575893838449</v>
      </c>
      <c r="AM26" s="181">
        <f t="shared" si="11"/>
        <v>647.10519697938821</v>
      </c>
      <c r="AN26" s="181">
        <f t="shared" si="11"/>
        <v>689.4550967377063</v>
      </c>
      <c r="AO26" s="181">
        <f t="shared" si="11"/>
        <v>734.59761413302886</v>
      </c>
      <c r="AP26" s="181">
        <f t="shared" si="11"/>
        <v>782.72801227300147</v>
      </c>
      <c r="AQ26" s="181">
        <f t="shared" si="11"/>
        <v>834.0551142413517</v>
      </c>
      <c r="AR26" s="181">
        <f t="shared" si="11"/>
        <v>888.80254290040284</v>
      </c>
      <c r="AS26" s="181">
        <f t="shared" si="11"/>
        <v>947.20986988623088</v>
      </c>
      <c r="AT26" s="181">
        <f t="shared" si="11"/>
        <v>1008.6384438270104</v>
      </c>
      <c r="AU26" s="181">
        <f t="shared" si="11"/>
        <v>1053.6869708144759</v>
      </c>
      <c r="AV26" s="181">
        <f t="shared" si="11"/>
        <v>1103.721128853771</v>
      </c>
      <c r="AW26" s="181">
        <f t="shared" si="11"/>
        <v>1156.4903868581962</v>
      </c>
      <c r="AX26" s="181">
        <f t="shared" si="11"/>
        <v>1212.0382646481344</v>
      </c>
      <c r="AY26" s="181">
        <f t="shared" si="11"/>
        <v>1270.4593459548651</v>
      </c>
      <c r="AZ26" s="181">
        <f t="shared" si="11"/>
        <v>1331.8568539237504</v>
      </c>
      <c r="BA26" s="181">
        <f t="shared" si="11"/>
        <v>1396.3418233470929</v>
      </c>
      <c r="BB26" s="181">
        <f t="shared" si="11"/>
        <v>1464.0330929012121</v>
      </c>
      <c r="BC26" s="181">
        <f t="shared" si="11"/>
        <v>1535.0573512838387</v>
      </c>
      <c r="BD26" s="231">
        <f t="shared" si="11"/>
        <v>1609.5492206829967</v>
      </c>
    </row>
    <row r="27" spans="2:56" x14ac:dyDescent="0.3">
      <c r="B27" s="230"/>
      <c r="C27" s="232" t="s">
        <v>253</v>
      </c>
      <c r="D27" s="181">
        <f t="shared" ref="D27:AI27" si="12">Depreciação + Amortização</f>
        <v>0</v>
      </c>
      <c r="E27" s="181">
        <f t="shared" si="12"/>
        <v>0</v>
      </c>
      <c r="F27" s="181">
        <f t="shared" si="12"/>
        <v>0</v>
      </c>
      <c r="G27" s="181">
        <f t="shared" si="12"/>
        <v>0</v>
      </c>
      <c r="H27" s="181">
        <f t="shared" si="12"/>
        <v>0</v>
      </c>
      <c r="I27" s="181">
        <f t="shared" si="12"/>
        <v>91.5</v>
      </c>
      <c r="J27" s="181">
        <f t="shared" si="12"/>
        <v>86</v>
      </c>
      <c r="K27" s="181">
        <f t="shared" si="12"/>
        <v>78.7</v>
      </c>
      <c r="L27" s="181">
        <f t="shared" si="12"/>
        <v>77.699999999999989</v>
      </c>
      <c r="M27" s="181">
        <f t="shared" si="12"/>
        <v>73.7</v>
      </c>
      <c r="N27" s="181">
        <f t="shared" si="12"/>
        <v>75.000000000000014</v>
      </c>
      <c r="O27" s="181">
        <f t="shared" si="12"/>
        <v>71.153500000000008</v>
      </c>
      <c r="P27" s="181">
        <f t="shared" si="12"/>
        <v>71.251731207304161</v>
      </c>
      <c r="Q27" s="181">
        <f t="shared" si="12"/>
        <v>71.715259331902317</v>
      </c>
      <c r="R27" s="181">
        <f t="shared" si="12"/>
        <v>72.586517965840045</v>
      </c>
      <c r="S27" s="181">
        <f t="shared" si="12"/>
        <v>73.851159116220202</v>
      </c>
      <c r="T27" s="181">
        <f t="shared" si="12"/>
        <v>75.49233517961656</v>
      </c>
      <c r="U27" s="181">
        <f t="shared" si="12"/>
        <v>77.506567938433747</v>
      </c>
      <c r="V27" s="181">
        <f t="shared" si="12"/>
        <v>79.889028885232563</v>
      </c>
      <c r="W27" s="181">
        <f t="shared" si="12"/>
        <v>82.637574603567174</v>
      </c>
      <c r="X27" s="181">
        <f t="shared" si="12"/>
        <v>85.755031981569019</v>
      </c>
      <c r="Y27" s="181">
        <f t="shared" si="12"/>
        <v>89.245802616734508</v>
      </c>
      <c r="Z27" s="181">
        <f t="shared" si="12"/>
        <v>93.117183412995118</v>
      </c>
      <c r="AA27" s="181">
        <f t="shared" si="12"/>
        <v>97.379540079946125</v>
      </c>
      <c r="AB27" s="181">
        <f t="shared" si="12"/>
        <v>101.91924936425566</v>
      </c>
      <c r="AC27" s="181">
        <f t="shared" si="12"/>
        <v>106.7418188165942</v>
      </c>
      <c r="AD27" s="181">
        <f t="shared" si="12"/>
        <v>111.86261392940524</v>
      </c>
      <c r="AE27" s="181">
        <f t="shared" si="12"/>
        <v>117.29828835148327</v>
      </c>
      <c r="AF27" s="181">
        <f t="shared" si="12"/>
        <v>123.06694768995914</v>
      </c>
      <c r="AG27" s="181">
        <f t="shared" si="12"/>
        <v>129.18819805847681</v>
      </c>
      <c r="AH27" s="181">
        <f t="shared" si="12"/>
        <v>135.68320476324405</v>
      </c>
      <c r="AI27" s="181">
        <f t="shared" si="12"/>
        <v>142.57480455944341</v>
      </c>
      <c r="AJ27" s="181">
        <f t="shared" ref="AJ27:BD27" si="13">Depreciação + Amortização</f>
        <v>149.88759533893389</v>
      </c>
      <c r="AK27" s="181">
        <f t="shared" si="13"/>
        <v>157.64804133435248</v>
      </c>
      <c r="AL27" s="181">
        <f t="shared" si="13"/>
        <v>165.88459611748766</v>
      </c>
      <c r="AM27" s="181">
        <f t="shared" si="13"/>
        <v>174.62782868967395</v>
      </c>
      <c r="AN27" s="181">
        <f t="shared" si="13"/>
        <v>183.91056326441259</v>
      </c>
      <c r="AO27" s="181">
        <f t="shared" si="13"/>
        <v>193.76803200067062</v>
      </c>
      <c r="AP27" s="181">
        <f t="shared" si="13"/>
        <v>204.23803867736567</v>
      </c>
      <c r="AQ27" s="181">
        <f t="shared" si="13"/>
        <v>215.36113654441439</v>
      </c>
      <c r="AR27" s="181">
        <f t="shared" si="13"/>
        <v>227.18082052348009</v>
      </c>
      <c r="AS27" s="181">
        <f t="shared" si="13"/>
        <v>239.74373429882408</v>
      </c>
      <c r="AT27" s="181">
        <f t="shared" si="13"/>
        <v>253.09989388900735</v>
      </c>
      <c r="AU27" s="181">
        <f t="shared" si="13"/>
        <v>267.27403817392599</v>
      </c>
      <c r="AV27" s="181">
        <f t="shared" si="13"/>
        <v>281.65793036721067</v>
      </c>
      <c r="AW27" s="181">
        <f t="shared" si="13"/>
        <v>296.30505443771847</v>
      </c>
      <c r="AX27" s="181">
        <f t="shared" si="13"/>
        <v>311.26638004162629</v>
      </c>
      <c r="AY27" s="181">
        <f t="shared" si="13"/>
        <v>326.59078878845156</v>
      </c>
      <c r="AZ27" s="181">
        <f t="shared" si="13"/>
        <v>342.32546031771068</v>
      </c>
      <c r="BA27" s="181">
        <f t="shared" si="13"/>
        <v>358.51622289154597</v>
      </c>
      <c r="BB27" s="181">
        <f t="shared" si="13"/>
        <v>375.20787272309298</v>
      </c>
      <c r="BC27" s="181">
        <f t="shared" si="13"/>
        <v>392.44446581027574</v>
      </c>
      <c r="BD27" s="231">
        <f t="shared" si="13"/>
        <v>410.26958563801099</v>
      </c>
    </row>
    <row r="28" spans="2:56" x14ac:dyDescent="0.3">
      <c r="B28" s="230"/>
      <c r="C28" s="232" t="s">
        <v>250</v>
      </c>
      <c r="D28" s="181">
        <f t="shared" ref="D28:AH28" si="14">-CAPEX</f>
        <v>0</v>
      </c>
      <c r="E28" s="181">
        <f t="shared" si="14"/>
        <v>0</v>
      </c>
      <c r="F28" s="181">
        <f t="shared" si="14"/>
        <v>0</v>
      </c>
      <c r="G28" s="181">
        <f t="shared" si="14"/>
        <v>-112.5</v>
      </c>
      <c r="H28" s="181">
        <f t="shared" si="14"/>
        <v>-62.5</v>
      </c>
      <c r="I28" s="181">
        <f t="shared" si="14"/>
        <v>-59.3</v>
      </c>
      <c r="J28" s="181">
        <f t="shared" si="14"/>
        <v>-55.300000000000004</v>
      </c>
      <c r="K28" s="181">
        <f t="shared" si="14"/>
        <v>-42.199999999999996</v>
      </c>
      <c r="L28" s="181">
        <f t="shared" si="14"/>
        <v>-73.716999999999999</v>
      </c>
      <c r="M28" s="181">
        <f t="shared" si="14"/>
        <v>-71.222999999999999</v>
      </c>
      <c r="N28" s="181">
        <f t="shared" si="14"/>
        <v>-40.479999999999997</v>
      </c>
      <c r="O28" s="181">
        <f t="shared" si="14"/>
        <v>-72.046510975492353</v>
      </c>
      <c r="P28" s="181">
        <f t="shared" si="14"/>
        <v>-75.46562324910569</v>
      </c>
      <c r="Q28" s="181">
        <f t="shared" si="14"/>
        <v>-79.635792367699722</v>
      </c>
      <c r="R28" s="181">
        <f t="shared" si="14"/>
        <v>-84.083255696568699</v>
      </c>
      <c r="S28" s="181">
        <f t="shared" si="14"/>
        <v>-88.770941510732555</v>
      </c>
      <c r="T28" s="181">
        <f t="shared" si="14"/>
        <v>-93.803542077954731</v>
      </c>
      <c r="U28" s="181">
        <f t="shared" si="14"/>
        <v>-99.165303818422927</v>
      </c>
      <c r="V28" s="181">
        <f t="shared" si="14"/>
        <v>-104.87580814281992</v>
      </c>
      <c r="W28" s="181">
        <f t="shared" si="14"/>
        <v>-110.97809622176567</v>
      </c>
      <c r="X28" s="181">
        <f t="shared" si="14"/>
        <v>-117.48931048307354</v>
      </c>
      <c r="Y28" s="181">
        <f t="shared" si="14"/>
        <v>-124.44017349183093</v>
      </c>
      <c r="Z28" s="181">
        <f t="shared" si="14"/>
        <v>-131.86588038527699</v>
      </c>
      <c r="AA28" s="181">
        <f t="shared" si="14"/>
        <v>-138.64962448276012</v>
      </c>
      <c r="AB28" s="181">
        <f t="shared" si="14"/>
        <v>-145.76078984006051</v>
      </c>
      <c r="AC28" s="181">
        <f t="shared" si="14"/>
        <v>-153.29450166033095</v>
      </c>
      <c r="AD28" s="181">
        <f t="shared" si="14"/>
        <v>-161.27783594829626</v>
      </c>
      <c r="AE28" s="181">
        <f t="shared" si="14"/>
        <v>-169.74064597399112</v>
      </c>
      <c r="AF28" s="181">
        <f t="shared" si="14"/>
        <v>-178.7146783128471</v>
      </c>
      <c r="AG28" s="181">
        <f t="shared" si="14"/>
        <v>-188.23371355636075</v>
      </c>
      <c r="AH28" s="181">
        <f t="shared" si="14"/>
        <v>-198.33411200142001</v>
      </c>
      <c r="AI28" s="290">
        <f>-AI27</f>
        <v>-142.57480455944341</v>
      </c>
      <c r="AJ28" s="181">
        <f t="shared" ref="AJ28:BD28" si="15">-CAPEX</f>
        <v>-220.43710438819372</v>
      </c>
      <c r="AK28" s="181">
        <f t="shared" si="15"/>
        <v>-232.52581209012669</v>
      </c>
      <c r="AL28" s="181">
        <f t="shared" si="15"/>
        <v>-245.36852859190836</v>
      </c>
      <c r="AM28" s="181">
        <f t="shared" si="15"/>
        <v>-259.01632482366153</v>
      </c>
      <c r="AN28" s="181">
        <f t="shared" si="15"/>
        <v>-273.52391541221272</v>
      </c>
      <c r="AO28" s="181">
        <f t="shared" si="15"/>
        <v>-288.94991087971653</v>
      </c>
      <c r="AP28" s="181">
        <f t="shared" si="15"/>
        <v>-305.35711019599074</v>
      </c>
      <c r="AQ28" s="181">
        <f t="shared" si="15"/>
        <v>-322.81280908137524</v>
      </c>
      <c r="AR28" s="181">
        <f t="shared" si="15"/>
        <v>-341.38912757206214</v>
      </c>
      <c r="AS28" s="181">
        <f t="shared" si="15"/>
        <v>-361.16336693685378</v>
      </c>
      <c r="AT28" s="181">
        <f t="shared" si="15"/>
        <v>-381.95575102463124</v>
      </c>
      <c r="AU28" s="181">
        <f t="shared" si="15"/>
        <v>-398.0366944765139</v>
      </c>
      <c r="AV28" s="181">
        <f t="shared" si="15"/>
        <v>-414.8136037354634</v>
      </c>
      <c r="AW28" s="181">
        <f t="shared" si="15"/>
        <v>-432.31710538233511</v>
      </c>
      <c r="AX28" s="181">
        <f t="shared" si="15"/>
        <v>-450.5791868309467</v>
      </c>
      <c r="AY28" s="181">
        <f t="shared" si="15"/>
        <v>-469.63325723626161</v>
      </c>
      <c r="AZ28" s="181">
        <f t="shared" si="15"/>
        <v>-489.51421098894031</v>
      </c>
      <c r="BA28" s="181">
        <f t="shared" si="15"/>
        <v>-510.25849408742789</v>
      </c>
      <c r="BB28" s="181">
        <f t="shared" si="15"/>
        <v>-531.90417351566327</v>
      </c>
      <c r="BC28" s="181">
        <f t="shared" si="15"/>
        <v>-554.49100969877759</v>
      </c>
      <c r="BD28" s="231">
        <f t="shared" si="15"/>
        <v>-578.06053221890488</v>
      </c>
    </row>
    <row r="29" spans="2:56" x14ac:dyDescent="0.3">
      <c r="B29" s="230"/>
      <c r="C29" s="232" t="s">
        <v>251</v>
      </c>
      <c r="D29" s="181"/>
      <c r="E29" s="181">
        <f>Modelo!D177-Modelo!E177</f>
        <v>0</v>
      </c>
      <c r="F29" s="181">
        <f>Modelo!E177-Modelo!F177</f>
        <v>0</v>
      </c>
      <c r="G29" s="181">
        <f>Modelo!F177-Modelo!G177</f>
        <v>-915.8</v>
      </c>
      <c r="H29" s="181">
        <f>Modelo!G177-Modelo!H177</f>
        <v>62.087999999999965</v>
      </c>
      <c r="I29" s="181">
        <f>Modelo!H177-Modelo!I177</f>
        <v>-24.587999999999965</v>
      </c>
      <c r="J29" s="181">
        <f>Modelo!I177-Modelo!J177</f>
        <v>-66.655000000000086</v>
      </c>
      <c r="K29" s="181">
        <f>Modelo!J177-Modelo!K177</f>
        <v>-69.706999999999994</v>
      </c>
      <c r="L29" s="181">
        <f>Modelo!K177-Modelo!L177</f>
        <v>105.25900000000001</v>
      </c>
      <c r="M29" s="181">
        <f>Modelo!L177-Modelo!M177</f>
        <v>36.846000000000117</v>
      </c>
      <c r="N29" s="181">
        <f>Modelo!M177-Modelo!N177</f>
        <v>-55.484000000000037</v>
      </c>
      <c r="O29" s="181">
        <f>Modelo!N177-Modelo!O177</f>
        <v>-34.025351964478887</v>
      </c>
      <c r="P29" s="181">
        <f>Modelo!O177-Modelo!P177</f>
        <v>-51.641836395136806</v>
      </c>
      <c r="Q29" s="181">
        <f>Modelo!P177-Modelo!Q177</f>
        <v>-61.440082402333474</v>
      </c>
      <c r="R29" s="181">
        <f>Modelo!Q177-Modelo!R177</f>
        <v>-54.004044018697186</v>
      </c>
      <c r="S29" s="181">
        <f>Modelo!R177-Modelo!S177</f>
        <v>-65.187062922694395</v>
      </c>
      <c r="T29" s="181">
        <f>Modelo!S177-Modelo!T177</f>
        <v>-68.380340133507161</v>
      </c>
      <c r="U29" s="181">
        <f>Modelo!T177-Modelo!U177</f>
        <v>-70.870898928234965</v>
      </c>
      <c r="V29" s="181">
        <f>Modelo!U177-Modelo!V177</f>
        <v>-77.466195497928311</v>
      </c>
      <c r="W29" s="181">
        <f>Modelo!V177-Modelo!W177</f>
        <v>-82.117584024816097</v>
      </c>
      <c r="X29" s="181">
        <f>Modelo!W177-Modelo!X177</f>
        <v>-87.346014615031208</v>
      </c>
      <c r="Y29" s="181">
        <f>Modelo!X177-Modelo!Y177</f>
        <v>-93.684744135196752</v>
      </c>
      <c r="Z29" s="181">
        <f>Modelo!Y177-Modelo!Z177</f>
        <v>-99.875939330634765</v>
      </c>
      <c r="AA29" s="181">
        <f>Modelo!Z177-Modelo!AA177</f>
        <v>-91.2201562679586</v>
      </c>
      <c r="AB29" s="181">
        <f>Modelo!AA177-Modelo!AB177</f>
        <v>-95.711901044283422</v>
      </c>
      <c r="AC29" s="181">
        <f>Modelo!AB177-Modelo!AC177</f>
        <v>-101.34274800265439</v>
      </c>
      <c r="AD29" s="181">
        <f>Modelo!AC177-Modelo!AD177</f>
        <v>-107.39757019587705</v>
      </c>
      <c r="AE29" s="181">
        <f>Modelo!AD177-Modelo!AE177</f>
        <v>-113.8640256443382</v>
      </c>
      <c r="AF29" s="181">
        <f>Modelo!AE177-Modelo!AF177</f>
        <v>-120.72855156542664</v>
      </c>
      <c r="AG29" s="181">
        <f>Modelo!AF177-Modelo!AG177</f>
        <v>-128.06421886803901</v>
      </c>
      <c r="AH29" s="181">
        <f>Modelo!AG177-Modelo!AH177</f>
        <v>-135.88808730625715</v>
      </c>
      <c r="AI29" s="181">
        <f>Modelo!AH177-Modelo!AI177</f>
        <v>-144.22910727227691</v>
      </c>
      <c r="AJ29" s="181">
        <f>Modelo!AI177-Modelo!AJ177</f>
        <v>-153.13352690696229</v>
      </c>
      <c r="AK29" s="181">
        <f>Modelo!AJ177-Modelo!AK177</f>
        <v>-162.6363632226662</v>
      </c>
      <c r="AL29" s="181">
        <f>Modelo!AK177-Modelo!AL177</f>
        <v>-172.77982114387305</v>
      </c>
      <c r="AM29" s="181">
        <f>Modelo!AL177-Modelo!AM177</f>
        <v>-183.61134597354248</v>
      </c>
      <c r="AN29" s="181">
        <f>Modelo!AM177-Modelo!AN177</f>
        <v>-195.17862299677154</v>
      </c>
      <c r="AO29" s="181">
        <f>Modelo!AN177-Modelo!AO177</f>
        <v>-207.53430375853486</v>
      </c>
      <c r="AP29" s="181">
        <f>Modelo!AO177-Modelo!AP177</f>
        <v>-220.7350663318075</v>
      </c>
      <c r="AQ29" s="181">
        <f>Modelo!AP177-Modelo!AQ177</f>
        <v>-234.84108827994351</v>
      </c>
      <c r="AR29" s="181">
        <f>Modelo!AQ177-Modelo!AR177</f>
        <v>-249.91737660734907</v>
      </c>
      <c r="AS29" s="181">
        <f>Modelo!AR177-Modelo!AS177</f>
        <v>-266.03368384514397</v>
      </c>
      <c r="AT29" s="181">
        <f>Modelo!AS177-Modelo!AT177</f>
        <v>-279.73133549009799</v>
      </c>
      <c r="AU29" s="181">
        <f>Modelo!AT177-Modelo!AU177</f>
        <v>-216.34574029638679</v>
      </c>
      <c r="AV29" s="181">
        <f>Modelo!AU177-Modelo!AV177</f>
        <v>-225.70895429481243</v>
      </c>
      <c r="AW29" s="181">
        <f>Modelo!AV177-Modelo!AW177</f>
        <v>-235.48419758915588</v>
      </c>
      <c r="AX29" s="181">
        <f>Modelo!AW177-Modelo!AX177</f>
        <v>-245.68978713007709</v>
      </c>
      <c r="AY29" s="181">
        <f>Modelo!AX177-Modelo!AY177</f>
        <v>-256.34484940839411</v>
      </c>
      <c r="AZ29" s="181">
        <f>Modelo!AY177-Modelo!AZ177</f>
        <v>-267.4693635596459</v>
      </c>
      <c r="BA29" s="181">
        <f>Modelo!AZ177-Modelo!BA177</f>
        <v>-279.08420633991773</v>
      </c>
      <c r="BB29" s="181">
        <f>Modelo!BA177-Modelo!BB177</f>
        <v>-291.21118520257551</v>
      </c>
      <c r="BC29" s="181">
        <f>Modelo!BB177-Modelo!BC177</f>
        <v>-303.87308255373227</v>
      </c>
      <c r="BD29" s="231">
        <f>Modelo!BC177-Modelo!BD177</f>
        <v>-317.09370030032278</v>
      </c>
    </row>
    <row r="30" spans="2:56" s="31" customFormat="1" x14ac:dyDescent="0.3">
      <c r="B30" s="233"/>
      <c r="C30" s="173" t="s">
        <v>254</v>
      </c>
      <c r="D30" s="3"/>
      <c r="E30" s="244">
        <f t="shared" ref="E30:AJ30" si="16">SUM(E26:E29)</f>
        <v>0</v>
      </c>
      <c r="F30" s="244">
        <f t="shared" si="16"/>
        <v>0</v>
      </c>
      <c r="G30" s="244">
        <f t="shared" si="16"/>
        <v>-1165.9999999999998</v>
      </c>
      <c r="H30" s="244">
        <f t="shared" si="16"/>
        <v>56.787999999999954</v>
      </c>
      <c r="I30" s="244">
        <f t="shared" si="16"/>
        <v>-45.187999999999654</v>
      </c>
      <c r="J30" s="244">
        <f t="shared" si="16"/>
        <v>-65.055000000000007</v>
      </c>
      <c r="K30" s="244">
        <f t="shared" si="16"/>
        <v>-10.572000000000081</v>
      </c>
      <c r="L30" s="244">
        <f t="shared" si="16"/>
        <v>102.79300000000023</v>
      </c>
      <c r="M30" s="244">
        <f t="shared" si="16"/>
        <v>60.947000000000372</v>
      </c>
      <c r="N30" s="244">
        <f t="shared" si="16"/>
        <v>-13.480999999999831</v>
      </c>
      <c r="O30" s="244">
        <f t="shared" si="16"/>
        <v>52.595581112682723</v>
      </c>
      <c r="P30" s="244">
        <f t="shared" si="16"/>
        <v>46.513319282060436</v>
      </c>
      <c r="Q30" s="244">
        <f t="shared" si="16"/>
        <v>54.198460651965192</v>
      </c>
      <c r="R30" s="244">
        <f t="shared" si="16"/>
        <v>83.415937619642335</v>
      </c>
      <c r="S30" s="244">
        <f t="shared" si="16"/>
        <v>89.287889218060798</v>
      </c>
      <c r="T30" s="244">
        <f t="shared" si="16"/>
        <v>80.650443867801357</v>
      </c>
      <c r="U30" s="244">
        <f t="shared" si="16"/>
        <v>93.425812704556023</v>
      </c>
      <c r="V30" s="244">
        <f t="shared" si="16"/>
        <v>100.76752183715641</v>
      </c>
      <c r="W30" s="244">
        <f t="shared" si="16"/>
        <v>110.84587048474157</v>
      </c>
      <c r="X30" s="244">
        <f t="shared" si="16"/>
        <v>121.15886298951688</v>
      </c>
      <c r="Y30" s="244">
        <f t="shared" si="16"/>
        <v>131.63320910336341</v>
      </c>
      <c r="Z30" s="244">
        <f t="shared" si="16"/>
        <v>143.38017787014942</v>
      </c>
      <c r="AA30" s="244">
        <f t="shared" si="16"/>
        <v>168.29482584907805</v>
      </c>
      <c r="AB30" s="244">
        <f t="shared" si="16"/>
        <v>181.40062379803788</v>
      </c>
      <c r="AC30" s="244">
        <f t="shared" si="16"/>
        <v>194.47664055150119</v>
      </c>
      <c r="AD30" s="244">
        <f t="shared" si="16"/>
        <v>208.29315403021462</v>
      </c>
      <c r="AE30" s="244">
        <f t="shared" si="16"/>
        <v>222.95946185516482</v>
      </c>
      <c r="AF30" s="244">
        <f t="shared" si="16"/>
        <v>238.55955074002236</v>
      </c>
      <c r="AG30" s="244">
        <f t="shared" si="16"/>
        <v>255.12021225776061</v>
      </c>
      <c r="AH30" s="244">
        <f t="shared" si="16"/>
        <v>272.72623287270522</v>
      </c>
      <c r="AI30" s="244">
        <f t="shared" si="16"/>
        <v>357.93100040369183</v>
      </c>
      <c r="AJ30" s="244">
        <f t="shared" si="16"/>
        <v>311.36426223366243</v>
      </c>
      <c r="AK30" s="244">
        <f t="shared" ref="AK30:AR30" si="17">SUM(AK26:AK29)</f>
        <v>332.55230625600677</v>
      </c>
      <c r="AL30" s="244">
        <f t="shared" si="17"/>
        <v>355.10200532009083</v>
      </c>
      <c r="AM30" s="244">
        <f t="shared" si="17"/>
        <v>379.10535487185814</v>
      </c>
      <c r="AN30" s="244">
        <f t="shared" si="17"/>
        <v>404.66312159313452</v>
      </c>
      <c r="AO30" s="244">
        <f t="shared" si="17"/>
        <v>431.88143149544806</v>
      </c>
      <c r="AP30" s="244">
        <f t="shared" si="17"/>
        <v>460.87387442256886</v>
      </c>
      <c r="AQ30" s="244">
        <f t="shared" si="17"/>
        <v>491.76235342444738</v>
      </c>
      <c r="AR30" s="244">
        <f t="shared" si="17"/>
        <v>524.67685924447187</v>
      </c>
      <c r="AS30" s="244"/>
      <c r="AT30" s="244"/>
      <c r="AU30" s="244"/>
      <c r="AV30" s="244"/>
      <c r="AW30" s="244"/>
      <c r="AX30" s="244"/>
      <c r="AY30" s="244"/>
      <c r="AZ30" s="244"/>
      <c r="BA30" s="244"/>
      <c r="BB30" s="244"/>
      <c r="BC30" s="244"/>
      <c r="BD30" s="245"/>
    </row>
    <row r="31" spans="2:56" s="31" customFormat="1" ht="15" thickBot="1" x14ac:dyDescent="0.35">
      <c r="B31" s="233"/>
      <c r="C31" s="173" t="s">
        <v>282</v>
      </c>
      <c r="D31" s="3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>
        <f>AI30*(1+g)/(Ke-g)</f>
        <v>3562.2656706843613</v>
      </c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234"/>
    </row>
    <row r="32" spans="2:56" ht="15" thickBot="1" x14ac:dyDescent="0.35">
      <c r="B32" s="230"/>
      <c r="C32" s="173"/>
      <c r="D32" s="181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6">
        <f>-MarketCap</f>
        <v>-600</v>
      </c>
      <c r="P32" s="174">
        <f t="shared" ref="P32:AI32" si="18">P30+P31</f>
        <v>46.513319282060436</v>
      </c>
      <c r="Q32" s="174">
        <f t="shared" si="18"/>
        <v>54.198460651965192</v>
      </c>
      <c r="R32" s="174">
        <f t="shared" si="18"/>
        <v>83.415937619642335</v>
      </c>
      <c r="S32" s="174">
        <f t="shared" si="18"/>
        <v>89.287889218060798</v>
      </c>
      <c r="T32" s="174">
        <f t="shared" si="18"/>
        <v>80.650443867801357</v>
      </c>
      <c r="U32" s="174">
        <f t="shared" si="18"/>
        <v>93.425812704556023</v>
      </c>
      <c r="V32" s="174">
        <f t="shared" si="18"/>
        <v>100.76752183715641</v>
      </c>
      <c r="W32" s="174">
        <f t="shared" si="18"/>
        <v>110.84587048474157</v>
      </c>
      <c r="X32" s="174">
        <f t="shared" si="18"/>
        <v>121.15886298951688</v>
      </c>
      <c r="Y32" s="174">
        <f t="shared" si="18"/>
        <v>131.63320910336341</v>
      </c>
      <c r="Z32" s="174">
        <f t="shared" si="18"/>
        <v>143.38017787014942</v>
      </c>
      <c r="AA32" s="174">
        <f t="shared" si="18"/>
        <v>168.29482584907805</v>
      </c>
      <c r="AB32" s="174">
        <f t="shared" si="18"/>
        <v>181.40062379803788</v>
      </c>
      <c r="AC32" s="174">
        <f t="shared" si="18"/>
        <v>194.47664055150119</v>
      </c>
      <c r="AD32" s="174">
        <f t="shared" si="18"/>
        <v>208.29315403021462</v>
      </c>
      <c r="AE32" s="174">
        <f t="shared" si="18"/>
        <v>222.95946185516482</v>
      </c>
      <c r="AF32" s="174">
        <f t="shared" si="18"/>
        <v>238.55955074002236</v>
      </c>
      <c r="AG32" s="174">
        <f t="shared" si="18"/>
        <v>255.12021225776061</v>
      </c>
      <c r="AH32" s="174">
        <f t="shared" si="18"/>
        <v>272.72623287270522</v>
      </c>
      <c r="AI32" s="174">
        <f t="shared" si="18"/>
        <v>3920.1966710880533</v>
      </c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235"/>
    </row>
    <row r="33" spans="2:56" x14ac:dyDescent="0.3">
      <c r="B33" s="230"/>
      <c r="C33" s="173"/>
      <c r="D33" s="15"/>
      <c r="E33" s="17"/>
      <c r="F33" s="17"/>
      <c r="G33" s="17"/>
      <c r="H33" s="17"/>
      <c r="I33" s="17"/>
      <c r="J33" s="17"/>
      <c r="K33" s="17"/>
      <c r="L33" s="17"/>
      <c r="M33" s="17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235"/>
    </row>
    <row r="34" spans="2:56" ht="15" thickBot="1" x14ac:dyDescent="0.35">
      <c r="B34" s="236"/>
      <c r="C34" s="239" t="s">
        <v>261</v>
      </c>
      <c r="D34" s="238">
        <f>IRR(O32:AS32,Ke)</f>
        <v>0.19105492411784319</v>
      </c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39"/>
      <c r="AV34" s="239"/>
      <c r="AW34" s="239"/>
      <c r="AX34" s="239"/>
      <c r="AY34" s="239"/>
      <c r="AZ34" s="239"/>
      <c r="BA34" s="239"/>
      <c r="BB34" s="239"/>
      <c r="BC34" s="239"/>
      <c r="BD34" s="240"/>
    </row>
    <row r="37" spans="2:56" x14ac:dyDescent="0.3">
      <c r="F37">
        <f>1.13^20-1</f>
        <v>10.523087764723348</v>
      </c>
    </row>
    <row r="38" spans="2:56" x14ac:dyDescent="0.3">
      <c r="F38">
        <f>1.11^20-1</f>
        <v>7.0623115361291529</v>
      </c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="145" zoomScaleNormal="145" workbookViewId="0">
      <selection activeCell="C13" sqref="C13"/>
    </sheetView>
  </sheetViews>
  <sheetFormatPr defaultRowHeight="14.4" x14ac:dyDescent="0.3"/>
  <sheetData>
    <row r="1" spans="1:3" x14ac:dyDescent="0.3">
      <c r="A1" t="s">
        <v>213</v>
      </c>
    </row>
    <row r="3" spans="1:3" x14ac:dyDescent="0.3">
      <c r="B3" s="62" t="s">
        <v>214</v>
      </c>
      <c r="C3" t="s">
        <v>215</v>
      </c>
    </row>
    <row r="4" spans="1:3" x14ac:dyDescent="0.3">
      <c r="B4" t="s">
        <v>214</v>
      </c>
      <c r="C4" t="s">
        <v>216</v>
      </c>
    </row>
    <row r="5" spans="1:3" x14ac:dyDescent="0.3">
      <c r="B5" s="70" t="s">
        <v>214</v>
      </c>
      <c r="C5" t="s">
        <v>217</v>
      </c>
    </row>
    <row r="6" spans="1:3" x14ac:dyDescent="0.3">
      <c r="B6" s="160" t="s">
        <v>214</v>
      </c>
      <c r="C6" t="s">
        <v>218</v>
      </c>
    </row>
    <row r="7" spans="1:3" x14ac:dyDescent="0.3">
      <c r="B7" s="277" t="s">
        <v>214</v>
      </c>
      <c r="C7" t="s">
        <v>297</v>
      </c>
    </row>
    <row r="10" spans="1:3" x14ac:dyDescent="0.3">
      <c r="A10" t="s">
        <v>275</v>
      </c>
    </row>
    <row r="11" spans="1:3" x14ac:dyDescent="0.3">
      <c r="B11" t="s">
        <v>276</v>
      </c>
      <c r="C11" t="s">
        <v>277</v>
      </c>
    </row>
    <row r="12" spans="1:3" x14ac:dyDescent="0.3">
      <c r="B12" t="s">
        <v>279</v>
      </c>
      <c r="C12" t="s">
        <v>278</v>
      </c>
    </row>
    <row r="13" spans="1:3" x14ac:dyDescent="0.3">
      <c r="B13" t="s">
        <v>291</v>
      </c>
      <c r="C13" t="s">
        <v>292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156"/>
  <sheetViews>
    <sheetView workbookViewId="0"/>
  </sheetViews>
  <sheetFormatPr defaultColWidth="0" defaultRowHeight="0" customHeight="1" zeroHeight="1" x14ac:dyDescent="0.3"/>
  <cols>
    <col min="1" max="1" width="3.44140625" style="278" customWidth="1"/>
    <col min="2" max="2" width="22" style="278" customWidth="1"/>
    <col min="3" max="3" width="130" style="278" customWidth="1"/>
    <col min="4" max="4" width="9.109375" style="278" customWidth="1"/>
    <col min="5" max="5" width="22" style="278" customWidth="1"/>
    <col min="6" max="6" width="105.5546875" style="278" customWidth="1"/>
    <col min="7" max="7" width="9.109375" style="278" customWidth="1"/>
    <col min="8" max="16384" width="9.109375" style="278" hidden="1"/>
  </cols>
  <sheetData>
    <row r="1" spans="1:7" ht="14.4" x14ac:dyDescent="0.3">
      <c r="A1" s="289"/>
      <c r="B1" s="289"/>
      <c r="C1" s="289"/>
      <c r="D1" s="289"/>
      <c r="E1" s="289"/>
      <c r="F1" s="289"/>
      <c r="G1" s="289"/>
    </row>
    <row r="2" spans="1:7" ht="18" x14ac:dyDescent="0.35">
      <c r="A2" s="18" t="s">
        <v>308</v>
      </c>
      <c r="B2" s="279"/>
      <c r="C2" s="288"/>
      <c r="D2" s="288"/>
      <c r="E2" s="288"/>
      <c r="F2" s="288"/>
      <c r="G2" s="288"/>
    </row>
    <row r="3" spans="1:7" ht="14.4" x14ac:dyDescent="0.3">
      <c r="A3" s="287"/>
      <c r="B3" s="286"/>
      <c r="C3" s="286"/>
      <c r="D3" s="286"/>
      <c r="E3" s="286"/>
      <c r="F3" s="286"/>
      <c r="G3" s="286"/>
    </row>
    <row r="4" spans="1:7" ht="14.4" x14ac:dyDescent="0.3">
      <c r="A4" s="279"/>
      <c r="B4" s="279"/>
      <c r="C4" s="279"/>
      <c r="D4" s="279"/>
      <c r="E4" s="279"/>
      <c r="F4" s="279"/>
      <c r="G4" s="279"/>
    </row>
    <row r="5" spans="1:7" ht="52.5" customHeight="1" x14ac:dyDescent="0.3">
      <c r="A5" s="279"/>
      <c r="B5" s="282" t="s">
        <v>2</v>
      </c>
      <c r="C5" s="281"/>
      <c r="D5" s="279"/>
      <c r="E5" s="282" t="s">
        <v>3</v>
      </c>
      <c r="F5" s="281"/>
      <c r="G5" s="279"/>
    </row>
    <row r="6" spans="1:7" ht="52.5" customHeight="1" x14ac:dyDescent="0.3">
      <c r="A6" s="279"/>
      <c r="B6" s="285" t="s">
        <v>307</v>
      </c>
      <c r="C6" s="284"/>
      <c r="D6" s="279"/>
      <c r="E6" s="285" t="s">
        <v>307</v>
      </c>
      <c r="F6" s="284"/>
      <c r="G6" s="279"/>
    </row>
    <row r="7" spans="1:7" ht="52.5" customHeight="1" x14ac:dyDescent="0.3">
      <c r="A7" s="279"/>
      <c r="B7" s="282" t="s">
        <v>306</v>
      </c>
      <c r="C7" s="281"/>
      <c r="D7" s="279"/>
      <c r="E7" s="282" t="s">
        <v>306</v>
      </c>
      <c r="F7" s="281"/>
      <c r="G7" s="279"/>
    </row>
    <row r="8" spans="1:7" ht="52.5" customHeight="1" x14ac:dyDescent="0.3">
      <c r="A8" s="279"/>
      <c r="B8" s="282" t="s">
        <v>305</v>
      </c>
      <c r="C8" s="281"/>
      <c r="D8" s="279"/>
      <c r="E8" s="282" t="s">
        <v>305</v>
      </c>
      <c r="F8" s="281"/>
      <c r="G8" s="279"/>
    </row>
    <row r="9" spans="1:7" ht="52.5" customHeight="1" x14ac:dyDescent="0.3">
      <c r="A9" s="279"/>
      <c r="B9" s="282" t="s">
        <v>6</v>
      </c>
      <c r="C9" s="281"/>
      <c r="D9" s="279"/>
      <c r="E9" s="282" t="s">
        <v>7</v>
      </c>
      <c r="F9" s="281"/>
      <c r="G9" s="279"/>
    </row>
    <row r="10" spans="1:7" ht="52.5" customHeight="1" x14ac:dyDescent="0.3">
      <c r="A10" s="279"/>
      <c r="B10" s="282" t="s">
        <v>304</v>
      </c>
      <c r="C10" s="281"/>
      <c r="D10" s="279"/>
      <c r="E10" s="282" t="s">
        <v>304</v>
      </c>
      <c r="F10" s="281"/>
      <c r="G10" s="279"/>
    </row>
    <row r="11" spans="1:7" ht="52.5" customHeight="1" x14ac:dyDescent="0.3">
      <c r="A11" s="279"/>
      <c r="B11" s="282" t="s">
        <v>303</v>
      </c>
      <c r="C11" s="281"/>
      <c r="D11" s="283"/>
      <c r="E11" s="282" t="s">
        <v>8</v>
      </c>
      <c r="F11" s="281"/>
      <c r="G11" s="280"/>
    </row>
    <row r="12" spans="1:7" ht="52.5" customHeight="1" x14ac:dyDescent="0.3">
      <c r="A12" s="279"/>
      <c r="B12" s="282" t="s">
        <v>302</v>
      </c>
      <c r="C12" s="281"/>
      <c r="D12" s="283"/>
      <c r="E12" s="282" t="s">
        <v>9</v>
      </c>
      <c r="F12" s="281"/>
      <c r="G12" s="280"/>
    </row>
    <row r="13" spans="1:7" ht="52.5" customHeight="1" x14ac:dyDescent="0.3">
      <c r="A13" s="279"/>
      <c r="B13" s="282" t="s">
        <v>301</v>
      </c>
      <c r="C13" s="281"/>
      <c r="D13" s="283"/>
      <c r="E13" s="282" t="s">
        <v>10</v>
      </c>
      <c r="F13" s="281"/>
      <c r="G13" s="280"/>
    </row>
    <row r="14" spans="1:7" ht="52.5" customHeight="1" x14ac:dyDescent="0.3">
      <c r="A14" s="279"/>
      <c r="B14" s="282" t="s">
        <v>11</v>
      </c>
      <c r="C14" s="281"/>
      <c r="D14" s="283"/>
      <c r="E14" s="282" t="s">
        <v>300</v>
      </c>
      <c r="F14" s="281"/>
      <c r="G14" s="280"/>
    </row>
    <row r="15" spans="1:7" ht="52.5" customHeight="1" x14ac:dyDescent="0.3">
      <c r="A15" s="279"/>
      <c r="B15" s="282" t="s">
        <v>12</v>
      </c>
      <c r="C15" s="281"/>
      <c r="D15" s="283"/>
      <c r="E15" s="282" t="s">
        <v>299</v>
      </c>
      <c r="F15" s="281"/>
      <c r="G15" s="280"/>
    </row>
    <row r="16" spans="1:7" ht="52.5" customHeight="1" x14ac:dyDescent="0.3">
      <c r="A16" s="279"/>
      <c r="B16" s="282" t="s">
        <v>13</v>
      </c>
      <c r="C16" s="281"/>
      <c r="D16" s="283"/>
      <c r="E16" s="282" t="s">
        <v>298</v>
      </c>
      <c r="F16" s="281"/>
      <c r="G16" s="280"/>
    </row>
    <row r="17" spans="1:7" ht="15" customHeight="1" x14ac:dyDescent="0.3">
      <c r="A17" s="279"/>
      <c r="B17" s="279"/>
      <c r="C17" s="279"/>
      <c r="D17" s="279"/>
      <c r="E17" s="279"/>
      <c r="F17" s="279"/>
      <c r="G17" s="279"/>
    </row>
    <row r="18" spans="1:7" ht="14.4" hidden="1" x14ac:dyDescent="0.3"/>
    <row r="19" spans="1:7" ht="14.4" hidden="1" x14ac:dyDescent="0.3"/>
    <row r="20" spans="1:7" ht="14.4" hidden="1" x14ac:dyDescent="0.3"/>
    <row r="21" spans="1:7" ht="14.4" hidden="1" x14ac:dyDescent="0.3"/>
    <row r="22" spans="1:7" ht="14.4" hidden="1" x14ac:dyDescent="0.3"/>
    <row r="23" spans="1:7" ht="14.4" hidden="1" x14ac:dyDescent="0.3"/>
    <row r="24" spans="1:7" ht="14.4" hidden="1" x14ac:dyDescent="0.3"/>
    <row r="25" spans="1:7" ht="14.4" hidden="1" x14ac:dyDescent="0.3"/>
    <row r="26" spans="1:7" ht="14.4" hidden="1" x14ac:dyDescent="0.3"/>
    <row r="27" spans="1:7" ht="14.4" hidden="1" x14ac:dyDescent="0.3"/>
    <row r="28" spans="1:7" ht="14.4" hidden="1" x14ac:dyDescent="0.3"/>
    <row r="29" spans="1:7" ht="14.4" hidden="1" x14ac:dyDescent="0.3"/>
    <row r="30" spans="1:7" ht="14.4" hidden="1" x14ac:dyDescent="0.3"/>
    <row r="31" spans="1:7" ht="14.4" hidden="1" x14ac:dyDescent="0.3"/>
    <row r="32" spans="1:7" ht="14.4" hidden="1" x14ac:dyDescent="0.3"/>
    <row r="33" ht="14.4" hidden="1" x14ac:dyDescent="0.3"/>
    <row r="34" ht="14.4" hidden="1" x14ac:dyDescent="0.3"/>
    <row r="35" ht="14.4" hidden="1" x14ac:dyDescent="0.3"/>
    <row r="36" ht="14.4" hidden="1" x14ac:dyDescent="0.3"/>
    <row r="37" ht="14.4" hidden="1" x14ac:dyDescent="0.3"/>
    <row r="38" ht="14.4" hidden="1" x14ac:dyDescent="0.3"/>
    <row r="39" ht="14.4" hidden="1" x14ac:dyDescent="0.3"/>
    <row r="40" ht="14.4" hidden="1" x14ac:dyDescent="0.3"/>
    <row r="41" ht="14.4" hidden="1" x14ac:dyDescent="0.3"/>
    <row r="42" ht="14.4" hidden="1" x14ac:dyDescent="0.3"/>
    <row r="43" ht="14.4" hidden="1" x14ac:dyDescent="0.3"/>
    <row r="44" ht="14.4" hidden="1" x14ac:dyDescent="0.3"/>
    <row r="45" ht="14.4" hidden="1" x14ac:dyDescent="0.3"/>
    <row r="46" ht="14.4" hidden="1" x14ac:dyDescent="0.3"/>
    <row r="47" ht="14.4" hidden="1" x14ac:dyDescent="0.3"/>
    <row r="48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  <row r="53" ht="14.4" hidden="1" x14ac:dyDescent="0.3"/>
    <row r="54" ht="14.4" hidden="1" x14ac:dyDescent="0.3"/>
    <row r="55" ht="14.4" hidden="1" x14ac:dyDescent="0.3"/>
    <row r="56" ht="14.4" hidden="1" x14ac:dyDescent="0.3"/>
    <row r="57" ht="14.4" hidden="1" x14ac:dyDescent="0.3"/>
    <row r="58" ht="14.4" hidden="1" x14ac:dyDescent="0.3"/>
    <row r="59" ht="14.4" hidden="1" x14ac:dyDescent="0.3"/>
    <row r="60" ht="14.4" hidden="1" x14ac:dyDescent="0.3"/>
    <row r="61" ht="14.4" hidden="1" x14ac:dyDescent="0.3"/>
    <row r="62" ht="14.4" hidden="1" x14ac:dyDescent="0.3"/>
    <row r="63" ht="14.4" hidden="1" x14ac:dyDescent="0.3"/>
    <row r="64" ht="14.4" hidden="1" x14ac:dyDescent="0.3"/>
    <row r="65" ht="14.4" hidden="1" x14ac:dyDescent="0.3"/>
    <row r="66" ht="14.4" hidden="1" x14ac:dyDescent="0.3"/>
    <row r="67" ht="14.4" hidden="1" x14ac:dyDescent="0.3"/>
    <row r="68" ht="14.4" hidden="1" x14ac:dyDescent="0.3"/>
    <row r="69" ht="14.4" hidden="1" x14ac:dyDescent="0.3"/>
    <row r="70" ht="14.4" hidden="1" x14ac:dyDescent="0.3"/>
    <row r="71" ht="14.4" hidden="1" x14ac:dyDescent="0.3"/>
    <row r="72" ht="14.4" hidden="1" x14ac:dyDescent="0.3"/>
    <row r="73" ht="14.4" hidden="1" x14ac:dyDescent="0.3"/>
    <row r="74" ht="14.4" hidden="1" x14ac:dyDescent="0.3"/>
    <row r="75" ht="14.4" hidden="1" x14ac:dyDescent="0.3"/>
    <row r="76" ht="14.4" hidden="1" x14ac:dyDescent="0.3"/>
    <row r="77" ht="14.4" hidden="1" x14ac:dyDescent="0.3"/>
    <row r="78" ht="14.4" hidden="1" x14ac:dyDescent="0.3"/>
    <row r="79" ht="14.4" hidden="1" x14ac:dyDescent="0.3"/>
    <row r="80" ht="14.4" hidden="1" x14ac:dyDescent="0.3"/>
    <row r="81" ht="14.4" hidden="1" x14ac:dyDescent="0.3"/>
    <row r="82" ht="14.4" hidden="1" x14ac:dyDescent="0.3"/>
    <row r="83" ht="14.4" hidden="1" x14ac:dyDescent="0.3"/>
    <row r="84" ht="14.4" hidden="1" x14ac:dyDescent="0.3"/>
    <row r="85" ht="14.4" hidden="1" x14ac:dyDescent="0.3"/>
    <row r="86" ht="14.4" hidden="1" x14ac:dyDescent="0.3"/>
    <row r="87" ht="14.4" hidden="1" x14ac:dyDescent="0.3"/>
    <row r="88" ht="14.4" hidden="1" x14ac:dyDescent="0.3"/>
    <row r="89" ht="14.4" hidden="1" x14ac:dyDescent="0.3"/>
    <row r="90" ht="14.4" hidden="1" x14ac:dyDescent="0.3"/>
    <row r="91" ht="14.4" hidden="1" x14ac:dyDescent="0.3"/>
    <row r="92" ht="14.4" hidden="1" x14ac:dyDescent="0.3"/>
    <row r="93" ht="14.4" hidden="1" x14ac:dyDescent="0.3"/>
    <row r="94" ht="14.4" hidden="1" x14ac:dyDescent="0.3"/>
    <row r="95" ht="14.4" hidden="1" x14ac:dyDescent="0.3"/>
    <row r="96" ht="14.4" hidden="1" x14ac:dyDescent="0.3"/>
    <row r="97" ht="14.4" hidden="1" x14ac:dyDescent="0.3"/>
    <row r="98" ht="14.4" hidden="1" x14ac:dyDescent="0.3"/>
    <row r="99" ht="14.4" hidden="1" x14ac:dyDescent="0.3"/>
    <row r="100" ht="14.4" hidden="1" x14ac:dyDescent="0.3"/>
    <row r="101" ht="14.4" hidden="1" x14ac:dyDescent="0.3"/>
    <row r="102" ht="14.4" hidden="1" x14ac:dyDescent="0.3"/>
    <row r="103" ht="14.4" hidden="1" x14ac:dyDescent="0.3"/>
    <row r="104" ht="14.4" hidden="1" x14ac:dyDescent="0.3"/>
    <row r="105" ht="14.4" hidden="1" x14ac:dyDescent="0.3"/>
    <row r="106" ht="14.4" hidden="1" x14ac:dyDescent="0.3"/>
    <row r="107" ht="14.4" hidden="1" x14ac:dyDescent="0.3"/>
    <row r="108" ht="14.4" hidden="1" x14ac:dyDescent="0.3"/>
    <row r="109" ht="14.4" hidden="1" x14ac:dyDescent="0.3"/>
    <row r="110" ht="14.4" hidden="1" x14ac:dyDescent="0.3"/>
    <row r="111" ht="14.4" hidden="1" x14ac:dyDescent="0.3"/>
    <row r="112" ht="14.4" hidden="1" x14ac:dyDescent="0.3"/>
    <row r="113" ht="14.4" hidden="1" x14ac:dyDescent="0.3"/>
    <row r="114" ht="14.4" hidden="1" x14ac:dyDescent="0.3"/>
    <row r="115" ht="14.4" hidden="1" x14ac:dyDescent="0.3"/>
    <row r="116" ht="14.4" hidden="1" x14ac:dyDescent="0.3"/>
    <row r="117" ht="14.4" hidden="1" x14ac:dyDescent="0.3"/>
    <row r="118" ht="14.4" hidden="1" x14ac:dyDescent="0.3"/>
    <row r="119" ht="14.4" hidden="1" x14ac:dyDescent="0.3"/>
    <row r="120" ht="14.4" hidden="1" x14ac:dyDescent="0.3"/>
    <row r="121" ht="14.4" hidden="1" x14ac:dyDescent="0.3"/>
    <row r="122" ht="14.4" hidden="1" x14ac:dyDescent="0.3"/>
    <row r="123" ht="14.4" hidden="1" x14ac:dyDescent="0.3"/>
    <row r="124" ht="14.4" hidden="1" x14ac:dyDescent="0.3"/>
    <row r="125" ht="14.4" hidden="1" x14ac:dyDescent="0.3"/>
    <row r="126" ht="14.4" hidden="1" x14ac:dyDescent="0.3"/>
    <row r="127" ht="14.4" hidden="1" x14ac:dyDescent="0.3"/>
    <row r="128" ht="14.4" hidden="1" x14ac:dyDescent="0.3"/>
    <row r="129" ht="14.4" hidden="1" x14ac:dyDescent="0.3"/>
    <row r="130" ht="14.4" hidden="1" x14ac:dyDescent="0.3"/>
    <row r="131" ht="14.4" hidden="1" x14ac:dyDescent="0.3"/>
    <row r="132" ht="14.4" hidden="1" x14ac:dyDescent="0.3"/>
    <row r="133" ht="14.4" hidden="1" x14ac:dyDescent="0.3"/>
    <row r="134" ht="14.4" hidden="1" x14ac:dyDescent="0.3"/>
    <row r="135" ht="14.4" hidden="1" x14ac:dyDescent="0.3"/>
    <row r="136" ht="14.4" hidden="1" x14ac:dyDescent="0.3"/>
    <row r="137" ht="14.4" hidden="1" x14ac:dyDescent="0.3"/>
    <row r="138" ht="14.4" hidden="1" x14ac:dyDescent="0.3"/>
    <row r="139" ht="14.4" hidden="1" x14ac:dyDescent="0.3"/>
    <row r="140" ht="14.4" hidden="1" x14ac:dyDescent="0.3"/>
    <row r="141" ht="14.4" hidden="1" x14ac:dyDescent="0.3"/>
    <row r="142" ht="14.4" hidden="1" x14ac:dyDescent="0.3"/>
    <row r="143" ht="14.4" hidden="1" x14ac:dyDescent="0.3"/>
    <row r="144" ht="14.4" hidden="1" x14ac:dyDescent="0.3"/>
    <row r="145" ht="14.4" hidden="1" x14ac:dyDescent="0.3"/>
    <row r="146" ht="14.4" hidden="1" x14ac:dyDescent="0.3"/>
    <row r="147" ht="14.4" hidden="1" x14ac:dyDescent="0.3"/>
    <row r="148" ht="14.4" hidden="1" x14ac:dyDescent="0.3"/>
    <row r="149" ht="14.4" hidden="1" x14ac:dyDescent="0.3"/>
    <row r="150" ht="14.4" hidden="1" x14ac:dyDescent="0.3"/>
    <row r="151" ht="14.4" hidden="1" x14ac:dyDescent="0.3"/>
    <row r="152" ht="14.4" hidden="1" x14ac:dyDescent="0.3"/>
    <row r="153" ht="14.4" hidden="1" x14ac:dyDescent="0.3"/>
    <row r="154" ht="14.4" hidden="1" x14ac:dyDescent="0.3"/>
    <row r="155" ht="14.4" hidden="1" x14ac:dyDescent="0.3"/>
    <row r="156" ht="14.4" hidden="1" x14ac:dyDescent="0.3"/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50</vt:i4>
      </vt:variant>
    </vt:vector>
  </HeadingPairs>
  <TitlesOfParts>
    <vt:vector size="57" baseType="lpstr">
      <vt:lpstr>Capa</vt:lpstr>
      <vt:lpstr>BD</vt:lpstr>
      <vt:lpstr>Premissas</vt:lpstr>
      <vt:lpstr>Modelo</vt:lpstr>
      <vt:lpstr>Valuation</vt:lpstr>
      <vt:lpstr>Color Code</vt:lpstr>
      <vt:lpstr>Fórmulas-Formulas</vt:lpstr>
      <vt:lpstr>AlíquotaIR</vt:lpstr>
      <vt:lpstr>Amortização</vt:lpstr>
      <vt:lpstr>AtivoTotal</vt:lpstr>
      <vt:lpstr>CaixaYE_CP</vt:lpstr>
      <vt:lpstr>CaixaYE_LP</vt:lpstr>
      <vt:lpstr>CambioMedio</vt:lpstr>
      <vt:lpstr>CAPEX</vt:lpstr>
      <vt:lpstr>CapitalDeGiro</vt:lpstr>
      <vt:lpstr>Cenário</vt:lpstr>
      <vt:lpstr>ContasAReceber</vt:lpstr>
      <vt:lpstr>CPV</vt:lpstr>
      <vt:lpstr>CustoCaixa</vt:lpstr>
      <vt:lpstr>Deduções</vt:lpstr>
      <vt:lpstr>Depreciação</vt:lpstr>
      <vt:lpstr>DívidaBruta</vt:lpstr>
      <vt:lpstr>DívidaLíquida</vt:lpstr>
      <vt:lpstr>Dividendos</vt:lpstr>
      <vt:lpstr>EBIT</vt:lpstr>
      <vt:lpstr>EBITDA</vt:lpstr>
      <vt:lpstr>EBITDAAjustado</vt:lpstr>
      <vt:lpstr>Estoques</vt:lpstr>
      <vt:lpstr>FCFE</vt:lpstr>
      <vt:lpstr>FCFF</vt:lpstr>
      <vt:lpstr>Fornecedores</vt:lpstr>
      <vt:lpstr>g</vt:lpstr>
      <vt:lpstr>Imobilizado</vt:lpstr>
      <vt:lpstr>ImpostoRenda</vt:lpstr>
      <vt:lpstr>InflaçãoBR</vt:lpstr>
      <vt:lpstr>InflaçãoMundo</vt:lpstr>
      <vt:lpstr>Intangível</vt:lpstr>
      <vt:lpstr>Kd</vt:lpstr>
      <vt:lpstr>Ke</vt:lpstr>
      <vt:lpstr>LucroBruto</vt:lpstr>
      <vt:lpstr>LucroLiquido</vt:lpstr>
      <vt:lpstr>MarketCap</vt:lpstr>
      <vt:lpstr>MMAções</vt:lpstr>
      <vt:lpstr>Modelo</vt:lpstr>
      <vt:lpstr>PatrimLíquido</vt:lpstr>
      <vt:lpstr>PIBBrasil</vt:lpstr>
      <vt:lpstr>PIBMundo</vt:lpstr>
      <vt:lpstr>ReceitaBruta</vt:lpstr>
      <vt:lpstr>ReceitaLíquida</vt:lpstr>
      <vt:lpstr>ResultadoFinanceiro</vt:lpstr>
      <vt:lpstr>SELIC</vt:lpstr>
      <vt:lpstr>SGPS_MultPIB</vt:lpstr>
      <vt:lpstr>SGPS_SGA_Atac</vt:lpstr>
      <vt:lpstr>SGPS_SGA_Varej</vt:lpstr>
      <vt:lpstr>TP</vt:lpstr>
      <vt:lpstr>ÚltimoPreço</vt:lpstr>
      <vt:lpstr>WACC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Heloisa Neves Cruz</dc:creator>
  <cp:lastModifiedBy>Heloisa Cruz</cp:lastModifiedBy>
  <dcterms:created xsi:type="dcterms:W3CDTF">2018-04-01T02:08:07Z</dcterms:created>
  <dcterms:modified xsi:type="dcterms:W3CDTF">2019-09-02T16:59:16Z</dcterms:modified>
</cp:coreProperties>
</file>