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55"/>
  </bookViews>
  <sheets>
    <sheet name="Plan1" sheetId="1" r:id="rId1"/>
    <sheet name="Plan2" sheetId="2" r:id="rId2"/>
    <sheet name="Plan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J29" i="1"/>
  <c r="J40" i="1"/>
  <c r="K40" i="1" s="1"/>
  <c r="M40" i="1" s="1"/>
  <c r="M36" i="1"/>
  <c r="M37" i="1"/>
  <c r="M38" i="1"/>
  <c r="M39" i="1"/>
  <c r="M35" i="1"/>
  <c r="N20" i="1"/>
  <c r="N21" i="1"/>
  <c r="N22" i="1"/>
  <c r="N23" i="1"/>
  <c r="N24" i="1"/>
  <c r="N25" i="1"/>
  <c r="N26" i="1"/>
  <c r="N27" i="1"/>
  <c r="N28" i="1"/>
  <c r="N1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  <c r="L5" i="1" l="1"/>
  <c r="L7" i="1"/>
  <c r="M29" i="1"/>
  <c r="N29" i="1" s="1"/>
  <c r="L6" i="1"/>
  <c r="L9" i="1"/>
  <c r="F32" i="1"/>
  <c r="G32" i="1" s="1"/>
  <c r="D32" i="1"/>
  <c r="K29" i="1"/>
  <c r="P15" i="1"/>
  <c r="L3" i="1" l="1"/>
  <c r="E31" i="1" l="1"/>
  <c r="E27" i="1"/>
  <c r="E28" i="1"/>
  <c r="E29" i="1"/>
  <c r="E30" i="1"/>
  <c r="L20" i="1" l="1"/>
  <c r="L21" i="1"/>
  <c r="L22" i="1"/>
  <c r="L23" i="1"/>
  <c r="L24" i="1"/>
  <c r="L25" i="1"/>
  <c r="L26" i="1"/>
  <c r="L27" i="1"/>
  <c r="L28" i="1"/>
  <c r="L19" i="1"/>
  <c r="L29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7" i="1"/>
  <c r="C4" i="2"/>
  <c r="E32" i="1" l="1"/>
  <c r="L4" i="1"/>
  <c r="I22" i="2"/>
  <c r="H9" i="2"/>
  <c r="H10" i="2"/>
  <c r="H14" i="2"/>
  <c r="H18" i="2"/>
  <c r="H22" i="2"/>
  <c r="F11" i="2"/>
  <c r="F15" i="2"/>
  <c r="F19" i="2"/>
  <c r="F8" i="2"/>
  <c r="D12" i="2"/>
  <c r="D16" i="2"/>
  <c r="D20" i="2"/>
  <c r="H15" i="2"/>
  <c r="H19" i="2"/>
  <c r="H8" i="2"/>
  <c r="F12" i="2"/>
  <c r="F16" i="2"/>
  <c r="F20" i="2"/>
  <c r="D9" i="2"/>
  <c r="D13" i="2"/>
  <c r="D17" i="2"/>
  <c r="D21" i="2"/>
  <c r="H11" i="2"/>
  <c r="H12" i="2"/>
  <c r="H16" i="2"/>
  <c r="H20" i="2"/>
  <c r="F9" i="2"/>
  <c r="F13" i="2"/>
  <c r="F17" i="2"/>
  <c r="F21" i="2"/>
  <c r="D10" i="2"/>
  <c r="D14" i="2"/>
  <c r="D18" i="2"/>
  <c r="D22" i="2"/>
  <c r="H13" i="2"/>
  <c r="H17" i="2"/>
  <c r="H21" i="2"/>
  <c r="F10" i="2"/>
  <c r="F14" i="2"/>
  <c r="F18" i="2"/>
  <c r="F22" i="2"/>
  <c r="D11" i="2"/>
  <c r="D15" i="2"/>
  <c r="D19" i="2"/>
  <c r="D8" i="2"/>
  <c r="C14" i="2"/>
  <c r="G9" i="2"/>
  <c r="C13" i="2"/>
  <c r="E15" i="2"/>
  <c r="C17" i="2"/>
  <c r="E8" i="2"/>
  <c r="I8" i="2"/>
  <c r="C10" i="2"/>
  <c r="G10" i="2"/>
  <c r="E12" i="2"/>
  <c r="I12" i="2"/>
  <c r="G14" i="2"/>
  <c r="E16" i="2"/>
  <c r="I16" i="2"/>
  <c r="C18" i="2"/>
  <c r="G18" i="2"/>
  <c r="E20" i="2"/>
  <c r="I20" i="2"/>
  <c r="C22" i="2"/>
  <c r="G22" i="2"/>
  <c r="I11" i="2"/>
  <c r="G13" i="2"/>
  <c r="E19" i="2"/>
  <c r="G21" i="2"/>
  <c r="I9" i="2"/>
  <c r="C11" i="2"/>
  <c r="G11" i="2"/>
  <c r="E13" i="2"/>
  <c r="I13" i="2"/>
  <c r="C15" i="2"/>
  <c r="G15" i="2"/>
  <c r="E17" i="2"/>
  <c r="I17" i="2"/>
  <c r="C19" i="2"/>
  <c r="G19" i="2"/>
  <c r="E21" i="2"/>
  <c r="I21" i="2"/>
  <c r="C9" i="2"/>
  <c r="E11" i="2"/>
  <c r="I15" i="2"/>
  <c r="G17" i="2"/>
  <c r="I19" i="2"/>
  <c r="C21" i="2"/>
  <c r="E9" i="2"/>
  <c r="C8" i="2"/>
  <c r="G8" i="2"/>
  <c r="E10" i="2"/>
  <c r="I10" i="2"/>
  <c r="C12" i="2"/>
  <c r="G12" i="2"/>
  <c r="E14" i="2"/>
  <c r="I14" i="2"/>
  <c r="C16" i="2"/>
  <c r="G16" i="2"/>
  <c r="E18" i="2"/>
  <c r="I18" i="2"/>
  <c r="C20" i="2"/>
  <c r="G20" i="2"/>
  <c r="E22" i="2"/>
  <c r="Q15" i="1" l="1"/>
  <c r="Q22" i="1" s="1"/>
  <c r="L8" i="1"/>
  <c r="Q10" i="1"/>
  <c r="Q7" i="1" l="1"/>
  <c r="Q6" i="1"/>
  <c r="L11" i="1"/>
  <c r="L12" i="1" s="1"/>
  <c r="Q5" i="1"/>
  <c r="Q4" i="1"/>
  <c r="Q11" i="1"/>
  <c r="Q9" i="1"/>
  <c r="Q8" i="1"/>
  <c r="Q20" i="1" l="1"/>
  <c r="Q23" i="1" s="1"/>
</calcChain>
</file>

<file path=xl/sharedStrings.xml><?xml version="1.0" encoding="utf-8"?>
<sst xmlns="http://schemas.openxmlformats.org/spreadsheetml/2006/main" count="72" uniqueCount="53">
  <si>
    <t>ATIVO</t>
  </si>
  <si>
    <t>GANHO MENSAL</t>
  </si>
  <si>
    <t>VALOR NECESSÁRIO</t>
  </si>
  <si>
    <t>VALOR</t>
  </si>
  <si>
    <t>TOTAL INVESTIDO</t>
  </si>
  <si>
    <t>COLHEITA</t>
  </si>
  <si>
    <t>OBJETIVO DE GANHO MENSAL</t>
  </si>
  <si>
    <t>OBJETIVO</t>
  </si>
  <si>
    <t>TAXA MENSAL</t>
  </si>
  <si>
    <t>APORTE MENSAL</t>
  </si>
  <si>
    <t>DURAÇÃO (ANOS)</t>
  </si>
  <si>
    <r>
      <rPr>
        <b/>
        <sz val="11"/>
        <color theme="0" tint="-0.499984740745262"/>
        <rFont val="Calibri"/>
        <family val="2"/>
        <scheme val="minor"/>
      </rPr>
      <t>OBSERVAÇÃO</t>
    </r>
    <r>
      <rPr>
        <sz val="11"/>
        <color theme="0" tint="-0.499984740745262"/>
        <rFont val="Calibri"/>
        <family val="2"/>
        <scheme val="minor"/>
      </rPr>
      <t>:</t>
    </r>
    <r>
      <rPr>
        <sz val="11"/>
        <color theme="0" tint="-0.34998626667073579"/>
        <rFont val="Calibri"/>
        <family val="2"/>
        <scheme val="minor"/>
      </rPr>
      <t xml:space="preserve"> PREENCHER CÉDULAS DE FUNDO AZUL CLARO </t>
    </r>
  </si>
  <si>
    <t>TEMPO AO MEU FAVOR</t>
  </si>
  <si>
    <t>Aporte Mensal</t>
  </si>
  <si>
    <t xml:space="preserve">Rendimento anual </t>
  </si>
  <si>
    <t xml:space="preserve">Rendimento mensal </t>
  </si>
  <si>
    <t xml:space="preserve">Valor Inicial </t>
  </si>
  <si>
    <r>
      <t xml:space="preserve">OBSERVAÇÃO: </t>
    </r>
    <r>
      <rPr>
        <sz val="11"/>
        <color theme="0" tint="-0.499984740745262"/>
        <rFont val="Calibri"/>
        <family val="2"/>
        <scheme val="minor"/>
      </rPr>
      <t>PREENCHER CÉDULAS DE FUNDO AZUL CLARO</t>
    </r>
    <r>
      <rPr>
        <sz val="11"/>
        <color theme="1"/>
        <rFont val="Calibri"/>
        <family val="2"/>
        <scheme val="minor"/>
      </rPr>
      <t xml:space="preserve"> </t>
    </r>
  </si>
  <si>
    <t>Valor desejado</t>
  </si>
  <si>
    <t>FUNDOS IMOBILIÁRIOS</t>
  </si>
  <si>
    <t>XPML11</t>
  </si>
  <si>
    <t>ITSA4</t>
  </si>
  <si>
    <t>BBDC4</t>
  </si>
  <si>
    <t>TAEE11</t>
  </si>
  <si>
    <t>WEGE3</t>
  </si>
  <si>
    <t>GRND3</t>
  </si>
  <si>
    <t>FLRY3</t>
  </si>
  <si>
    <t>ENBR3</t>
  </si>
  <si>
    <t>RENDA FIXA</t>
  </si>
  <si>
    <t>QUANTO TEMPO?</t>
  </si>
  <si>
    <t>A ÚNICA VERDADE POSSÍVEL</t>
  </si>
  <si>
    <t xml:space="preserve">VALOR EM ANOS </t>
  </si>
  <si>
    <t>SELIC</t>
  </si>
  <si>
    <t>CDI</t>
  </si>
  <si>
    <t>TOTAL ACUMULADO</t>
  </si>
  <si>
    <t>INFLAÇÃO PADRÃO</t>
  </si>
  <si>
    <t>VALOR LIQUIDO MENSAL</t>
  </si>
  <si>
    <t>DIVIDEND YIELD</t>
  </si>
  <si>
    <t>ANUAL</t>
  </si>
  <si>
    <t>MENSAL</t>
  </si>
  <si>
    <t>VALORIZAÇÃO</t>
  </si>
  <si>
    <t>SOMA</t>
  </si>
  <si>
    <t>BCFF11</t>
  </si>
  <si>
    <t>AUMENTO ANUAL DAS EMPRESAS</t>
  </si>
  <si>
    <r>
      <rPr>
        <sz val="11"/>
        <color theme="10"/>
        <rFont val="Calibri"/>
        <family val="2"/>
        <scheme val="minor"/>
      </rPr>
      <t xml:space="preserve">                  </t>
    </r>
    <r>
      <rPr>
        <u/>
        <sz val="11"/>
        <color theme="10"/>
        <rFont val="Calibri"/>
        <family val="2"/>
        <scheme val="minor"/>
      </rPr>
      <t>INVESTIDOR SARDINHA</t>
    </r>
  </si>
  <si>
    <t>INVESTIDOR SARDINHA</t>
  </si>
  <si>
    <t>WIZS2</t>
  </si>
  <si>
    <t>VARIAÇÃO DA RENDA FIXA (MÊS)</t>
  </si>
  <si>
    <t>AUMENTO ANUAL DOS FIIS</t>
  </si>
  <si>
    <t>AUMENTO ANUAL GERAL</t>
  </si>
  <si>
    <t xml:space="preserve">DY GERAL MENSAL </t>
  </si>
  <si>
    <t>VARIAÇÃO AUMENTO MENSAL + DY</t>
  </si>
  <si>
    <t>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</si>
</sst>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&quot;R$&quot;\ #,##0.00"/>
    <numFmt numFmtId="166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0"/>
      <name val="Avenir Next LT Pro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Avenir Next LT Pro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1"/>
      <color rgb="FF00B050"/>
      <name val="Arial Black"/>
      <family val="2"/>
    </font>
    <font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0"/>
      </top>
      <bottom/>
      <diagonal/>
    </border>
    <border>
      <left style="hair">
        <color indexed="64"/>
      </left>
      <right style="hair">
        <color indexed="64"/>
      </right>
      <top style="thick">
        <color theme="0"/>
      </top>
      <bottom style="hair">
        <color indexed="64"/>
      </bottom>
      <diagonal/>
    </border>
    <border>
      <left style="hair">
        <color indexed="64"/>
      </left>
      <right/>
      <top style="thick">
        <color theme="0"/>
      </top>
      <bottom style="hair">
        <color indexed="64"/>
      </bottom>
      <diagonal/>
    </border>
    <border>
      <left/>
      <right/>
      <top style="thick">
        <color theme="0"/>
      </top>
      <bottom style="hair">
        <color indexed="64"/>
      </bottom>
      <diagonal/>
    </border>
    <border>
      <left/>
      <right style="hair">
        <color indexed="64"/>
      </right>
      <top style="thick">
        <color theme="0"/>
      </top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10" fontId="0" fillId="0" borderId="0" xfId="2" applyNumberFormat="1" applyFont="1"/>
    <xf numFmtId="165" fontId="0" fillId="0" borderId="0" xfId="0" applyNumberFormat="1"/>
    <xf numFmtId="0" fontId="0" fillId="0" borderId="0" xfId="0" applyBorder="1"/>
    <xf numFmtId="10" fontId="0" fillId="0" borderId="0" xfId="0" applyNumberFormat="1"/>
    <xf numFmtId="44" fontId="0" fillId="0" borderId="0" xfId="1" applyFont="1"/>
    <xf numFmtId="10" fontId="0" fillId="0" borderId="2" xfId="2" applyNumberFormat="1" applyFont="1" applyBorder="1"/>
    <xf numFmtId="0" fontId="2" fillId="3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0" fillId="6" borderId="0" xfId="0" applyFont="1" applyFill="1" applyBorder="1"/>
    <xf numFmtId="0" fontId="13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44" fontId="11" fillId="6" borderId="2" xfId="1" applyFont="1" applyFill="1" applyBorder="1" applyAlignment="1">
      <alignment horizontal="left" vertical="center"/>
    </xf>
    <xf numFmtId="164" fontId="12" fillId="6" borderId="2" xfId="0" applyNumberFormat="1" applyFont="1" applyFill="1" applyBorder="1" applyAlignment="1">
      <alignment horizontal="center" vertical="center"/>
    </xf>
    <xf numFmtId="10" fontId="9" fillId="6" borderId="2" xfId="0" applyNumberFormat="1" applyFont="1" applyFill="1" applyBorder="1"/>
    <xf numFmtId="0" fontId="0" fillId="6" borderId="0" xfId="0" applyFill="1" applyBorder="1" applyAlignment="1">
      <alignment vertical="top" wrapText="1"/>
    </xf>
    <xf numFmtId="0" fontId="0" fillId="6" borderId="0" xfId="0" applyFill="1" applyBorder="1" applyAlignment="1">
      <alignment horizontal="left" vertical="top" wrapText="1"/>
    </xf>
    <xf numFmtId="44" fontId="0" fillId="0" borderId="3" xfId="0" applyNumberFormat="1" applyBorder="1" applyAlignment="1">
      <alignment horizontal="center" vertical="center"/>
    </xf>
    <xf numFmtId="44" fontId="0" fillId="5" borderId="3" xfId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15" fillId="0" borderId="0" xfId="3" applyAlignment="1">
      <alignment horizontal="left" vertical="top"/>
    </xf>
    <xf numFmtId="0" fontId="0" fillId="4" borderId="3" xfId="0" applyFill="1" applyBorder="1" applyAlignment="1" applyProtection="1">
      <alignment horizontal="center" vertical="center"/>
      <protection locked="0"/>
    </xf>
    <xf numFmtId="44" fontId="0" fillId="4" borderId="2" xfId="1" applyFont="1" applyFill="1" applyBorder="1" applyProtection="1">
      <protection locked="0"/>
    </xf>
    <xf numFmtId="9" fontId="0" fillId="4" borderId="2" xfId="2" applyFont="1" applyFill="1" applyBorder="1" applyProtection="1">
      <protection locked="0"/>
    </xf>
    <xf numFmtId="0" fontId="3" fillId="0" borderId="0" xfId="0" applyFont="1" applyAlignment="1">
      <alignment horizontal="right" vertical="top" wrapText="1"/>
    </xf>
    <xf numFmtId="166" fontId="0" fillId="8" borderId="2" xfId="0" applyNumberFormat="1" applyFill="1" applyBorder="1" applyProtection="1">
      <protection locked="0"/>
    </xf>
    <xf numFmtId="0" fontId="15" fillId="0" borderId="0" xfId="3" applyAlignment="1">
      <alignment vertical="top"/>
    </xf>
    <xf numFmtId="0" fontId="15" fillId="0" borderId="0" xfId="3" applyAlignment="1">
      <alignment vertical="top" wrapText="1"/>
    </xf>
    <xf numFmtId="10" fontId="0" fillId="6" borderId="4" xfId="2" applyNumberFormat="1" applyFont="1" applyFill="1" applyBorder="1" applyAlignment="1" applyProtection="1">
      <alignment horizontal="center" vertical="center"/>
    </xf>
    <xf numFmtId="10" fontId="0" fillId="6" borderId="13" xfId="0" applyNumberFormat="1" applyFill="1" applyBorder="1" applyAlignment="1" applyProtection="1"/>
    <xf numFmtId="0" fontId="5" fillId="5" borderId="2" xfId="0" applyFont="1" applyFill="1" applyBorder="1" applyAlignment="1">
      <alignment horizontal="center"/>
    </xf>
    <xf numFmtId="44" fontId="5" fillId="5" borderId="2" xfId="0" applyNumberFormat="1" applyFont="1" applyFill="1" applyBorder="1" applyAlignment="1">
      <alignment horizontal="center"/>
    </xf>
    <xf numFmtId="10" fontId="5" fillId="5" borderId="2" xfId="2" applyNumberFormat="1" applyFont="1" applyFill="1" applyBorder="1"/>
    <xf numFmtId="10" fontId="5" fillId="5" borderId="2" xfId="0" applyNumberFormat="1" applyFont="1" applyFill="1" applyBorder="1" applyAlignment="1" applyProtection="1"/>
    <xf numFmtId="0" fontId="0" fillId="10" borderId="2" xfId="0" applyFill="1" applyBorder="1" applyAlignment="1" applyProtection="1">
      <alignment horizontal="center"/>
      <protection locked="0"/>
    </xf>
    <xf numFmtId="44" fontId="0" fillId="10" borderId="2" xfId="1" applyFont="1" applyFill="1" applyBorder="1" applyProtection="1">
      <protection locked="0"/>
    </xf>
    <xf numFmtId="166" fontId="0" fillId="10" borderId="2" xfId="0" applyNumberFormat="1" applyFill="1" applyBorder="1" applyProtection="1">
      <protection locked="0"/>
    </xf>
    <xf numFmtId="166" fontId="0" fillId="10" borderId="2" xfId="2" applyNumberFormat="1" applyFont="1" applyFill="1" applyBorder="1" applyProtection="1">
      <protection locked="0"/>
    </xf>
    <xf numFmtId="0" fontId="2" fillId="9" borderId="11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/>
    </xf>
    <xf numFmtId="10" fontId="0" fillId="6" borderId="11" xfId="0" applyNumberFormat="1" applyFill="1" applyBorder="1" applyAlignment="1" applyProtection="1">
      <alignment horizontal="right"/>
    </xf>
    <xf numFmtId="10" fontId="0" fillId="6" borderId="12" xfId="0" applyNumberFormat="1" applyFill="1" applyBorder="1" applyAlignment="1" applyProtection="1">
      <alignment horizontal="right"/>
    </xf>
    <xf numFmtId="10" fontId="0" fillId="6" borderId="13" xfId="0" applyNumberFormat="1" applyFill="1" applyBorder="1" applyAlignment="1" applyProtection="1">
      <alignment horizontal="right"/>
    </xf>
    <xf numFmtId="10" fontId="5" fillId="5" borderId="14" xfId="2" applyNumberFormat="1" applyFont="1" applyFill="1" applyBorder="1" applyAlignment="1">
      <alignment horizontal="center"/>
    </xf>
    <xf numFmtId="10" fontId="5" fillId="5" borderId="15" xfId="2" applyNumberFormat="1" applyFont="1" applyFill="1" applyBorder="1" applyAlignment="1">
      <alignment horizontal="center"/>
    </xf>
    <xf numFmtId="10" fontId="0" fillId="0" borderId="14" xfId="2" applyNumberFormat="1" applyFont="1" applyBorder="1" applyAlignment="1">
      <alignment horizontal="center"/>
    </xf>
    <xf numFmtId="10" fontId="0" fillId="0" borderId="15" xfId="2" applyNumberFormat="1" applyFont="1" applyBorder="1" applyAlignment="1">
      <alignment horizontal="center"/>
    </xf>
    <xf numFmtId="166" fontId="0" fillId="10" borderId="14" xfId="2" applyNumberFormat="1" applyFont="1" applyFill="1" applyBorder="1" applyAlignment="1" applyProtection="1">
      <alignment horizontal="center"/>
      <protection locked="0"/>
    </xf>
    <xf numFmtId="166" fontId="0" fillId="10" borderId="15" xfId="2" applyNumberFormat="1" applyFont="1" applyFill="1" applyBorder="1" applyAlignment="1" applyProtection="1">
      <alignment horizontal="center"/>
      <protection locked="0"/>
    </xf>
    <xf numFmtId="0" fontId="2" fillId="9" borderId="2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left" vertical="center"/>
    </xf>
    <xf numFmtId="10" fontId="0" fillId="6" borderId="11" xfId="2" applyNumberFormat="1" applyFont="1" applyFill="1" applyBorder="1" applyAlignment="1" applyProtection="1">
      <alignment horizontal="right"/>
    </xf>
    <xf numFmtId="10" fontId="0" fillId="6" borderId="12" xfId="2" applyNumberFormat="1" applyFont="1" applyFill="1" applyBorder="1" applyAlignment="1" applyProtection="1">
      <alignment horizontal="right"/>
    </xf>
    <xf numFmtId="10" fontId="0" fillId="6" borderId="13" xfId="2" applyNumberFormat="1" applyFont="1" applyFill="1" applyBorder="1" applyAlignment="1" applyProtection="1">
      <alignment horizontal="right"/>
    </xf>
    <xf numFmtId="10" fontId="0" fillId="0" borderId="11" xfId="0" applyNumberFormat="1" applyBorder="1" applyAlignment="1">
      <alignment horizontal="right"/>
    </xf>
    <xf numFmtId="10" fontId="0" fillId="0" borderId="12" xfId="0" applyNumberForma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0" fontId="1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15" fillId="0" borderId="0" xfId="3" applyAlignment="1">
      <alignment vertical="top" wrapText="1"/>
    </xf>
    <xf numFmtId="44" fontId="0" fillId="4" borderId="11" xfId="1" applyFont="1" applyFill="1" applyBorder="1" applyAlignment="1" applyProtection="1">
      <alignment horizontal="center"/>
      <protection locked="0"/>
    </xf>
    <xf numFmtId="44" fontId="0" fillId="4" borderId="12" xfId="1" applyFont="1" applyFill="1" applyBorder="1" applyAlignment="1" applyProtection="1">
      <alignment horizontal="center"/>
      <protection locked="0"/>
    </xf>
    <xf numFmtId="44" fontId="0" fillId="4" borderId="13" xfId="1" applyFont="1" applyFill="1" applyBorder="1" applyAlignment="1" applyProtection="1">
      <alignment horizontal="center"/>
      <protection locked="0"/>
    </xf>
    <xf numFmtId="0" fontId="14" fillId="7" borderId="0" xfId="0" applyFont="1" applyFill="1" applyBorder="1" applyAlignment="1">
      <alignment horizontal="center" vertical="center"/>
    </xf>
    <xf numFmtId="10" fontId="0" fillId="4" borderId="11" xfId="2" applyNumberFormat="1" applyFont="1" applyFill="1" applyBorder="1" applyAlignment="1" applyProtection="1">
      <alignment horizontal="right"/>
      <protection locked="0"/>
    </xf>
    <xf numFmtId="10" fontId="0" fillId="4" borderId="12" xfId="2" applyNumberFormat="1" applyFont="1" applyFill="1" applyBorder="1" applyAlignment="1" applyProtection="1">
      <alignment horizontal="right"/>
      <protection locked="0"/>
    </xf>
    <xf numFmtId="10" fontId="0" fillId="4" borderId="13" xfId="2" applyNumberFormat="1" applyFont="1" applyFill="1" applyBorder="1" applyAlignment="1" applyProtection="1">
      <alignment horizontal="right"/>
      <protection locked="0"/>
    </xf>
    <xf numFmtId="44" fontId="17" fillId="0" borderId="6" xfId="0" applyNumberFormat="1" applyFont="1" applyBorder="1" applyAlignment="1">
      <alignment horizontal="center" vertical="center"/>
    </xf>
    <xf numFmtId="44" fontId="17" fillId="0" borderId="5" xfId="0" applyNumberFormat="1" applyFont="1" applyBorder="1" applyAlignment="1">
      <alignment horizontal="center" vertical="center"/>
    </xf>
    <xf numFmtId="44" fontId="16" fillId="5" borderId="6" xfId="0" applyNumberFormat="1" applyFont="1" applyFill="1" applyBorder="1" applyAlignment="1">
      <alignment horizontal="center" vertical="center"/>
    </xf>
    <xf numFmtId="44" fontId="16" fillId="5" borderId="5" xfId="0" applyNumberFormat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0" fillId="6" borderId="0" xfId="0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left" vertical="center"/>
    </xf>
    <xf numFmtId="44" fontId="18" fillId="0" borderId="19" xfId="1" applyFont="1" applyBorder="1" applyAlignment="1">
      <alignment horizontal="center" vertical="center"/>
    </xf>
    <xf numFmtId="44" fontId="18" fillId="0" borderId="20" xfId="1" applyFont="1" applyBorder="1" applyAlignment="1">
      <alignment horizontal="center" vertical="center"/>
    </xf>
    <xf numFmtId="44" fontId="18" fillId="0" borderId="21" xfId="1" applyFont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channel/UCM3vJxmuJJkk1r0yzFI9eZ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investidorsardinha.r7.com/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vestidorsardinha.r7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41413</xdr:rowOff>
    </xdr:from>
    <xdr:to>
      <xdr:col>1</xdr:col>
      <xdr:colOff>487407</xdr:colOff>
      <xdr:row>1</xdr:row>
      <xdr:rowOff>361950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48" y="231913"/>
          <a:ext cx="398507" cy="320537"/>
        </a:xfrm>
        <a:prstGeom prst="rect">
          <a:avLst/>
        </a:prstGeom>
      </xdr:spPr>
    </xdr:pic>
    <xdr:clientData/>
  </xdr:twoCellAnchor>
  <xdr:oneCellAnchor>
    <xdr:from>
      <xdr:col>15</xdr:col>
      <xdr:colOff>72334</xdr:colOff>
      <xdr:row>1</xdr:row>
      <xdr:rowOff>51490</xdr:rowOff>
    </xdr:from>
    <xdr:ext cx="408057" cy="324317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4877" y="241990"/>
          <a:ext cx="408057" cy="324317"/>
        </a:xfrm>
        <a:prstGeom prst="rect">
          <a:avLst/>
        </a:prstGeom>
      </xdr:spPr>
    </xdr:pic>
    <xdr:clientData/>
  </xdr:oneCellAnchor>
  <xdr:twoCellAnchor>
    <xdr:from>
      <xdr:col>17</xdr:col>
      <xdr:colOff>373</xdr:colOff>
      <xdr:row>1</xdr:row>
      <xdr:rowOff>2240</xdr:rowOff>
    </xdr:from>
    <xdr:to>
      <xdr:col>18</xdr:col>
      <xdr:colOff>298824</xdr:colOff>
      <xdr:row>1</xdr:row>
      <xdr:rowOff>330386</xdr:rowOff>
    </xdr:to>
    <xdr:sp macro="" textlink="">
      <xdr:nvSpPr>
        <xdr:cNvPr id="4" name="Seta para a direita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2020549" y="47064"/>
          <a:ext cx="335804" cy="328146"/>
        </a:xfrm>
        <a:prstGeom prst="right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15</xdr:col>
      <xdr:colOff>20942</xdr:colOff>
      <xdr:row>17</xdr:row>
      <xdr:rowOff>12344</xdr:rowOff>
    </xdr:from>
    <xdr:ext cx="335860" cy="306457"/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354" y="3598226"/>
          <a:ext cx="335860" cy="306457"/>
        </a:xfrm>
        <a:prstGeom prst="rect">
          <a:avLst/>
        </a:prstGeom>
      </xdr:spPr>
    </xdr:pic>
    <xdr:clientData/>
  </xdr:oneCellAnchor>
  <xdr:twoCellAnchor editAs="oneCell">
    <xdr:from>
      <xdr:col>17</xdr:col>
      <xdr:colOff>14944</xdr:colOff>
      <xdr:row>3</xdr:row>
      <xdr:rowOff>164353</xdr:rowOff>
    </xdr:from>
    <xdr:to>
      <xdr:col>18</xdr:col>
      <xdr:colOff>560294</xdr:colOff>
      <xdr:row>6</xdr:row>
      <xdr:rowOff>140222</xdr:rowOff>
    </xdr:to>
    <xdr:pic>
      <xdr:nvPicPr>
        <xdr:cNvPr id="8" name="Imagem 7" descr="Criptomoedas vira tema 'proibido' no YouTube | Eu Quero Investir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5120" y="918882"/>
          <a:ext cx="582703" cy="558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66675</xdr:rowOff>
    </xdr:from>
    <xdr:ext cx="409575" cy="371475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257175"/>
          <a:ext cx="409575" cy="371475"/>
        </a:xfrm>
        <a:prstGeom prst="rect">
          <a:avLst/>
        </a:prstGeom>
      </xdr:spPr>
    </xdr:pic>
    <xdr:clientData/>
  </xdr:oneCellAnchor>
  <xdr:twoCellAnchor>
    <xdr:from>
      <xdr:col>5</xdr:col>
      <xdr:colOff>714375</xdr:colOff>
      <xdr:row>2</xdr:row>
      <xdr:rowOff>9525</xdr:rowOff>
    </xdr:from>
    <xdr:to>
      <xdr:col>5</xdr:col>
      <xdr:colOff>1009650</xdr:colOff>
      <xdr:row>3</xdr:row>
      <xdr:rowOff>123825</xdr:rowOff>
    </xdr:to>
    <xdr:sp macro="" textlink="">
      <xdr:nvSpPr>
        <xdr:cNvPr id="4" name="Seta para a direita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6515100" y="676275"/>
          <a:ext cx="295275" cy="314325"/>
        </a:xfrm>
        <a:prstGeom prst="righ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0"/>
  <sheetViews>
    <sheetView showGridLines="0" tabSelected="1" zoomScale="85" zoomScaleNormal="85" zoomScalePageLayoutView="85" workbookViewId="0">
      <selection activeCell="C7" sqref="C7"/>
    </sheetView>
  </sheetViews>
  <sheetFormatPr defaultRowHeight="15"/>
  <cols>
    <col min="1" max="1" width="0.42578125" customWidth="1"/>
    <col min="2" max="2" width="7.7109375" customWidth="1"/>
    <col min="3" max="3" width="18.7109375" customWidth="1"/>
    <col min="4" max="4" width="11" customWidth="1"/>
    <col min="5" max="5" width="10.140625" customWidth="1"/>
    <col min="6" max="6" width="10.85546875" customWidth="1"/>
    <col min="7" max="7" width="10.140625" customWidth="1"/>
    <col min="8" max="8" width="0.28515625" customWidth="1"/>
    <col min="9" max="9" width="10.140625" customWidth="1"/>
    <col min="10" max="10" width="15.140625" customWidth="1"/>
    <col min="11" max="11" width="9.42578125" customWidth="1"/>
    <col min="12" max="12" width="9.7109375" customWidth="1"/>
    <col min="13" max="13" width="8.85546875" customWidth="1"/>
    <col min="14" max="14" width="11.5703125" customWidth="1"/>
    <col min="15" max="15" width="0.42578125" customWidth="1"/>
    <col min="16" max="16" width="18.5703125" customWidth="1"/>
    <col min="17" max="17" width="19.140625" bestFit="1" customWidth="1"/>
    <col min="18" max="18" width="0.5703125" customWidth="1"/>
    <col min="19" max="19" width="17" customWidth="1"/>
    <col min="20" max="20" width="18.85546875" customWidth="1"/>
  </cols>
  <sheetData>
    <row r="1" spans="2:21" ht="3.6" customHeight="1"/>
    <row r="2" spans="2:21" ht="36" customHeight="1" thickBot="1">
      <c r="B2" s="71" t="s">
        <v>30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P2" s="64" t="s">
        <v>5</v>
      </c>
      <c r="Q2" s="65"/>
      <c r="S2" s="66" t="s">
        <v>11</v>
      </c>
    </row>
    <row r="3" spans="2:21" ht="24" customHeight="1" thickTop="1">
      <c r="B3" s="89" t="s">
        <v>52</v>
      </c>
      <c r="C3" s="89"/>
      <c r="D3" s="89"/>
      <c r="E3" s="89"/>
      <c r="F3" s="89"/>
      <c r="G3" s="89"/>
      <c r="I3" s="90" t="s">
        <v>4</v>
      </c>
      <c r="J3" s="90"/>
      <c r="K3" s="90"/>
      <c r="L3" s="91">
        <f>SUM(C7:C31,J19:J28,J35:J39)</f>
        <v>61000</v>
      </c>
      <c r="M3" s="92"/>
      <c r="N3" s="93"/>
      <c r="P3" s="20" t="s">
        <v>1</v>
      </c>
      <c r="Q3" s="20" t="s">
        <v>2</v>
      </c>
      <c r="S3" s="66"/>
      <c r="U3" s="8"/>
    </row>
    <row r="4" spans="2:21" ht="15.75">
      <c r="B4" s="65"/>
      <c r="C4" s="65"/>
      <c r="D4" s="65"/>
      <c r="E4" s="65"/>
      <c r="F4" s="65"/>
      <c r="G4" s="65"/>
      <c r="H4" s="1"/>
      <c r="I4" s="57" t="s">
        <v>50</v>
      </c>
      <c r="J4" s="57"/>
      <c r="K4" s="57"/>
      <c r="L4" s="58">
        <f>SUM((E7*C7)/(C32+J29),(E8*C8)/(C32+J29),(E9*C9)/(C32+J29),(E10*C10)/(C32+J29),(E11*C11)/(C32+J29),(E12*C12)/(C32+J29),(E13*C13)/(C32+J29),(E14*C14)/(C32+J29),(E15*C15)/(C32+J29),(E16*C16)/(C32+J29),(E17*C17)/(C32+J29),(E18*C18)/(C32+J29),(E19*C19)/(C32+J29),(E20*C20)/(C32+J29),(E21*C21)/(C32+J29),(E22*C22)/(C32+J29),(E23*C23)/(C32+J29),(E112*C24)/(C32+J29),(E25*C25)/(C32+J29),(E26*C26)/(C32+J29),(E27*C27)/(C32+J29),(E28*C28)/(C32+J29),(E29*C29)/(C32+J29),(E30*C30)/(C32+J29),(E31*C31)/(C32+J29),(L19*J19)/(C32+J29), (L20*J20)/(C32+J29),(L21*J21)/(C32+J29),(L22*J22)/(C32+J29),(L23*J23)/(C32+J29),(L24*J24)/(C32+J29),(L25*J25)/(C32+J29),(L26*J26)/(C32+J29),(L27*J27)/(C32+J29),(L28*J28)/(C32+J29))</f>
        <v>5.5384135992943562E-3</v>
      </c>
      <c r="M4" s="59"/>
      <c r="N4" s="60"/>
      <c r="P4" s="5">
        <v>1000</v>
      </c>
      <c r="Q4" s="2">
        <f t="shared" ref="Q4:Q11" si="0">P4/$L$8</f>
        <v>56414.581646150458</v>
      </c>
      <c r="S4" s="66"/>
      <c r="U4" s="8"/>
    </row>
    <row r="5" spans="2:21" ht="15.75">
      <c r="B5" s="53" t="s">
        <v>0</v>
      </c>
      <c r="C5" s="53" t="s">
        <v>3</v>
      </c>
      <c r="D5" s="53" t="s">
        <v>37</v>
      </c>
      <c r="E5" s="53"/>
      <c r="F5" s="53" t="s">
        <v>40</v>
      </c>
      <c r="G5" s="53"/>
      <c r="H5" s="1"/>
      <c r="I5" s="57" t="s">
        <v>43</v>
      </c>
      <c r="J5" s="57"/>
      <c r="K5" s="57"/>
      <c r="L5" s="44">
        <f>SUM((F7*C7)/C32,(F8*C8)/C32,(F9*C9)/C32,(F10*C10)/C32,(F11*C11)/C32,(F12*C12)/C32,(F13*C13)/C32,(F14*C14)/C32,(F15*C15)/C32,(F16*C16)/C32,(F17*C17)/C32,(F18*C18)/C32,(F19*C19)/C32,(F20*C20)/C32,(F21*C21)/C32,(F22*C22)/C32,(F23*C23)/C32,(F112*C24)/C32,(F25*C25)/C32,(F26*C26)/C32,(F27*C27)/C32,(F28*C28)/C32,(F29*C29)/C32,(F30*C30)/C32,(F31*C31)/C32)</f>
        <v>0.15193548387096775</v>
      </c>
      <c r="M5" s="45"/>
      <c r="N5" s="46"/>
      <c r="P5" s="5">
        <v>2000</v>
      </c>
      <c r="Q5" s="2">
        <f t="shared" si="0"/>
        <v>112829.16329230092</v>
      </c>
    </row>
    <row r="6" spans="2:21" ht="15.6" customHeight="1">
      <c r="B6" s="53"/>
      <c r="C6" s="53"/>
      <c r="D6" s="20" t="s">
        <v>38</v>
      </c>
      <c r="E6" s="20" t="s">
        <v>39</v>
      </c>
      <c r="F6" s="20" t="s">
        <v>38</v>
      </c>
      <c r="G6" s="20" t="s">
        <v>39</v>
      </c>
      <c r="I6" s="41" t="s">
        <v>48</v>
      </c>
      <c r="J6" s="42"/>
      <c r="K6" s="43"/>
      <c r="L6" s="44">
        <f>SUM((M19*J19)/J29,(M20*J20)/J29,(M21*J21)/J29,(M22*J22)/J29,(M23*J23)/J29,(M24*J24)/J29,(M25*J25)/J29,(M26*J26)/J29,(M27*J27)/J29,(M28*J28)/J29)</f>
        <v>0.13588235294117648</v>
      </c>
      <c r="M6" s="45"/>
      <c r="N6" s="46"/>
      <c r="P6" s="5">
        <v>5000</v>
      </c>
      <c r="Q6" s="2">
        <f t="shared" si="0"/>
        <v>282072.90823075228</v>
      </c>
      <c r="S6" s="30" t="s">
        <v>44</v>
      </c>
      <c r="T6" s="30"/>
    </row>
    <row r="7" spans="2:21" ht="15.6" customHeight="1">
      <c r="B7" s="37" t="s">
        <v>21</v>
      </c>
      <c r="C7" s="38">
        <v>1000</v>
      </c>
      <c r="D7" s="39">
        <v>5.6000000000000001E-2</v>
      </c>
      <c r="E7" s="6">
        <f>IF(D7=0,,(1+D7)^(1/12)-1)</f>
        <v>4.5510066248739545E-3</v>
      </c>
      <c r="F7" s="39">
        <v>0.05</v>
      </c>
      <c r="G7" s="6">
        <f>IF(F7=0,,(1+F7)^(1/12)-1)</f>
        <v>4.0741237836483535E-3</v>
      </c>
      <c r="I7" s="41" t="s">
        <v>49</v>
      </c>
      <c r="J7" s="42"/>
      <c r="K7" s="43"/>
      <c r="L7" s="44">
        <f>SUM((F7*C7)/(C32+J29),(F8*C8)/(C32+J29),(F9*C9)/(C32+J29),,(F10*C10)/(C32+J29),(F11*C11)/(C32+J29),(F12*C12)/(C32+J29),(F13*C13)/(C32+J29),(F14*C14)/(C32+J29),(F15*C15)/(C32+J29),(F16*C16)/(C32+J29),(F17*C17)/(C32+J29),(F18*C18)/(C32+J29),(F19*C19)/(C32+J29),(F20*C20)/(C32+J29),(F21*C21)/(C32+J29),(F22*C22)/(C32+J29),(F23*C23)/(C32+J29),(F112*C24)/(C32+J29),(F25*C25)/C32,(F26*C26)/(C32+J29),(F27*C27)/(C32+J29),(F28*C28)/C32,(F29*C29)/(C32+J29),(F30*C30)/C32,(F31*C31)/(C32+J29),(M19*J19)/(C32+J29),(M20*J20)/(C32+J29),(M21*J21)/(C32+J29),(M22*J22)/(C32+J29),(M23*J23)/(C32+J29),(M24*J24)/(C32+J29),(M25*J25)/(C32+J29),(M26*J26)/(C32+J29),(M27*J27)/(C32+J29),(M28*J28)/(C32+J29))</f>
        <v>0.14624999999999999</v>
      </c>
      <c r="M7" s="45"/>
      <c r="N7" s="46"/>
      <c r="P7" s="5">
        <v>10000</v>
      </c>
      <c r="Q7" s="2">
        <f t="shared" si="0"/>
        <v>564145.81646150455</v>
      </c>
      <c r="S7" s="30"/>
      <c r="T7" s="30"/>
      <c r="U7" s="29"/>
    </row>
    <row r="8" spans="2:21" ht="15" customHeight="1">
      <c r="B8" s="37" t="s">
        <v>22</v>
      </c>
      <c r="C8" s="38">
        <v>3000</v>
      </c>
      <c r="D8" s="39">
        <v>0.09</v>
      </c>
      <c r="E8" s="6">
        <f t="shared" ref="E8:E31" si="1">IF(D8=0,,(1+D8)^(1/12)-1)</f>
        <v>7.2073233161367156E-3</v>
      </c>
      <c r="F8" s="39">
        <v>0.15</v>
      </c>
      <c r="G8" s="6">
        <f t="shared" ref="G8:G32" si="2">IF(F8=0,,(1+F8)^(1/12)-1)</f>
        <v>1.171491691985338E-2</v>
      </c>
      <c r="I8" s="57" t="s">
        <v>51</v>
      </c>
      <c r="J8" s="57"/>
      <c r="K8" s="57"/>
      <c r="L8" s="61">
        <f>L4+(L7/12)</f>
        <v>1.7725913599294353E-2</v>
      </c>
      <c r="M8" s="62"/>
      <c r="N8" s="63"/>
      <c r="P8" s="5">
        <v>15000</v>
      </c>
      <c r="Q8" s="2">
        <f t="shared" si="0"/>
        <v>846218.72469225689</v>
      </c>
      <c r="S8" s="67" t="s">
        <v>45</v>
      </c>
      <c r="T8" s="67"/>
      <c r="U8" s="29"/>
    </row>
    <row r="9" spans="2:21" ht="15" customHeight="1">
      <c r="B9" s="37" t="s">
        <v>23</v>
      </c>
      <c r="C9" s="38">
        <v>4000</v>
      </c>
      <c r="D9" s="40">
        <v>0.11</v>
      </c>
      <c r="E9" s="6">
        <f t="shared" si="1"/>
        <v>8.7345938235519061E-3</v>
      </c>
      <c r="F9" s="40">
        <v>0.14000000000000001</v>
      </c>
      <c r="G9" s="6">
        <f t="shared" si="2"/>
        <v>1.0978851950173452E-2</v>
      </c>
      <c r="I9" s="57" t="s">
        <v>47</v>
      </c>
      <c r="J9" s="57"/>
      <c r="K9" s="57"/>
      <c r="L9" s="58">
        <f>SUM((M35*J35)/J40,(M36*J36)/J40,(M37*J37)/J40,(M38*J38)/J40,(M39*J39)/J40)</f>
        <v>5.1700870353669813E-3</v>
      </c>
      <c r="M9" s="59"/>
      <c r="N9" s="60"/>
      <c r="P9" s="5">
        <v>20000</v>
      </c>
      <c r="Q9" s="2">
        <f t="shared" si="0"/>
        <v>1128291.6329230091</v>
      </c>
      <c r="S9" s="67"/>
      <c r="T9" s="67"/>
    </row>
    <row r="10" spans="2:21" ht="15.75">
      <c r="B10" s="37" t="s">
        <v>24</v>
      </c>
      <c r="C10" s="38">
        <v>5000</v>
      </c>
      <c r="D10" s="40">
        <v>0.04</v>
      </c>
      <c r="E10" s="6">
        <f t="shared" si="1"/>
        <v>3.2737397821989145E-3</v>
      </c>
      <c r="F10" s="40">
        <v>0.17</v>
      </c>
      <c r="G10" s="6">
        <f t="shared" si="2"/>
        <v>1.3169611131462311E-2</v>
      </c>
      <c r="I10" s="41" t="s">
        <v>35</v>
      </c>
      <c r="J10" s="42"/>
      <c r="K10" s="43"/>
      <c r="L10" s="72">
        <v>3.44E-2</v>
      </c>
      <c r="M10" s="73"/>
      <c r="N10" s="74"/>
      <c r="P10" s="5">
        <v>30000</v>
      </c>
      <c r="Q10" s="2">
        <f t="shared" si="0"/>
        <v>1692437.4493845138</v>
      </c>
      <c r="S10" s="27"/>
    </row>
    <row r="11" spans="2:21" ht="15" customHeight="1">
      <c r="B11" s="37" t="s">
        <v>25</v>
      </c>
      <c r="C11" s="38">
        <v>3000</v>
      </c>
      <c r="D11" s="40">
        <v>0.04</v>
      </c>
      <c r="E11" s="6">
        <f t="shared" si="1"/>
        <v>3.2737397821989145E-3</v>
      </c>
      <c r="F11" s="40">
        <v>0.12</v>
      </c>
      <c r="G11" s="6">
        <f t="shared" si="2"/>
        <v>9.4887929345830457E-3</v>
      </c>
      <c r="I11" s="41" t="s">
        <v>36</v>
      </c>
      <c r="J11" s="42"/>
      <c r="K11" s="43"/>
      <c r="L11" s="61">
        <f>L8-(L10/12)</f>
        <v>1.4859246932627686E-2</v>
      </c>
      <c r="M11" s="62"/>
      <c r="N11" s="63"/>
      <c r="O11" s="9"/>
      <c r="P11" s="5">
        <v>50000</v>
      </c>
      <c r="Q11" s="2">
        <f t="shared" si="0"/>
        <v>2820729.0823075227</v>
      </c>
      <c r="S11" s="27"/>
    </row>
    <row r="12" spans="2:21" ht="15.75">
      <c r="B12" s="37" t="s">
        <v>26</v>
      </c>
      <c r="C12" s="38">
        <v>6000</v>
      </c>
      <c r="D12" s="40">
        <v>7.0000000000000007E-2</v>
      </c>
      <c r="E12" s="6">
        <f t="shared" si="1"/>
        <v>5.6541453874052738E-3</v>
      </c>
      <c r="F12" s="40">
        <v>0.17</v>
      </c>
      <c r="G12" s="6">
        <f t="shared" si="2"/>
        <v>1.3169611131462311E-2</v>
      </c>
      <c r="I12" s="41" t="s">
        <v>36</v>
      </c>
      <c r="J12" s="42"/>
      <c r="K12" s="43"/>
      <c r="L12" s="61">
        <f>((1+L11)*(1+L11)*(1+L11)*(1+L11)*(1+L11)*(1+L11)*(1+L11)*(1+L11)*(1+L11)*(1+L11)*(1+L11)*(1+L11))-1</f>
        <v>0.19363008911647905</v>
      </c>
      <c r="M12" s="62"/>
      <c r="N12" s="63"/>
      <c r="O12" s="9"/>
    </row>
    <row r="13" spans="2:21" ht="15.75" customHeight="1">
      <c r="B13" s="37" t="s">
        <v>27</v>
      </c>
      <c r="C13" s="38">
        <v>5000</v>
      </c>
      <c r="D13" s="40">
        <v>0.06</v>
      </c>
      <c r="E13" s="6">
        <f t="shared" si="1"/>
        <v>4.8675505653430484E-3</v>
      </c>
      <c r="F13" s="40">
        <v>0.18</v>
      </c>
      <c r="G13" s="6">
        <f t="shared" si="2"/>
        <v>1.3888430348409919E-2</v>
      </c>
      <c r="H13" s="4"/>
      <c r="I13" s="57" t="s">
        <v>6</v>
      </c>
      <c r="J13" s="57"/>
      <c r="K13" s="57"/>
      <c r="L13" s="68">
        <v>5000</v>
      </c>
      <c r="M13" s="69"/>
      <c r="N13" s="70"/>
      <c r="O13" s="9"/>
      <c r="P13" s="79" t="s">
        <v>7</v>
      </c>
      <c r="Q13" s="82" t="s">
        <v>2</v>
      </c>
    </row>
    <row r="14" spans="2:21" s="3" customFormat="1" ht="15.75" customHeight="1">
      <c r="B14" s="37" t="s">
        <v>46</v>
      </c>
      <c r="C14" s="38">
        <v>4000</v>
      </c>
      <c r="D14" s="40">
        <v>0.06</v>
      </c>
      <c r="E14" s="6">
        <f t="shared" si="1"/>
        <v>4.8675505653430484E-3</v>
      </c>
      <c r="F14" s="40">
        <v>0.13</v>
      </c>
      <c r="G14" s="6">
        <f t="shared" si="2"/>
        <v>1.02368443581764E-2</v>
      </c>
      <c r="I14"/>
      <c r="J14"/>
      <c r="K14"/>
      <c r="L14" s="1"/>
      <c r="M14" s="1"/>
      <c r="N14"/>
      <c r="O14" s="9"/>
      <c r="P14" s="80"/>
      <c r="Q14" s="83"/>
      <c r="S14"/>
      <c r="T14"/>
    </row>
    <row r="15" spans="2:21">
      <c r="B15" s="37"/>
      <c r="C15" s="38"/>
      <c r="D15" s="40"/>
      <c r="E15" s="6">
        <f t="shared" si="1"/>
        <v>0</v>
      </c>
      <c r="F15" s="40"/>
      <c r="G15" s="6">
        <f t="shared" si="2"/>
        <v>0</v>
      </c>
      <c r="H15" s="1"/>
      <c r="I15" s="88" t="s">
        <v>19</v>
      </c>
      <c r="J15" s="88"/>
      <c r="K15" s="88"/>
      <c r="L15" s="88"/>
      <c r="M15" s="88"/>
      <c r="N15" s="88"/>
      <c r="P15" s="75">
        <f>L13</f>
        <v>5000</v>
      </c>
      <c r="Q15" s="77">
        <f>P15/L4</f>
        <v>902785.59200364619</v>
      </c>
      <c r="S15" s="3"/>
      <c r="T15" s="3"/>
    </row>
    <row r="16" spans="2:21" ht="14.45" customHeight="1">
      <c r="B16" s="37"/>
      <c r="C16" s="38"/>
      <c r="D16" s="40"/>
      <c r="E16" s="6">
        <f t="shared" si="1"/>
        <v>0</v>
      </c>
      <c r="F16" s="40"/>
      <c r="G16" s="6">
        <f t="shared" si="2"/>
        <v>0</v>
      </c>
      <c r="I16" s="65"/>
      <c r="J16" s="65"/>
      <c r="K16" s="65"/>
      <c r="L16" s="65"/>
      <c r="M16" s="65"/>
      <c r="N16" s="65"/>
      <c r="P16" s="76"/>
      <c r="Q16" s="78"/>
    </row>
    <row r="17" spans="2:19" ht="14.45" customHeight="1">
      <c r="B17" s="37"/>
      <c r="C17" s="38"/>
      <c r="D17" s="40"/>
      <c r="E17" s="6">
        <f t="shared" si="1"/>
        <v>0</v>
      </c>
      <c r="F17" s="40"/>
      <c r="G17" s="6">
        <f t="shared" si="2"/>
        <v>0</v>
      </c>
      <c r="I17" s="53" t="s">
        <v>0</v>
      </c>
      <c r="J17" s="53" t="s">
        <v>3</v>
      </c>
      <c r="K17" s="53" t="s">
        <v>37</v>
      </c>
      <c r="L17" s="53"/>
      <c r="M17" s="53" t="s">
        <v>40</v>
      </c>
      <c r="N17" s="53"/>
      <c r="R17" s="23"/>
      <c r="S17" s="23"/>
    </row>
    <row r="18" spans="2:19" ht="14.45" customHeight="1">
      <c r="B18" s="37"/>
      <c r="C18" s="38"/>
      <c r="D18" s="40"/>
      <c r="E18" s="6">
        <f t="shared" si="1"/>
        <v>0</v>
      </c>
      <c r="F18" s="40"/>
      <c r="G18" s="6">
        <f t="shared" si="2"/>
        <v>0</v>
      </c>
      <c r="I18" s="53"/>
      <c r="J18" s="53"/>
      <c r="K18" s="20" t="s">
        <v>38</v>
      </c>
      <c r="L18" s="20" t="s">
        <v>39</v>
      </c>
      <c r="M18" s="20" t="s">
        <v>38</v>
      </c>
      <c r="N18" s="20" t="s">
        <v>39</v>
      </c>
      <c r="P18" s="81" t="s">
        <v>29</v>
      </c>
      <c r="Q18" s="81"/>
      <c r="R18" s="23"/>
      <c r="S18" s="23"/>
    </row>
    <row r="19" spans="2:19" ht="14.45" customHeight="1">
      <c r="B19" s="37"/>
      <c r="C19" s="38"/>
      <c r="D19" s="40"/>
      <c r="E19" s="6">
        <f t="shared" si="1"/>
        <v>0</v>
      </c>
      <c r="F19" s="40"/>
      <c r="G19" s="6">
        <f t="shared" si="2"/>
        <v>0</v>
      </c>
      <c r="I19" s="37" t="s">
        <v>20</v>
      </c>
      <c r="J19" s="38">
        <v>5000</v>
      </c>
      <c r="K19" s="40">
        <v>7.0000000000000007E-2</v>
      </c>
      <c r="L19" s="6">
        <f t="shared" ref="L19:N29" si="3">IF(K19=0,,(1+K19)^(1/12)-1)</f>
        <v>5.6541453874052738E-3</v>
      </c>
      <c r="M19" s="28">
        <v>0.15</v>
      </c>
      <c r="N19" s="6">
        <f t="shared" si="3"/>
        <v>1.171491691985338E-2</v>
      </c>
      <c r="P19" s="81"/>
      <c r="Q19" s="81"/>
    </row>
    <row r="20" spans="2:19" ht="14.45" customHeight="1">
      <c r="B20" s="37"/>
      <c r="C20" s="38"/>
      <c r="D20" s="40"/>
      <c r="E20" s="6">
        <f t="shared" si="1"/>
        <v>0</v>
      </c>
      <c r="F20" s="40"/>
      <c r="G20" s="6">
        <f t="shared" si="2"/>
        <v>0</v>
      </c>
      <c r="I20" s="37" t="s">
        <v>42</v>
      </c>
      <c r="J20" s="38">
        <v>12000</v>
      </c>
      <c r="K20" s="40">
        <v>7.4999999999999997E-2</v>
      </c>
      <c r="L20" s="6">
        <f t="shared" si="3"/>
        <v>6.0449190242917172E-3</v>
      </c>
      <c r="M20" s="28">
        <v>0.13</v>
      </c>
      <c r="N20" s="6">
        <f t="shared" si="3"/>
        <v>1.02368443581764E-2</v>
      </c>
      <c r="P20" s="21" t="s">
        <v>8</v>
      </c>
      <c r="Q20" s="31">
        <f>L11</f>
        <v>1.4859246932627686E-2</v>
      </c>
    </row>
    <row r="21" spans="2:19" ht="14.45" customHeight="1">
      <c r="B21" s="37"/>
      <c r="C21" s="38"/>
      <c r="D21" s="40"/>
      <c r="E21" s="6">
        <f t="shared" si="1"/>
        <v>0</v>
      </c>
      <c r="F21" s="40"/>
      <c r="G21" s="6">
        <f t="shared" si="2"/>
        <v>0</v>
      </c>
      <c r="I21" s="37"/>
      <c r="J21" s="38"/>
      <c r="K21" s="40"/>
      <c r="L21" s="6">
        <f t="shared" si="3"/>
        <v>0</v>
      </c>
      <c r="M21" s="28"/>
      <c r="N21" s="6">
        <f t="shared" si="3"/>
        <v>0</v>
      </c>
      <c r="P21" s="22" t="s">
        <v>10</v>
      </c>
      <c r="Q21" s="24">
        <v>20</v>
      </c>
    </row>
    <row r="22" spans="2:19" ht="14.45" customHeight="1">
      <c r="B22" s="37"/>
      <c r="C22" s="38"/>
      <c r="D22" s="40"/>
      <c r="E22" s="6">
        <f t="shared" si="1"/>
        <v>0</v>
      </c>
      <c r="F22" s="40"/>
      <c r="G22" s="6">
        <f t="shared" si="2"/>
        <v>0</v>
      </c>
      <c r="I22" s="37"/>
      <c r="J22" s="38"/>
      <c r="K22" s="40"/>
      <c r="L22" s="6">
        <f t="shared" si="3"/>
        <v>0</v>
      </c>
      <c r="M22" s="28"/>
      <c r="N22" s="6">
        <f t="shared" si="3"/>
        <v>0</v>
      </c>
      <c r="P22" s="22" t="s">
        <v>34</v>
      </c>
      <c r="Q22" s="18">
        <f>Q15</f>
        <v>902785.59200364619</v>
      </c>
    </row>
    <row r="23" spans="2:19" ht="14.45" customHeight="1">
      <c r="B23" s="37"/>
      <c r="C23" s="38"/>
      <c r="D23" s="40"/>
      <c r="E23" s="6">
        <f t="shared" si="1"/>
        <v>0</v>
      </c>
      <c r="F23" s="40"/>
      <c r="G23" s="6">
        <f t="shared" si="2"/>
        <v>0</v>
      </c>
      <c r="I23" s="37"/>
      <c r="J23" s="38"/>
      <c r="K23" s="40"/>
      <c r="L23" s="6">
        <f t="shared" si="3"/>
        <v>0</v>
      </c>
      <c r="M23" s="28"/>
      <c r="N23" s="6">
        <f t="shared" si="3"/>
        <v>0</v>
      </c>
      <c r="P23" s="22" t="s">
        <v>9</v>
      </c>
      <c r="Q23" s="19">
        <f>IFERROR(PMT(Q20,Q21*12,,Q22)*-1,"INCOMPLETO")</f>
        <v>400.84198908897798</v>
      </c>
    </row>
    <row r="24" spans="2:19">
      <c r="B24" s="37"/>
      <c r="C24" s="38"/>
      <c r="D24" s="40"/>
      <c r="E24" s="6">
        <f t="shared" si="1"/>
        <v>0</v>
      </c>
      <c r="F24" s="40"/>
      <c r="G24" s="6">
        <f t="shared" si="2"/>
        <v>0</v>
      </c>
      <c r="I24" s="37"/>
      <c r="J24" s="38"/>
      <c r="K24" s="40"/>
      <c r="L24" s="6">
        <f t="shared" si="3"/>
        <v>0</v>
      </c>
      <c r="M24" s="28"/>
      <c r="N24" s="6">
        <f t="shared" si="3"/>
        <v>0</v>
      </c>
    </row>
    <row r="25" spans="2:19" ht="14.45" customHeight="1">
      <c r="B25" s="37"/>
      <c r="C25" s="38"/>
      <c r="D25" s="40"/>
      <c r="E25" s="6">
        <f t="shared" si="1"/>
        <v>0</v>
      </c>
      <c r="F25" s="40"/>
      <c r="G25" s="6">
        <f t="shared" si="2"/>
        <v>0</v>
      </c>
      <c r="I25" s="37"/>
      <c r="J25" s="38"/>
      <c r="K25" s="40"/>
      <c r="L25" s="6">
        <f t="shared" si="3"/>
        <v>0</v>
      </c>
      <c r="M25" s="28"/>
      <c r="N25" s="6">
        <f t="shared" si="3"/>
        <v>0</v>
      </c>
    </row>
    <row r="26" spans="2:19" ht="14.45" customHeight="1">
      <c r="B26" s="37"/>
      <c r="C26" s="38"/>
      <c r="D26" s="40"/>
      <c r="E26" s="6">
        <f t="shared" si="1"/>
        <v>0</v>
      </c>
      <c r="F26" s="40"/>
      <c r="G26" s="6">
        <f t="shared" si="2"/>
        <v>0</v>
      </c>
      <c r="I26" s="37"/>
      <c r="J26" s="38"/>
      <c r="K26" s="40"/>
      <c r="L26" s="6">
        <f t="shared" si="3"/>
        <v>0</v>
      </c>
      <c r="M26" s="28"/>
      <c r="N26" s="6">
        <f t="shared" si="3"/>
        <v>0</v>
      </c>
    </row>
    <row r="27" spans="2:19">
      <c r="B27" s="37"/>
      <c r="C27" s="38"/>
      <c r="D27" s="40"/>
      <c r="E27" s="6">
        <f t="shared" si="1"/>
        <v>0</v>
      </c>
      <c r="F27" s="40"/>
      <c r="G27" s="6">
        <f t="shared" si="2"/>
        <v>0</v>
      </c>
      <c r="I27" s="37"/>
      <c r="J27" s="38"/>
      <c r="K27" s="40"/>
      <c r="L27" s="6">
        <f t="shared" si="3"/>
        <v>0</v>
      </c>
      <c r="M27" s="28"/>
      <c r="N27" s="6">
        <f t="shared" si="3"/>
        <v>0</v>
      </c>
    </row>
    <row r="28" spans="2:19">
      <c r="B28" s="37"/>
      <c r="C28" s="38"/>
      <c r="D28" s="40"/>
      <c r="E28" s="6">
        <f t="shared" si="1"/>
        <v>0</v>
      </c>
      <c r="F28" s="40"/>
      <c r="G28" s="6">
        <f t="shared" si="2"/>
        <v>0</v>
      </c>
      <c r="I28" s="37"/>
      <c r="J28" s="38"/>
      <c r="K28" s="40"/>
      <c r="L28" s="6">
        <f t="shared" si="3"/>
        <v>0</v>
      </c>
      <c r="M28" s="28"/>
      <c r="N28" s="6">
        <f t="shared" si="3"/>
        <v>0</v>
      </c>
    </row>
    <row r="29" spans="2:19">
      <c r="B29" s="37"/>
      <c r="C29" s="38"/>
      <c r="D29" s="40"/>
      <c r="E29" s="6">
        <f t="shared" si="1"/>
        <v>0</v>
      </c>
      <c r="F29" s="40"/>
      <c r="G29" s="6">
        <f t="shared" si="2"/>
        <v>0</v>
      </c>
      <c r="I29" s="33" t="s">
        <v>41</v>
      </c>
      <c r="J29" s="34">
        <f>SUM(J19:J28)</f>
        <v>17000</v>
      </c>
      <c r="K29" s="35">
        <f>SUM((K19*J19)/J29, (K20*J20)/J29,(K21*J21)/(J29),(K22*J22)/(J29),(K23*J23)/(J29),(K24*J24)/(J29),(K25*J25)/(J29),(K26*J26)/(J29),(K27*J27)/(J29),(K28*J28)/(J29))</f>
        <v>7.3529411764705885E-2</v>
      </c>
      <c r="L29" s="35">
        <f>SUM((L19*J19)/J29, (L20*J20)/J29,(L21*J21)/(J29),(L22*J22)/(J29),(L23*J23)/(J29),(L24*J24)/(J29),(L25*J25)/(J29),(L26*J26)/(J29),(L27*J27)/(J29),(L28*J28)/(J29))</f>
        <v>5.9299856016780585E-3</v>
      </c>
      <c r="M29" s="35">
        <f>SUM((M19*J19)/J29,(M20*J20)/J29,(M21*J21)/J29,(M22*J22)/J29,(M23*J23)/J29,(M24*J24)/J29,(M25*J25)/J29,(M26*J26)/J29,(M27*J27)/J29,(M28*J28)/J29)</f>
        <v>0.13588235294117648</v>
      </c>
      <c r="N29" s="35">
        <f t="shared" si="3"/>
        <v>1.0674044816301853E-2</v>
      </c>
    </row>
    <row r="30" spans="2:19">
      <c r="B30" s="37"/>
      <c r="C30" s="38"/>
      <c r="D30" s="40"/>
      <c r="E30" s="6">
        <f t="shared" si="1"/>
        <v>0</v>
      </c>
      <c r="F30" s="40"/>
      <c r="G30" s="6">
        <f t="shared" si="2"/>
        <v>0</v>
      </c>
      <c r="H30" s="32"/>
    </row>
    <row r="31" spans="2:19" ht="15.75" customHeight="1">
      <c r="B31" s="37"/>
      <c r="C31" s="38"/>
      <c r="D31" s="40"/>
      <c r="E31" s="6">
        <f t="shared" si="1"/>
        <v>0</v>
      </c>
      <c r="F31" s="40"/>
      <c r="G31" s="6">
        <f t="shared" si="2"/>
        <v>0</v>
      </c>
      <c r="I31" s="88" t="s">
        <v>28</v>
      </c>
      <c r="J31" s="88"/>
      <c r="K31" s="88"/>
      <c r="L31" s="88"/>
      <c r="M31" s="88"/>
      <c r="N31" s="88"/>
    </row>
    <row r="32" spans="2:19" ht="15.75" customHeight="1">
      <c r="B32" s="33" t="s">
        <v>41</v>
      </c>
      <c r="C32" s="34">
        <f>SUM(C7:C31)</f>
        <v>31000</v>
      </c>
      <c r="D32" s="35">
        <f>SUM((D7*C7)/C32,(D8*C8)/C32,(D9*C9)/C32,(D10*C10)/C32,(D11*C11)/C32,(D12*C12)/C32,(D13*C13)/C32,(D14*C14)/C32,(D15*C15)/C32,(D16*C16)/C32,(D17*C17)/C32,(D18*C18)/C32,(D19*C19)/C32,(D20*C20)/C32,(D21*C21)/C32,(D22*C22)/C32,(D23*C23)/C32,(D112*C24)/C32,(D25*C25)/C32,(D26*C26)/C32,(D27*C27)/C32,(D28*C28)/C32,(D29*C29)/C32,(D30*C30)/C32,(D31*C31)/C32)</f>
        <v>6.5999999999999989E-2</v>
      </c>
      <c r="E32" s="35">
        <f>SUM((E7*C7)/C32,(E8*C8)/C32,(E9*C9)/C32,(E10*C10)/C32,(E11*C11)/C32,(E12*C12)/C32,(E13*C13)/C32,(E14*C14)/C32,(E15*C15)/C32,(E16*C16)/C32,(E17*C17)/C32,(E18*C18)/C32,(E19*C19)/C32,(E20*C20)/C32,(E21*C21)/C32,(E22*C22)/C32,(E23*C23)/C32,(E112*C24)/C32,(E25*C25)/C32,(E26*C26)/C32,(E27*C27)/C32,(E28*C28)/C32,(E29*C29)/C32,(E30*C30)/C32,(E31*C31)/C32)</f>
        <v>5.3236805657291006E-3</v>
      </c>
      <c r="F32" s="36">
        <f>SUM((F7*C7)/C32,(F8*C8)/C32,(F9*C9)/C32,(F10*C10)/C32,(F11*C11)/C32,(F12*C12)/C32,(F13*C13)/C32,(F14*C14)/C32,(F15*C15)/C32,(F16*C16)/C32,(F17*C17)/C32,(F18*C18)/C32,(F19*C19)/C32,(F20*C20)/C32,(F21*C21)/C32,(F22*C22)/C32,(F23*C23)/C32,(F112*C24)/C32,(F25*C25)/C32,(F26*C26)/C32,(F27*C27)/C32,(F28*C28)/C32,(F29*C29)/C32,(F30*C30)/C32,(F31*C31)/C32)</f>
        <v>0.15193548387096775</v>
      </c>
      <c r="G32" s="35">
        <f t="shared" si="2"/>
        <v>1.1856703081116526E-2</v>
      </c>
      <c r="I32" s="65"/>
      <c r="J32" s="65"/>
      <c r="K32" s="65"/>
      <c r="L32" s="65"/>
      <c r="M32" s="65"/>
      <c r="N32" s="65"/>
    </row>
    <row r="33" spans="9:14" ht="15.75">
      <c r="I33" s="53" t="s">
        <v>0</v>
      </c>
      <c r="J33" s="53" t="s">
        <v>3</v>
      </c>
      <c r="K33" s="54" t="s">
        <v>40</v>
      </c>
      <c r="L33" s="56"/>
      <c r="M33" s="56"/>
      <c r="N33" s="55"/>
    </row>
    <row r="34" spans="9:14" ht="15.75">
      <c r="I34" s="53"/>
      <c r="J34" s="53"/>
      <c r="K34" s="54" t="s">
        <v>38</v>
      </c>
      <c r="L34" s="55"/>
      <c r="M34" s="54" t="s">
        <v>39</v>
      </c>
      <c r="N34" s="55"/>
    </row>
    <row r="35" spans="9:14">
      <c r="I35" s="37" t="s">
        <v>32</v>
      </c>
      <c r="J35" s="38">
        <v>5000</v>
      </c>
      <c r="K35" s="51">
        <v>7.0000000000000007E-2</v>
      </c>
      <c r="L35" s="52"/>
      <c r="M35" s="49">
        <f>IF(K35=0,,(1+K35)^(1/12)-1)</f>
        <v>5.6541453874052738E-3</v>
      </c>
      <c r="N35" s="50"/>
    </row>
    <row r="36" spans="9:14">
      <c r="I36" s="37" t="s">
        <v>33</v>
      </c>
      <c r="J36" s="38">
        <v>8000</v>
      </c>
      <c r="K36" s="51">
        <v>0.06</v>
      </c>
      <c r="L36" s="52"/>
      <c r="M36" s="49">
        <f t="shared" ref="M36:M39" si="4">IF(K36=0,,(1+K36)^(1/12)-1)</f>
        <v>4.8675505653430484E-3</v>
      </c>
      <c r="N36" s="50"/>
    </row>
    <row r="37" spans="9:14">
      <c r="I37" s="37"/>
      <c r="J37" s="38"/>
      <c r="K37" s="51">
        <v>0</v>
      </c>
      <c r="L37" s="52"/>
      <c r="M37" s="49">
        <f t="shared" si="4"/>
        <v>0</v>
      </c>
      <c r="N37" s="50"/>
    </row>
    <row r="38" spans="9:14">
      <c r="I38" s="37"/>
      <c r="J38" s="38"/>
      <c r="K38" s="51">
        <v>0</v>
      </c>
      <c r="L38" s="52"/>
      <c r="M38" s="49">
        <f t="shared" si="4"/>
        <v>0</v>
      </c>
      <c r="N38" s="50"/>
    </row>
    <row r="39" spans="9:14">
      <c r="I39" s="37"/>
      <c r="J39" s="38"/>
      <c r="K39" s="51">
        <v>0</v>
      </c>
      <c r="L39" s="52"/>
      <c r="M39" s="49">
        <f t="shared" si="4"/>
        <v>0</v>
      </c>
      <c r="N39" s="50"/>
    </row>
    <row r="40" spans="9:14">
      <c r="I40" s="33" t="s">
        <v>41</v>
      </c>
      <c r="J40" s="34">
        <f>SUM(J35:J39)</f>
        <v>13000</v>
      </c>
      <c r="K40" s="47">
        <f>SUM((K35*J35)/J40,(K36*J36)/J40,(K37*J37)/J40,(K38*J38)/J40,(K39*J39)/J40)</f>
        <v>6.3846153846153858E-2</v>
      </c>
      <c r="L40" s="48"/>
      <c r="M40" s="47">
        <f t="shared" ref="M40" si="5">IF(K40=0,,(1+K40)^(1/12)-1)</f>
        <v>5.1708888216266402E-3</v>
      </c>
      <c r="N40" s="48"/>
    </row>
  </sheetData>
  <sheetProtection password="EBF6" sheet="1" objects="1" scenarios="1"/>
  <mergeCells count="59">
    <mergeCell ref="P15:P16"/>
    <mergeCell ref="Q15:Q16"/>
    <mergeCell ref="P13:P14"/>
    <mergeCell ref="P18:Q19"/>
    <mergeCell ref="Q13:Q14"/>
    <mergeCell ref="I17:I18"/>
    <mergeCell ref="J17:J18"/>
    <mergeCell ref="K17:L17"/>
    <mergeCell ref="M17:N17"/>
    <mergeCell ref="I31:N32"/>
    <mergeCell ref="I15:N16"/>
    <mergeCell ref="S2:S4"/>
    <mergeCell ref="S8:T9"/>
    <mergeCell ref="L13:N13"/>
    <mergeCell ref="B2:N2"/>
    <mergeCell ref="I11:K11"/>
    <mergeCell ref="I10:K10"/>
    <mergeCell ref="L3:N3"/>
    <mergeCell ref="L4:N4"/>
    <mergeCell ref="L5:N5"/>
    <mergeCell ref="L8:N8"/>
    <mergeCell ref="L10:N10"/>
    <mergeCell ref="L11:N11"/>
    <mergeCell ref="I3:K3"/>
    <mergeCell ref="I4:K4"/>
    <mergeCell ref="I5:K5"/>
    <mergeCell ref="I8:K8"/>
    <mergeCell ref="P2:Q2"/>
    <mergeCell ref="B5:B6"/>
    <mergeCell ref="C5:C6"/>
    <mergeCell ref="D5:E5"/>
    <mergeCell ref="F5:G5"/>
    <mergeCell ref="B3:G4"/>
    <mergeCell ref="I9:K9"/>
    <mergeCell ref="L9:N9"/>
    <mergeCell ref="I13:K13"/>
    <mergeCell ref="L12:N12"/>
    <mergeCell ref="I12:K12"/>
    <mergeCell ref="I33:I34"/>
    <mergeCell ref="J33:J34"/>
    <mergeCell ref="K34:L34"/>
    <mergeCell ref="M34:N34"/>
    <mergeCell ref="K33:N33"/>
    <mergeCell ref="I6:K6"/>
    <mergeCell ref="L6:N6"/>
    <mergeCell ref="I7:K7"/>
    <mergeCell ref="L7:N7"/>
    <mergeCell ref="K40:L40"/>
    <mergeCell ref="M40:N40"/>
    <mergeCell ref="M35:N35"/>
    <mergeCell ref="M36:N36"/>
    <mergeCell ref="M37:N37"/>
    <mergeCell ref="M38:N38"/>
    <mergeCell ref="M39:N39"/>
    <mergeCell ref="K35:L35"/>
    <mergeCell ref="K36:L36"/>
    <mergeCell ref="K37:L37"/>
    <mergeCell ref="K38:L38"/>
    <mergeCell ref="K39:L39"/>
  </mergeCells>
  <pageMargins left="0.511811024" right="0.511811024" top="0.78740157499999996" bottom="0.78740157499999996" header="0.31496062000000002" footer="0.31496062000000002"/>
  <pageSetup paperSize="9" orientation="portrait" verticalDpi="300" r:id="rId1"/>
  <headerFooter>
    <oddHeader>&amp;C&amp;G</oddHeader>
  </headerFooter>
  <ignoredErrors>
    <ignoredError sqref="Q2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showGridLines="0" workbookViewId="0">
      <selection activeCell="C8" sqref="C8"/>
    </sheetView>
  </sheetViews>
  <sheetFormatPr defaultRowHeight="15"/>
  <cols>
    <col min="1" max="1" width="2.7109375" customWidth="1"/>
    <col min="2" max="2" width="21.42578125" bestFit="1" customWidth="1"/>
    <col min="3" max="4" width="15.7109375" customWidth="1"/>
    <col min="5" max="5" width="18" bestFit="1" customWidth="1"/>
    <col min="6" max="9" width="15.7109375" customWidth="1"/>
  </cols>
  <sheetData>
    <row r="2" spans="2:11" ht="37.5" customHeight="1">
      <c r="B2" s="84" t="s">
        <v>12</v>
      </c>
      <c r="C2" s="84"/>
      <c r="D2" s="84"/>
      <c r="E2" s="84"/>
      <c r="F2" s="84"/>
      <c r="G2" s="84"/>
      <c r="H2" s="84"/>
      <c r="I2" s="84"/>
    </row>
    <row r="3" spans="2:11" ht="15.75" customHeight="1">
      <c r="B3" s="7" t="s">
        <v>14</v>
      </c>
      <c r="C3" s="26">
        <v>0.12</v>
      </c>
      <c r="D3" s="7" t="s">
        <v>16</v>
      </c>
      <c r="E3" s="25">
        <v>20000</v>
      </c>
      <c r="G3" s="86" t="s">
        <v>17</v>
      </c>
      <c r="H3" s="86"/>
      <c r="I3" s="17"/>
    </row>
    <row r="4" spans="2:11" ht="15.75">
      <c r="B4" s="7" t="s">
        <v>15</v>
      </c>
      <c r="C4" s="15">
        <f>(1+C3)^(1/12)-1</f>
        <v>9.4887929345830457E-3</v>
      </c>
      <c r="D4" s="7" t="s">
        <v>18</v>
      </c>
      <c r="E4" s="25">
        <v>1000000</v>
      </c>
      <c r="G4" s="86"/>
      <c r="H4" s="86"/>
      <c r="I4" s="17"/>
    </row>
    <row r="5" spans="2:11">
      <c r="C5" s="3"/>
      <c r="D5" s="16"/>
      <c r="G5" s="86"/>
      <c r="H5" s="86"/>
      <c r="I5" s="17"/>
      <c r="J5" s="17"/>
    </row>
    <row r="6" spans="2:11">
      <c r="B6" s="10"/>
      <c r="C6" s="85"/>
      <c r="D6" s="85"/>
      <c r="E6" s="85"/>
      <c r="F6" s="85"/>
      <c r="G6" s="85"/>
      <c r="H6" s="85"/>
      <c r="I6" s="85"/>
    </row>
    <row r="7" spans="2:11" ht="21">
      <c r="B7" s="11" t="s">
        <v>13</v>
      </c>
      <c r="C7" s="12">
        <v>10</v>
      </c>
      <c r="D7" s="12">
        <v>15</v>
      </c>
      <c r="E7" s="12">
        <v>20</v>
      </c>
      <c r="F7" s="12">
        <v>25</v>
      </c>
      <c r="G7" s="12">
        <v>30</v>
      </c>
      <c r="H7" s="12">
        <v>35</v>
      </c>
      <c r="I7" s="12">
        <v>40</v>
      </c>
      <c r="J7" s="87" t="s">
        <v>31</v>
      </c>
      <c r="K7" s="86"/>
    </row>
    <row r="8" spans="2:11">
      <c r="B8" s="13">
        <v>50</v>
      </c>
      <c r="C8" s="14">
        <f>(FV($C$4,$C$7*12,B8,0,1))*-1+E3*(1+$C$4)^($C$7*12)</f>
        <v>73318.758644858288</v>
      </c>
      <c r="D8" s="14">
        <f>(FV($C$4,$D$7*12,B8,0,1))*-1+$E$3*(1+$C$4)^($D$7*12)</f>
        <v>133267.88514699132</v>
      </c>
      <c r="E8" s="14">
        <f>(FV($C$4,$E$7*12,B8,0,1))*-1+E3*(1+$C$4)^($E$7*12)</f>
        <v>238918.72965313093</v>
      </c>
      <c r="F8" s="14">
        <f>(FV($C$4,$F$7*12,B8,0,1))*-1+$E$3*(1+$C$4)^($F$7*12)</f>
        <v>425111.61679158348</v>
      </c>
      <c r="G8" s="14">
        <f>(FV($C$4,$G$7*12,B8,0,1))*-1+E3*(1+$C$4)^($G$7*12)</f>
        <v>753247.1029110339</v>
      </c>
      <c r="H8" s="14">
        <f>(FV($C$4,$H$7*12,B8,0,1))*-1+$E$3*(1+$C$4)^($H$7*12)</f>
        <v>1331533.9478364401</v>
      </c>
      <c r="I8" s="14">
        <f>(FV($C$4,$I$7*12,B8,0,1))*-1+E3*(1+$C$4)^($I$7*12)</f>
        <v>2350672.9594947044</v>
      </c>
      <c r="J8" s="86"/>
      <c r="K8" s="86"/>
    </row>
    <row r="9" spans="2:11">
      <c r="B9" s="13">
        <v>100</v>
      </c>
      <c r="C9" s="14">
        <f>(FV($C$4,$C$7*12,B9,0,1))*-1+E3*(1+$C$4)^($C$7*12)</f>
        <v>84520.553122831596</v>
      </c>
      <c r="D9" s="14">
        <f t="shared" ref="D9:D22" si="0">(FV($C$4,$D$7*12,B9,0,1))*-1+$E$3*(1+$C$4)^($D$7*12)</f>
        <v>157064.45510883979</v>
      </c>
      <c r="E9" s="14">
        <f>(FV($C$4,$E$7*12,B9,0,1))*-1+E3*(1+$C$4)^($E$7*12)</f>
        <v>284911.59744075814</v>
      </c>
      <c r="F9" s="14">
        <f t="shared" ref="F9:F22" si="1">(FV($C$4,$F$7*12,B9,0,1))*-1+$E$3*(1+$C$4)^($F$7*12)</f>
        <v>510221.94545030245</v>
      </c>
      <c r="G9" s="14">
        <f>(FV($C$4,$G$7*12,B9,0,1))*-1+E3*(1+$C$4)^($G$7*12)</f>
        <v>907295.76340382313</v>
      </c>
      <c r="H9" s="14">
        <f t="shared" ref="H9:H22" si="2">(FV($C$4,$H$7*12,B9,0,1))*-1+$E$3*(1+$C$4)^($H$7*12)</f>
        <v>1607075.5040906859</v>
      </c>
      <c r="I9" s="14">
        <f>(FV($C$4,$I$7*12,B9,0,1))*-1+E3*(1+$C$4)^($I$7*12)</f>
        <v>2840326.5101620387</v>
      </c>
      <c r="J9" s="86"/>
      <c r="K9" s="86"/>
    </row>
    <row r="10" spans="2:11">
      <c r="B10" s="13">
        <v>200</v>
      </c>
      <c r="C10" s="14">
        <f>(FV($C$4,$C$7*12,B10,0,1))*-1+E3*(1+$C$4)^($C$7*12)</f>
        <v>106924.14207877821</v>
      </c>
      <c r="D10" s="14">
        <f t="shared" si="0"/>
        <v>204657.59503253669</v>
      </c>
      <c r="E10" s="14">
        <f>(FV($C$4,$E$7*12,B10,0,1))*-1+E3*(1+$C$4)^($E$7*12)</f>
        <v>376897.33301601262</v>
      </c>
      <c r="F10" s="14">
        <f t="shared" si="1"/>
        <v>680442.60276774026</v>
      </c>
      <c r="G10" s="14">
        <f>(FV($C$4,$G$7*12,B10,0,1))*-1+E3*(1+$C$4)^($G$7*12)</f>
        <v>1215393.0843894016</v>
      </c>
      <c r="H10" s="14">
        <f t="shared" si="2"/>
        <v>2158158.616599177</v>
      </c>
      <c r="I10" s="14">
        <f>(FV($C$4,$I$7*12,B10,0,1))*-1+E3*(1+$C$4)^($I$7*12)</f>
        <v>3819633.6114967074</v>
      </c>
    </row>
    <row r="11" spans="2:11">
      <c r="B11" s="13">
        <v>300</v>
      </c>
      <c r="C11" s="14">
        <f>(FV($C$4,$C$7*12,B11,0,1))*-1+E3*(1+$C$4)^($C$7*12)</f>
        <v>129327.73103472483</v>
      </c>
      <c r="D11" s="14">
        <f t="shared" si="0"/>
        <v>252250.73495623359</v>
      </c>
      <c r="E11" s="14">
        <f>(FV($C$4,$E$7*12,B11,0,1))*-1+E3*(1+$C$4)^($E$7*12)</f>
        <v>468883.0685912671</v>
      </c>
      <c r="F11" s="14">
        <f t="shared" si="1"/>
        <v>850663.26008517807</v>
      </c>
      <c r="G11" s="14">
        <f>(FV($C$4,$G$7*12,B11,0,1))*-1+E3*(1+$C$4)^($G$7*12)</f>
        <v>1523490.4053749801</v>
      </c>
      <c r="H11" s="14">
        <f t="shared" si="2"/>
        <v>2709241.7291076686</v>
      </c>
      <c r="I11" s="14">
        <f>(FV($C$4,$I$7*12,B11,0,1))*-1+E3*(1+$C$4)^($I$7*12)</f>
        <v>4798940.7128313761</v>
      </c>
    </row>
    <row r="12" spans="2:11">
      <c r="B12" s="13">
        <v>400</v>
      </c>
      <c r="C12" s="14">
        <f>(FV($C$4,$C$7*12,B12,0,1))*-1+E3*(1+$C$4)^($C$7*12)</f>
        <v>151731.31999067144</v>
      </c>
      <c r="D12" s="14">
        <f t="shared" si="0"/>
        <v>299843.87487993052</v>
      </c>
      <c r="E12" s="14">
        <f>(FV($C$4,$E$7*12,B12,0,1))*-1+E3*(1+$C$4)^($E$7*12)</f>
        <v>560868.80416652153</v>
      </c>
      <c r="F12" s="14">
        <f t="shared" si="1"/>
        <v>1020883.917402616</v>
      </c>
      <c r="G12" s="14">
        <f>(FV($C$4,$G$7*12,B12,0,1))*-1+E3*(1+$C$4)^($G$7*12)</f>
        <v>1831587.7263605588</v>
      </c>
      <c r="H12" s="14">
        <f t="shared" si="2"/>
        <v>3260324.8416161602</v>
      </c>
      <c r="I12" s="14">
        <f>(FV($C$4,$I$7*12,B12,0,1))*-1+E3*(1+$C$4)^($I$7*12)</f>
        <v>5778247.8141660448</v>
      </c>
    </row>
    <row r="13" spans="2:11">
      <c r="B13" s="13">
        <v>500</v>
      </c>
      <c r="C13" s="14">
        <f>(FV($C$4,$C$7*12,B13,0,1))*-1+E3*(1+$C$4)^($C$7*12)</f>
        <v>174134.90894661806</v>
      </c>
      <c r="D13" s="14">
        <f t="shared" si="0"/>
        <v>347437.01480362739</v>
      </c>
      <c r="E13" s="14">
        <f>(FV($C$4,$E$7*12,B13,0,1))*-1+E3*(1+$C$4)^($E$7*12)</f>
        <v>652854.53974177607</v>
      </c>
      <c r="F13" s="14">
        <f t="shared" si="1"/>
        <v>1191104.5747200539</v>
      </c>
      <c r="G13" s="14">
        <f>(FV($C$4,$G$7*12,B13,0,1))*-1+E3*(1+$C$4)^($G$7*12)</f>
        <v>2139685.0473461375</v>
      </c>
      <c r="H13" s="14">
        <f t="shared" si="2"/>
        <v>3811407.9541246509</v>
      </c>
      <c r="I13" s="14">
        <f>(FV($C$4,$I$7*12,B13,0,1))*-1+E3*(1+$C$4)^($I$7*12)</f>
        <v>6757554.9155007135</v>
      </c>
    </row>
    <row r="14" spans="2:11">
      <c r="B14" s="13">
        <v>1000</v>
      </c>
      <c r="C14" s="14">
        <f>(FV($C$4,$C$7*12,B14,0,1))*-1+E3*(1+$C$4)^($C$7*12)</f>
        <v>286152.85372635117</v>
      </c>
      <c r="D14" s="14">
        <f t="shared" si="0"/>
        <v>585402.71442211198</v>
      </c>
      <c r="E14" s="14">
        <f>(FV($C$4,$E$7*12,B14,0,1))*-1+E3*(1+$C$4)^($E$7*12)</f>
        <v>1112783.2176180484</v>
      </c>
      <c r="F14" s="14">
        <f t="shared" si="1"/>
        <v>2042207.8613072431</v>
      </c>
      <c r="G14" s="14">
        <f>(FV($C$4,$G$7*12,B14,0,1))*-1+E3*(1+$C$4)^($G$7*12)</f>
        <v>3680171.6522740298</v>
      </c>
      <c r="H14" s="14">
        <f t="shared" si="2"/>
        <v>6566823.5166671081</v>
      </c>
      <c r="I14" s="14">
        <f>(FV($C$4,$I$7*12,B14,0,1))*-1+E3*(1+$C$4)^($I$7*12)</f>
        <v>11654090.422174057</v>
      </c>
    </row>
    <row r="15" spans="2:11">
      <c r="B15" s="13">
        <v>2000</v>
      </c>
      <c r="C15" s="14">
        <f>(FV($C$4,$C$7*12,B15,0,1))*-1+E3*(1+$C$4)^($C$7*12)</f>
        <v>510188.74328581733</v>
      </c>
      <c r="D15" s="14">
        <f t="shared" si="0"/>
        <v>1061334.113659081</v>
      </c>
      <c r="E15" s="14">
        <f>(FV($C$4,$E$7*12,B15,0,1))*-1+E3*(1+$C$4)^($E$7*12)</f>
        <v>2032640.5733705931</v>
      </c>
      <c r="F15" s="14">
        <f t="shared" si="1"/>
        <v>3744414.4344816217</v>
      </c>
      <c r="G15" s="14">
        <f>(FV($C$4,$G$7*12,B15,0,1))*-1+E3*(1+$C$4)^($G$7*12)</f>
        <v>6761144.8621298149</v>
      </c>
      <c r="H15" s="14">
        <f t="shared" si="2"/>
        <v>12077654.641752021</v>
      </c>
      <c r="I15" s="14">
        <f>(FV($C$4,$I$7*12,B15,0,1))*-1+E3*(1+$C$4)^($I$7*12)</f>
        <v>21447161.435520746</v>
      </c>
    </row>
    <row r="16" spans="2:11">
      <c r="B16" s="13">
        <v>3000</v>
      </c>
      <c r="C16" s="14">
        <f>(FV($C$4,$C$7*12,B16,0,1))*-1+E3*(1+$C$4)^($C$7*12)</f>
        <v>734224.63284528349</v>
      </c>
      <c r="D16" s="14">
        <f t="shared" si="0"/>
        <v>1537265.5128960502</v>
      </c>
      <c r="E16" s="14">
        <f>(FV($C$4,$E$7*12,B16,0,1))*-1+E3*(1+$C$4)^($E$7*12)</f>
        <v>2952497.9291231376</v>
      </c>
      <c r="F16" s="14">
        <f t="shared" si="1"/>
        <v>5446621.0076560006</v>
      </c>
      <c r="G16" s="14">
        <f>(FV($C$4,$G$7*12,B16,0,1))*-1+E3*(1+$C$4)^($G$7*12)</f>
        <v>9842118.0719855987</v>
      </c>
      <c r="H16" s="14">
        <f t="shared" si="2"/>
        <v>17588485.766836934</v>
      </c>
      <c r="I16" s="14">
        <f>(FV($C$4,$I$7*12,B16,0,1))*-1+E3*(1+$C$4)^($I$7*12)</f>
        <v>31240232.448867433</v>
      </c>
    </row>
    <row r="17" spans="2:9">
      <c r="B17" s="13">
        <v>5000</v>
      </c>
      <c r="C17" s="14">
        <f>(FV($C$4,$C$7*12,B17,0,1))*-1+E3*(1+$C$4)^($C$7*12)</f>
        <v>1182296.4119642158</v>
      </c>
      <c r="D17" s="14">
        <f t="shared" si="0"/>
        <v>2489128.3113699881</v>
      </c>
      <c r="E17" s="14">
        <f>(FV($C$4,$E$7*12,B17,0,1))*-1+E3*(1+$C$4)^($E$7*12)</f>
        <v>4792212.640628227</v>
      </c>
      <c r="F17" s="14">
        <f t="shared" si="1"/>
        <v>8851034.1540047582</v>
      </c>
      <c r="G17" s="14">
        <f>(FV($C$4,$G$7*12,B17,0,1))*-1+E3*(1+$C$4)^($G$7*12)</f>
        <v>16004064.49169717</v>
      </c>
      <c r="H17" s="14">
        <f t="shared" si="2"/>
        <v>28610148.017006762</v>
      </c>
      <c r="I17" s="14">
        <f>(FV($C$4,$I$7*12,B17,0,1))*-1+E3*(1+$C$4)^($I$7*12)</f>
        <v>50826374.475560807</v>
      </c>
    </row>
    <row r="18" spans="2:9">
      <c r="B18" s="13">
        <v>10000</v>
      </c>
      <c r="C18" s="14">
        <f>(FV($C$4,$C$7*12,B18,0,1))*-1+E3*(1+$C$4)^($C$7*12)</f>
        <v>2302475.8597615464</v>
      </c>
      <c r="D18" s="14">
        <f t="shared" si="0"/>
        <v>4868785.3075548336</v>
      </c>
      <c r="E18" s="14">
        <f>(FV($C$4,$E$7*12,B18,0,1))*-1+E3*(1+$C$4)^($E$7*12)</f>
        <v>9391499.4193909504</v>
      </c>
      <c r="F18" s="14">
        <f t="shared" si="1"/>
        <v>17362067.019876651</v>
      </c>
      <c r="G18" s="14">
        <f>(FV($C$4,$G$7*12,B18,0,1))*-1+E3*(1+$C$4)^($G$7*12)</f>
        <v>31408930.540976096</v>
      </c>
      <c r="H18" s="14">
        <f t="shared" si="2"/>
        <v>56164303.642431326</v>
      </c>
      <c r="I18" s="14">
        <f>(FV($C$4,$I$7*12,B18,0,1))*-1+E3*(1+$C$4)^($I$7*12)</f>
        <v>99791729.542294234</v>
      </c>
    </row>
    <row r="19" spans="2:9">
      <c r="B19" s="13">
        <v>15000</v>
      </c>
      <c r="C19" s="14">
        <f>(FV($C$4,$C$7*12,B19,0,1))*-1+E3*(1+$C$4)^($C$7*12)</f>
        <v>3422655.3075588774</v>
      </c>
      <c r="D19" s="14">
        <f t="shared" si="0"/>
        <v>7248442.303739679</v>
      </c>
      <c r="E19" s="14">
        <f>(FV($C$4,$E$7*12,B19,0,1))*-1+E3*(1+$C$4)^($E$7*12)</f>
        <v>13990786.198153673</v>
      </c>
      <c r="F19" s="14">
        <f t="shared" si="1"/>
        <v>25873099.885748543</v>
      </c>
      <c r="G19" s="14">
        <f>(FV($C$4,$G$7*12,B19,0,1))*-1+E3*(1+$C$4)^($G$7*12)</f>
        <v>46813796.590255022</v>
      </c>
      <c r="H19" s="14">
        <f t="shared" si="2"/>
        <v>83718459.267855898</v>
      </c>
      <c r="I19" s="14">
        <f>(FV($C$4,$I$7*12,B19,0,1))*-1+E3*(1+$C$4)^($I$7*12)</f>
        <v>148757084.60902768</v>
      </c>
    </row>
    <row r="20" spans="2:9">
      <c r="B20" s="13">
        <v>20000</v>
      </c>
      <c r="C20" s="14">
        <f>(FV($C$4,$C$7*12,B20,0,1))*-1+E3*(1+$C$4)^($C$7*12)</f>
        <v>4542834.7553562084</v>
      </c>
      <c r="D20" s="14">
        <f t="shared" si="0"/>
        <v>9628099.2999245245</v>
      </c>
      <c r="E20" s="14">
        <f>(FV($C$4,$E$7*12,B20,0,1))*-1+E3*(1+$C$4)^($E$7*12)</f>
        <v>18590072.976916395</v>
      </c>
      <c r="F20" s="14">
        <f t="shared" si="1"/>
        <v>34384132.751620434</v>
      </c>
      <c r="G20" s="14">
        <f>(FV($C$4,$G$7*12,B20,0,1))*-1+E3*(1+$C$4)^($G$7*12)</f>
        <v>62218662.639533952</v>
      </c>
      <c r="H20" s="14">
        <f t="shared" si="2"/>
        <v>111272614.89328046</v>
      </c>
      <c r="I20" s="14">
        <f>(FV($C$4,$I$7*12,B20,0,1))*-1+E3*(1+$C$4)^($I$7*12)</f>
        <v>197722439.6757611</v>
      </c>
    </row>
    <row r="21" spans="2:9">
      <c r="B21" s="13">
        <v>30000</v>
      </c>
      <c r="C21" s="14">
        <f>(FV($C$4,$C$7*12,B21,0,1))*-1+E3*(1+$C$4)^($C$7*12)</f>
        <v>6783193.6509508705</v>
      </c>
      <c r="D21" s="14">
        <f t="shared" si="0"/>
        <v>14387413.292294215</v>
      </c>
      <c r="E21" s="14">
        <f>(FV($C$4,$E$7*12,B21,0,1))*-1+E3*(1+$C$4)^($E$7*12)</f>
        <v>27788646.53444184</v>
      </c>
      <c r="F21" s="14">
        <f t="shared" si="1"/>
        <v>51406198.483364217</v>
      </c>
      <c r="G21" s="14">
        <f>(FV($C$4,$G$7*12,B21,0,1))*-1+E3*(1+$C$4)^($G$7*12)</f>
        <v>93028394.738091797</v>
      </c>
      <c r="H21" s="14">
        <f t="shared" si="2"/>
        <v>166380926.1441296</v>
      </c>
      <c r="I21" s="14">
        <f>(FV($C$4,$I$7*12,B21,0,1))*-1+E3*(1+$C$4)^($I$7*12)</f>
        <v>295653149.809228</v>
      </c>
    </row>
    <row r="22" spans="2:9">
      <c r="B22" s="13">
        <v>50000</v>
      </c>
      <c r="C22" s="14">
        <f>(FV($C$4,$C$7*12,B22,0,1))*-1+E3*(1+$C$4)^($C$7*12)</f>
        <v>11263911.442140194</v>
      </c>
      <c r="D22" s="14">
        <f t="shared" si="0"/>
        <v>23906041.277033597</v>
      </c>
      <c r="E22" s="14">
        <f>(FV($C$4,$E$7*12,B22,0,1))*-1+E3*(1+$C$4)^($E$7*12)</f>
        <v>46185793.649492741</v>
      </c>
      <c r="F22" s="14">
        <f t="shared" si="1"/>
        <v>85450329.94685179</v>
      </c>
      <c r="G22" s="14">
        <f>(FV($C$4,$G$7*12,B22,0,1))*-1+E3*(1+$C$4)^($G$7*12)</f>
        <v>154647858.93520752</v>
      </c>
      <c r="H22" s="14">
        <f t="shared" si="2"/>
        <v>276597548.64582789</v>
      </c>
      <c r="I22" s="14">
        <f>(FV($C$4,$I$7*12,B22,0,1))*-1+E3*(1+$C$4)^($I$7*12)</f>
        <v>491514570.07616174</v>
      </c>
    </row>
  </sheetData>
  <sheetProtection algorithmName="SHA-512" hashValue="6neFzEsdE/k2nRt6WeTV3+wtY77+9ySc3R3BNq8Y4Dzs2oKff+u2tGyz6iHy/oKHQIPcakyKgKNnoc4nSklc4w==" saltValue="AAeRCs3vc4a3t02mfUWm/w==" spinCount="100000" sheet="1" objects="1" scenarios="1"/>
  <mergeCells count="4">
    <mergeCell ref="B2:I2"/>
    <mergeCell ref="C6:I6"/>
    <mergeCell ref="G3:H5"/>
    <mergeCell ref="J7:K9"/>
  </mergeCells>
  <conditionalFormatting sqref="C8:I22">
    <cfRule type="cellIs" dxfId="0" priority="1" operator="greaterThan">
      <formula>$E$4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FM&gt;Logistic Brasil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Renda Passiva</dc:title>
  <dc:creator>Matheus Souza Matos da Silva</dc:creator>
  <cp:lastModifiedBy>Matheus Souza Matos da Silva</cp:lastModifiedBy>
  <dcterms:created xsi:type="dcterms:W3CDTF">2020-06-18T00:40:56Z</dcterms:created>
  <dcterms:modified xsi:type="dcterms:W3CDTF">2020-06-23T00:27:25Z</dcterms:modified>
  <cp:category>Investimentos</cp:category>
</cp:coreProperties>
</file>