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/>
  <bookViews>
    <workbookView xWindow="-120" yWindow="-120" windowWidth="20730" windowHeight="11160" tabRatio="704" activeTab="9"/>
  </bookViews>
  <sheets>
    <sheet name="Introdução" sheetId="34" r:id="rId1"/>
    <sheet name="Premissas" sheetId="35" r:id="rId2"/>
    <sheet name="Resumo Resultados" sheetId="13" r:id="rId3"/>
    <sheet name="Croqui" sheetId="28" r:id="rId4"/>
    <sheet name="Cálculo de Módulos Plastwall" sheetId="1" r:id="rId5"/>
    <sheet name="Dashboard Mod. Espaçado" sheetId="31" r:id="rId6"/>
    <sheet name="Cálculo Irrigação" sheetId="11" r:id="rId7"/>
    <sheet name="Orçamento Geral" sheetId="12" r:id="rId8"/>
    <sheet name="Orçamento Plantas" sheetId="29" r:id="rId9"/>
    <sheet name="Versão Impressão" sheetId="32" r:id="rId10"/>
  </sheets>
  <definedNames>
    <definedName name="_xlnm._FilterDatabase" localSheetId="6" hidden="1">'Cálculo Irrigação'!$D$4:$D$37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31"/>
  <c r="D89"/>
  <c r="E76"/>
  <c r="D76"/>
  <c r="E62"/>
  <c r="D62"/>
  <c r="E48"/>
  <c r="D48"/>
  <c r="E34"/>
  <c r="D34"/>
  <c r="E15"/>
  <c r="D15"/>
  <c r="H89"/>
  <c r="G89"/>
  <c r="H76"/>
  <c r="G76"/>
  <c r="H62"/>
  <c r="G62"/>
  <c r="H48"/>
  <c r="G48"/>
  <c r="H34"/>
  <c r="G34"/>
  <c r="H15"/>
  <c r="G15"/>
  <c r="E23"/>
  <c r="D23"/>
  <c r="E90" i="1"/>
  <c r="D90"/>
  <c r="E98"/>
  <c r="D98"/>
  <c r="E76"/>
  <c r="D76"/>
  <c r="E61"/>
  <c r="D61"/>
  <c r="E46"/>
  <c r="D46"/>
  <c r="E31"/>
  <c r="D31"/>
  <c r="D4" i="32"/>
  <c r="E84" i="1"/>
  <c r="D84"/>
  <c r="E69"/>
  <c r="D69"/>
  <c r="E54"/>
  <c r="D54"/>
  <c r="E39"/>
  <c r="D39"/>
  <c r="H16"/>
  <c r="G16"/>
  <c r="D7" i="32"/>
  <c r="D6"/>
  <c r="D3"/>
  <c r="D6" i="13"/>
  <c r="D7"/>
  <c r="F22" i="35"/>
  <c r="F8" i="1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7"/>
  <c r="H90" i="1" l="1"/>
  <c r="H94" s="1"/>
  <c r="E94" s="1"/>
  <c r="E97" i="31"/>
  <c r="H93" s="1"/>
  <c r="E93" s="1"/>
  <c r="G90" i="1"/>
  <c r="G94" s="1"/>
  <c r="G97" s="1"/>
  <c r="D70" i="31"/>
  <c r="G66" s="1"/>
  <c r="D66" s="1"/>
  <c r="D97"/>
  <c r="G93" s="1"/>
  <c r="D93" s="1"/>
  <c r="D84"/>
  <c r="G80" s="1"/>
  <c r="E84"/>
  <c r="H80" s="1"/>
  <c r="E80" s="1"/>
  <c r="E70"/>
  <c r="H66" s="1"/>
  <c r="G69" l="1"/>
  <c r="D94" i="1"/>
  <c r="G96" i="31"/>
  <c r="E66"/>
  <c r="G83"/>
  <c r="I80"/>
  <c r="D80"/>
  <c r="H46" i="1" l="1"/>
  <c r="G46"/>
  <c r="I36" i="11"/>
  <c r="G36"/>
  <c r="H36"/>
  <c r="H50" i="1" l="1"/>
  <c r="E50" s="1"/>
  <c r="H76"/>
  <c r="H80" s="1"/>
  <c r="E80" s="1"/>
  <c r="H61"/>
  <c r="H65" s="1"/>
  <c r="E65" s="1"/>
  <c r="G50"/>
  <c r="D50" s="1"/>
  <c r="G76"/>
  <c r="G80" s="1"/>
  <c r="G61"/>
  <c r="G65" s="1"/>
  <c r="H22" i="11"/>
  <c r="G22"/>
  <c r="I22"/>
  <c r="F37" i="12"/>
  <c r="G53" i="1" l="1"/>
  <c r="D65"/>
  <c r="G68"/>
  <c r="D80"/>
  <c r="G83"/>
  <c r="B17" i="32"/>
  <c r="B31" s="1"/>
  <c r="F17"/>
  <c r="B18"/>
  <c r="B32" s="1"/>
  <c r="F18"/>
  <c r="B19"/>
  <c r="B33" s="1"/>
  <c r="F19"/>
  <c r="F33"/>
  <c r="F32"/>
  <c r="F31"/>
  <c r="B30"/>
  <c r="B29"/>
  <c r="B28"/>
  <c r="B27"/>
  <c r="B26"/>
  <c r="B25"/>
  <c r="D4" i="13" l="1"/>
  <c r="F39"/>
  <c r="F38"/>
  <c r="F18"/>
  <c r="F17"/>
  <c r="B37"/>
  <c r="B34"/>
  <c r="B35"/>
  <c r="B36"/>
  <c r="B33"/>
  <c r="B32"/>
  <c r="B17"/>
  <c r="B38" s="1"/>
  <c r="B18"/>
  <c r="B39" s="1"/>
  <c r="B19"/>
  <c r="D5"/>
  <c r="D5" i="32" s="1"/>
  <c r="G40" i="12"/>
  <c r="G39"/>
  <c r="I39" s="1"/>
  <c r="I37"/>
  <c r="J37" s="1"/>
  <c r="K37" s="1"/>
  <c r="L37" s="1"/>
  <c r="H37"/>
  <c r="J35"/>
  <c r="M35" s="1"/>
  <c r="I35"/>
  <c r="I32"/>
  <c r="J32" s="1"/>
  <c r="K32" s="1"/>
  <c r="L32" s="1"/>
  <c r="H32"/>
  <c r="I31"/>
  <c r="F31"/>
  <c r="H31" s="1"/>
  <c r="I29"/>
  <c r="I28"/>
  <c r="I27"/>
  <c r="I15"/>
  <c r="I12"/>
  <c r="J12" s="1"/>
  <c r="G20"/>
  <c r="I20" s="1"/>
  <c r="G19"/>
  <c r="J15"/>
  <c r="M15" s="1"/>
  <c r="I11"/>
  <c r="F11"/>
  <c r="H11" s="1"/>
  <c r="I9"/>
  <c r="I8"/>
  <c r="I7"/>
  <c r="J6" i="29"/>
  <c r="J7"/>
  <c r="J23"/>
  <c r="J24"/>
  <c r="J22"/>
  <c r="J18"/>
  <c r="J17"/>
  <c r="J16"/>
  <c r="J12"/>
  <c r="J11"/>
  <c r="G25"/>
  <c r="G19"/>
  <c r="I19" i="12" l="1"/>
  <c r="J31"/>
  <c r="M31" s="1"/>
  <c r="B40" i="13"/>
  <c r="E40" s="1"/>
  <c r="E19"/>
  <c r="K35" i="12"/>
  <c r="L35" s="1"/>
  <c r="K15"/>
  <c r="L15" s="1"/>
  <c r="M37"/>
  <c r="M32"/>
  <c r="I40"/>
  <c r="I41" s="1"/>
  <c r="J11"/>
  <c r="K11" s="1"/>
  <c r="L11" s="1"/>
  <c r="K12"/>
  <c r="L12" s="1"/>
  <c r="K31" l="1"/>
  <c r="L31" s="1"/>
  <c r="C32" i="32"/>
  <c r="C18"/>
  <c r="C39" i="13"/>
  <c r="C18"/>
  <c r="C31" i="32"/>
  <c r="C17"/>
  <c r="C17" i="13"/>
  <c r="C38"/>
  <c r="M11" i="12"/>
  <c r="H19" i="31" l="1"/>
  <c r="H23" s="1"/>
  <c r="E19" s="1"/>
  <c r="G19"/>
  <c r="G23" s="1"/>
  <c r="G13" i="29"/>
  <c r="D26" i="31" l="1"/>
  <c r="D42"/>
  <c r="G38" s="1"/>
  <c r="E56"/>
  <c r="H52" s="1"/>
  <c r="E52" s="1"/>
  <c r="D56"/>
  <c r="G52" s="1"/>
  <c r="D19"/>
  <c r="E42"/>
  <c r="G6" l="1"/>
  <c r="D8" i="11" s="1"/>
  <c r="G55" i="31"/>
  <c r="D38"/>
  <c r="I52"/>
  <c r="D52"/>
  <c r="H38"/>
  <c r="G41" s="1"/>
  <c r="C6" s="1"/>
  <c r="D22" i="29" s="1"/>
  <c r="D23" s="1"/>
  <c r="D12" i="11" l="1"/>
  <c r="D9"/>
  <c r="D10"/>
  <c r="E38" i="31"/>
  <c r="G8" i="29"/>
  <c r="G11" i="11"/>
  <c r="G13"/>
  <c r="G14"/>
  <c r="G15"/>
  <c r="G16"/>
  <c r="G17"/>
  <c r="G18"/>
  <c r="G19"/>
  <c r="G20"/>
  <c r="G21"/>
  <c r="G23"/>
  <c r="G24"/>
  <c r="G25"/>
  <c r="G26"/>
  <c r="G27"/>
  <c r="G28"/>
  <c r="G29"/>
  <c r="G30"/>
  <c r="G31"/>
  <c r="G32"/>
  <c r="G33"/>
  <c r="G34"/>
  <c r="G35"/>
  <c r="I10"/>
  <c r="I11"/>
  <c r="I12"/>
  <c r="I13"/>
  <c r="I14"/>
  <c r="I15"/>
  <c r="I16"/>
  <c r="I17"/>
  <c r="I18"/>
  <c r="I19"/>
  <c r="I20"/>
  <c r="I21"/>
  <c r="I23"/>
  <c r="I24"/>
  <c r="I25"/>
  <c r="I26"/>
  <c r="I27"/>
  <c r="I28"/>
  <c r="I29"/>
  <c r="I30"/>
  <c r="I31"/>
  <c r="I32"/>
  <c r="I33"/>
  <c r="I34"/>
  <c r="I35"/>
  <c r="H11"/>
  <c r="H13"/>
  <c r="H14"/>
  <c r="H15"/>
  <c r="H16"/>
  <c r="H17"/>
  <c r="H18"/>
  <c r="H19"/>
  <c r="H20"/>
  <c r="H21"/>
  <c r="H23"/>
  <c r="H24"/>
  <c r="H25"/>
  <c r="H26"/>
  <c r="H27"/>
  <c r="H28"/>
  <c r="H29"/>
  <c r="H30"/>
  <c r="H31"/>
  <c r="H32"/>
  <c r="H33"/>
  <c r="H34"/>
  <c r="H35"/>
  <c r="C42" i="13" l="1"/>
  <c r="C27" i="12"/>
  <c r="D11" i="29"/>
  <c r="I21" i="12"/>
  <c r="E39" l="1"/>
  <c r="F39"/>
  <c r="F11" i="29"/>
  <c r="G20" i="1"/>
  <c r="D20" s="1"/>
  <c r="G31"/>
  <c r="G35" s="1"/>
  <c r="H17" i="12"/>
  <c r="I17" s="1"/>
  <c r="J17" s="1"/>
  <c r="K17" s="1"/>
  <c r="L17" s="1"/>
  <c r="G6" i="1" l="1"/>
  <c r="F42" i="13"/>
  <c r="E29" i="12"/>
  <c r="F29" s="1"/>
  <c r="H29" s="1"/>
  <c r="E27"/>
  <c r="E28" s="1"/>
  <c r="F28" s="1"/>
  <c r="C19" i="32"/>
  <c r="C33"/>
  <c r="C19" i="13"/>
  <c r="F19" s="1"/>
  <c r="C40"/>
  <c r="F40" s="1"/>
  <c r="G11" i="29"/>
  <c r="C45" i="13"/>
  <c r="F12" i="29"/>
  <c r="E40" i="12"/>
  <c r="F40" s="1"/>
  <c r="M17"/>
  <c r="I8" i="11"/>
  <c r="I9"/>
  <c r="J29" i="12" l="1"/>
  <c r="M29" s="1"/>
  <c r="C44" i="13"/>
  <c r="F44" s="1"/>
  <c r="F27" i="12"/>
  <c r="J27" s="1"/>
  <c r="C43" i="13"/>
  <c r="F43" s="1"/>
  <c r="J28" i="12"/>
  <c r="H28"/>
  <c r="K11" i="29"/>
  <c r="I11"/>
  <c r="H39" i="12"/>
  <c r="J39"/>
  <c r="H40"/>
  <c r="J40"/>
  <c r="G12" i="29"/>
  <c r="K12" s="1"/>
  <c r="L12" s="1"/>
  <c r="M12" s="1"/>
  <c r="C47" i="13"/>
  <c r="L32" i="28"/>
  <c r="N32" s="1"/>
  <c r="L31"/>
  <c r="N31" s="1"/>
  <c r="L30"/>
  <c r="N30" s="1"/>
  <c r="L29"/>
  <c r="N29" s="1"/>
  <c r="L28"/>
  <c r="N28" s="1"/>
  <c r="L27"/>
  <c r="N27" s="1"/>
  <c r="L26"/>
  <c r="N26" s="1"/>
  <c r="L25"/>
  <c r="N25" s="1"/>
  <c r="L24"/>
  <c r="N24" s="1"/>
  <c r="L23"/>
  <c r="N23" s="1"/>
  <c r="L22"/>
  <c r="N22" s="1"/>
  <c r="L21"/>
  <c r="N21" s="1"/>
  <c r="L20"/>
  <c r="N20" s="1"/>
  <c r="L19"/>
  <c r="K29" i="12" l="1"/>
  <c r="L29" s="1"/>
  <c r="C34" i="13" s="1"/>
  <c r="H27" i="12"/>
  <c r="M27" s="1"/>
  <c r="H41"/>
  <c r="K39"/>
  <c r="L39" s="1"/>
  <c r="M39"/>
  <c r="J41"/>
  <c r="K13" i="29"/>
  <c r="L11"/>
  <c r="M11" s="1"/>
  <c r="K27" i="12"/>
  <c r="L27" s="1"/>
  <c r="M28"/>
  <c r="K28"/>
  <c r="L28" s="1"/>
  <c r="M40"/>
  <c r="K40"/>
  <c r="L40" s="1"/>
  <c r="N11" i="29"/>
  <c r="L33" i="28"/>
  <c r="N19"/>
  <c r="N33" s="1"/>
  <c r="C27" i="32" l="1"/>
  <c r="C32" i="13"/>
  <c r="C25" i="32"/>
  <c r="F25" s="1"/>
  <c r="L41" i="12"/>
  <c r="C26" i="32"/>
  <c r="C33" i="13"/>
  <c r="L13" i="29"/>
  <c r="K41" i="12"/>
  <c r="M41"/>
  <c r="H12"/>
  <c r="M12" s="1"/>
  <c r="C36" i="13" l="1"/>
  <c r="C29" i="32"/>
  <c r="H31" i="1" l="1"/>
  <c r="H35" l="1"/>
  <c r="D35"/>
  <c r="H20"/>
  <c r="E20" s="1"/>
  <c r="E24" l="1"/>
  <c r="G23"/>
  <c r="E35"/>
  <c r="G38"/>
  <c r="C6" s="1"/>
  <c r="D24"/>
  <c r="F4" i="13" l="1"/>
  <c r="F4" i="32" s="1"/>
  <c r="I20" i="35"/>
  <c r="G9" i="11"/>
  <c r="H9"/>
  <c r="G10"/>
  <c r="H10"/>
  <c r="G12"/>
  <c r="H12"/>
  <c r="G8"/>
  <c r="H8"/>
  <c r="F22" i="29" l="1"/>
  <c r="F23"/>
  <c r="D17"/>
  <c r="F17" s="1"/>
  <c r="D6"/>
  <c r="C21" i="13"/>
  <c r="F21" s="1"/>
  <c r="D16" i="29"/>
  <c r="F16" s="1"/>
  <c r="C7" i="12"/>
  <c r="D7" i="11"/>
  <c r="H7" s="1"/>
  <c r="H37" s="1"/>
  <c r="F19" i="12" l="1"/>
  <c r="H19" s="1"/>
  <c r="E19"/>
  <c r="E20" s="1"/>
  <c r="F20" s="1"/>
  <c r="F45" i="13"/>
  <c r="G23" i="29"/>
  <c r="F24"/>
  <c r="F46" i="13"/>
  <c r="G22" i="29"/>
  <c r="G7" i="11"/>
  <c r="G37" s="1"/>
  <c r="F6" i="29"/>
  <c r="F7" s="1"/>
  <c r="E7" i="12"/>
  <c r="E8" s="1"/>
  <c r="F8" s="1"/>
  <c r="E9"/>
  <c r="F9" s="1"/>
  <c r="C23" i="13" s="1"/>
  <c r="F23" s="1"/>
  <c r="H20" i="12" l="1"/>
  <c r="M20" s="1"/>
  <c r="J20"/>
  <c r="K20" s="1"/>
  <c r="L20" s="1"/>
  <c r="F3" i="13"/>
  <c r="F3" i="32" s="1"/>
  <c r="I23" i="29"/>
  <c r="K23"/>
  <c r="G24"/>
  <c r="F47" i="13"/>
  <c r="I22" i="29"/>
  <c r="K22"/>
  <c r="I7" i="11"/>
  <c r="G6" i="29"/>
  <c r="K6" s="1"/>
  <c r="F7" i="12"/>
  <c r="J7" s="1"/>
  <c r="K7" s="1"/>
  <c r="L7" s="1"/>
  <c r="C24" i="13"/>
  <c r="J19" i="12"/>
  <c r="K19" s="1"/>
  <c r="L19" s="1"/>
  <c r="L21" s="1"/>
  <c r="C15" i="32" s="1"/>
  <c r="H14" i="12"/>
  <c r="I14" s="1"/>
  <c r="I37" i="11"/>
  <c r="J9" i="12"/>
  <c r="K9" s="1"/>
  <c r="L9" s="1"/>
  <c r="C13" i="32" s="1"/>
  <c r="H9" i="12"/>
  <c r="G16" i="29"/>
  <c r="F25" i="13"/>
  <c r="J8" i="12"/>
  <c r="K8" s="1"/>
  <c r="C22" i="13"/>
  <c r="F22" s="1"/>
  <c r="G17" i="29"/>
  <c r="F24" i="13"/>
  <c r="F18" i="29"/>
  <c r="C26" i="13"/>
  <c r="G7" i="29"/>
  <c r="F34" i="13"/>
  <c r="H8" i="12"/>
  <c r="J21" l="1"/>
  <c r="H21"/>
  <c r="K24" i="29"/>
  <c r="I24"/>
  <c r="I25" s="1"/>
  <c r="N22"/>
  <c r="L22"/>
  <c r="M22" s="1"/>
  <c r="L23"/>
  <c r="M23" s="1"/>
  <c r="N23"/>
  <c r="H7" i="12"/>
  <c r="M7" s="1"/>
  <c r="M9"/>
  <c r="I6" i="29"/>
  <c r="N6" s="1"/>
  <c r="M19" i="12"/>
  <c r="M21" s="1"/>
  <c r="H34"/>
  <c r="H43" s="1"/>
  <c r="J14"/>
  <c r="K14" s="1"/>
  <c r="L14" s="1"/>
  <c r="C14" i="32" s="1"/>
  <c r="F14" s="1"/>
  <c r="C13" i="13"/>
  <c r="F13" s="1"/>
  <c r="F27" i="32"/>
  <c r="F13"/>
  <c r="F29"/>
  <c r="F15"/>
  <c r="L8" i="12"/>
  <c r="C12" i="32" s="1"/>
  <c r="K7" i="29"/>
  <c r="L7" s="1"/>
  <c r="M7" s="1"/>
  <c r="I7"/>
  <c r="I17"/>
  <c r="K17"/>
  <c r="K16"/>
  <c r="I16"/>
  <c r="L6"/>
  <c r="M6" s="1"/>
  <c r="F33" i="13"/>
  <c r="F26"/>
  <c r="G18" i="29"/>
  <c r="C15" i="13"/>
  <c r="K21" i="12"/>
  <c r="M8"/>
  <c r="C11" i="13" l="1"/>
  <c r="F11" i="32"/>
  <c r="C11"/>
  <c r="F11" i="13"/>
  <c r="H23" i="12"/>
  <c r="K25" i="29"/>
  <c r="L25" s="1"/>
  <c r="L24"/>
  <c r="M24" s="1"/>
  <c r="M25" s="1"/>
  <c r="N24"/>
  <c r="N25" s="1"/>
  <c r="J34" i="12"/>
  <c r="K34" s="1"/>
  <c r="I34"/>
  <c r="C14" i="13"/>
  <c r="F14" s="1"/>
  <c r="M14" i="12"/>
  <c r="M23" s="1"/>
  <c r="C12" i="13"/>
  <c r="F12" s="1"/>
  <c r="F26" i="32"/>
  <c r="F12"/>
  <c r="N7" i="29"/>
  <c r="N8" s="1"/>
  <c r="L8"/>
  <c r="K8"/>
  <c r="F32" i="13"/>
  <c r="N16" i="29"/>
  <c r="L16"/>
  <c r="M16" s="1"/>
  <c r="I18"/>
  <c r="I19" s="1"/>
  <c r="K18"/>
  <c r="I8"/>
  <c r="M8"/>
  <c r="F36" i="13"/>
  <c r="F15"/>
  <c r="N17" i="29"/>
  <c r="L17"/>
  <c r="M17" s="1"/>
  <c r="L23" i="12"/>
  <c r="M34" l="1"/>
  <c r="M43" s="1"/>
  <c r="F49" i="13" s="1"/>
  <c r="F30" i="32"/>
  <c r="F37" i="13"/>
  <c r="L34" i="12"/>
  <c r="K43"/>
  <c r="C16" i="13"/>
  <c r="C20" s="1"/>
  <c r="C27" s="1"/>
  <c r="C16" i="32"/>
  <c r="C20" s="1"/>
  <c r="C28" i="13"/>
  <c r="N18" i="29"/>
  <c r="N19" s="1"/>
  <c r="F28" i="13" s="1"/>
  <c r="L18" i="29"/>
  <c r="K19"/>
  <c r="L19" s="1"/>
  <c r="I12"/>
  <c r="I13" s="1"/>
  <c r="L43" i="12" l="1"/>
  <c r="C28" i="32"/>
  <c r="F28" s="1"/>
  <c r="F34" s="1"/>
  <c r="C35" i="13"/>
  <c r="F35" s="1"/>
  <c r="F41" s="1"/>
  <c r="M18" i="29"/>
  <c r="M19" s="1"/>
  <c r="F16" i="32" s="1"/>
  <c r="F20" s="1"/>
  <c r="M13" i="29"/>
  <c r="N12"/>
  <c r="N13" s="1"/>
  <c r="C49" i="13" s="1"/>
  <c r="F48" l="1"/>
  <c r="F16"/>
  <c r="C37"/>
  <c r="C41" s="1"/>
  <c r="C48" s="1"/>
  <c r="C30" i="32"/>
  <c r="C34" s="1"/>
  <c r="F20" i="13" l="1"/>
  <c r="F27" s="1"/>
</calcChain>
</file>

<file path=xl/comments1.xml><?xml version="1.0" encoding="utf-8"?>
<comments xmlns="http://schemas.openxmlformats.org/spreadsheetml/2006/main">
  <authors>
    <author>usuario</author>
  </authors>
  <commentList>
    <comment ref="D16" authorId="0">
      <text>
        <r>
          <rPr>
            <b/>
            <sz val="9"/>
            <color indexed="81"/>
            <rFont val="Segoe UI"/>
            <charset val="1"/>
          </rPr>
          <t>Insira a altura aqui</t>
        </r>
      </text>
    </comment>
    <comment ref="E16" authorId="0">
      <text>
        <r>
          <rPr>
            <b/>
            <sz val="9"/>
            <color indexed="81"/>
            <rFont val="Segoe UI"/>
            <charset val="1"/>
          </rPr>
          <t xml:space="preserve">Insira a largura aqui
</t>
        </r>
      </text>
    </comment>
  </commentList>
</comments>
</file>

<file path=xl/sharedStrings.xml><?xml version="1.0" encoding="utf-8"?>
<sst xmlns="http://schemas.openxmlformats.org/spreadsheetml/2006/main" count="654" uniqueCount="211">
  <si>
    <t>Medida da Parede</t>
  </si>
  <si>
    <t xml:space="preserve">Quantidade real de modulos c/ sobras </t>
  </si>
  <si>
    <t>TOTAL</t>
  </si>
  <si>
    <t>Sobra de parede</t>
  </si>
  <si>
    <t xml:space="preserve">Quantidade correta de modulos </t>
  </si>
  <si>
    <t>Medida do Modulo</t>
  </si>
  <si>
    <t>QUANTIDADE DE MODULOS</t>
  </si>
  <si>
    <t>Oxalis</t>
  </si>
  <si>
    <t>Zebrina</t>
  </si>
  <si>
    <t>Descrição</t>
  </si>
  <si>
    <t>Unidade</t>
  </si>
  <si>
    <t>Quantidade</t>
  </si>
  <si>
    <t>Valor Unitário</t>
  </si>
  <si>
    <t>metro</t>
  </si>
  <si>
    <t>BASE BAIONETA FÊMEA P/ MICRO HADAR 7110 - CÓD. 101220021</t>
  </si>
  <si>
    <t>unidade</t>
  </si>
  <si>
    <t>TAMPÃO P/ BASE ROSCA 3/8 - NAAN COD. 8300036</t>
  </si>
  <si>
    <t>TE SOLD 25X1/2</t>
  </si>
  <si>
    <t>REGISTRO ESFERA 25MM SOLD</t>
  </si>
  <si>
    <t>ABRAÇADEIRA PARA CANO + PARAFUSO E BUCHA</t>
  </si>
  <si>
    <t>VEDA ROSCA</t>
  </si>
  <si>
    <t>FITA ISOLANTE</t>
  </si>
  <si>
    <t>COLA PARA PVC INCOLOR FRASCO 175G TIGRE</t>
  </si>
  <si>
    <t>TUBO PVC 3/4”</t>
  </si>
  <si>
    <t>barra 6 metros</t>
  </si>
  <si>
    <t>TINTA SPRAY PRETA FOSCA</t>
  </si>
  <si>
    <t>lata</t>
  </si>
  <si>
    <t>LIXA PARA CANO</t>
  </si>
  <si>
    <t xml:space="preserve">CONECTOR A PROVA D'ÁGUA </t>
  </si>
  <si>
    <t>Valor Total</t>
  </si>
  <si>
    <t>Preço</t>
  </si>
  <si>
    <t xml:space="preserve">Preço com Margem </t>
  </si>
  <si>
    <t>Total com Margem</t>
  </si>
  <si>
    <t>cuia</t>
  </si>
  <si>
    <t>Samambaia Americana</t>
  </si>
  <si>
    <t>Total Plantas</t>
  </si>
  <si>
    <t>Módulos</t>
  </si>
  <si>
    <t>Substrato</t>
  </si>
  <si>
    <t>saco 20 L</t>
  </si>
  <si>
    <t>Irrigação</t>
  </si>
  <si>
    <t>Mão de Obra</t>
  </si>
  <si>
    <t>CONECTOR INICIAL P/ TUBO PEBD  8MMX1/2 RAIN BIRD</t>
  </si>
  <si>
    <t>BATERIA 9 V</t>
  </si>
  <si>
    <t>TUBO GOTEJADOR 8 MM RAIN BIRD</t>
  </si>
  <si>
    <t>JOELHO SOLDÁVEL 90º - 25X1/2</t>
  </si>
  <si>
    <t xml:space="preserve">VÁLVULA P/ IRRIG. 100-HV 1" </t>
  </si>
  <si>
    <t xml:space="preserve">MODULO LNK WIFI </t>
  </si>
  <si>
    <t>LUVA SOLDÁVEL/ROSCA 25 X 3/4"</t>
  </si>
  <si>
    <t>FILTRO DISCO 3/4" 120 MESH IRRITEC</t>
  </si>
  <si>
    <t xml:space="preserve">UNIÃO SOLDÁVEL 25 MM </t>
  </si>
  <si>
    <t>Item</t>
  </si>
  <si>
    <t>Valor</t>
  </si>
  <si>
    <t>Total:</t>
  </si>
  <si>
    <t>Refletores</t>
  </si>
  <si>
    <t>Bandejas 15 mudas</t>
  </si>
  <si>
    <t>Cuia Premium</t>
  </si>
  <si>
    <t>Quantidade correta</t>
  </si>
  <si>
    <t xml:space="preserve">bandeja </t>
  </si>
  <si>
    <t>CONTROLADOR INTEGRADO A PILHA MOD. 1ZEHTMR - PAISAGISMO</t>
  </si>
  <si>
    <t>PAR DE PILHAS AA</t>
  </si>
  <si>
    <t>Iris Germânica</t>
  </si>
  <si>
    <t>Aspargo Alfinete</t>
  </si>
  <si>
    <t>Coléus Roxo</t>
  </si>
  <si>
    <t>Leriope Variegata</t>
  </si>
  <si>
    <t>Leriope Verde</t>
  </si>
  <si>
    <t>Ametista</t>
  </si>
  <si>
    <t>Bromélias</t>
  </si>
  <si>
    <t>Russélia</t>
  </si>
  <si>
    <t>Guaimbê/Dinheiro em penca</t>
  </si>
  <si>
    <t>Coléus Verde</t>
  </si>
  <si>
    <t>Santo Antônio</t>
  </si>
  <si>
    <t>CONTROLADOR A BATERIA WPX 2 ESTAÇÕES</t>
  </si>
  <si>
    <t>VÁLVULA P/ IRRIG. 100-DV 1"</t>
  </si>
  <si>
    <t>SOLENOIDE LATCHING 2 VIAS 9 VDC PARA VÁLVULA DV, PGA E PEB</t>
  </si>
  <si>
    <t>Andaimes</t>
  </si>
  <si>
    <t xml:space="preserve">diaria </t>
  </si>
  <si>
    <t>MacDrain</t>
  </si>
  <si>
    <t>Hospedagem</t>
  </si>
  <si>
    <t>Plantas</t>
  </si>
  <si>
    <t>Imposto</t>
  </si>
  <si>
    <t>metade do numero de modulos</t>
  </si>
  <si>
    <t>1 para cada linha</t>
  </si>
  <si>
    <t>altura do vertical</t>
  </si>
  <si>
    <t>um para cada saida de agua</t>
  </si>
  <si>
    <t>MO adm</t>
  </si>
  <si>
    <t xml:space="preserve">Substrato </t>
  </si>
  <si>
    <t>Costela de adão</t>
  </si>
  <si>
    <t>pote</t>
  </si>
  <si>
    <t>Lucro</t>
  </si>
  <si>
    <t>m2</t>
  </si>
  <si>
    <t>Diária ADM</t>
  </si>
  <si>
    <t>Diária MO</t>
  </si>
  <si>
    <t>Comissão</t>
  </si>
  <si>
    <t xml:space="preserve">Total Geral </t>
  </si>
  <si>
    <t>Total (Custo)</t>
  </si>
  <si>
    <t>Valor Un com Margem</t>
  </si>
  <si>
    <t>Valor total</t>
  </si>
  <si>
    <t>Total Mão de Obra</t>
  </si>
  <si>
    <t>CONTROL. P/ IRRIG. 6 ESTAÇÕES ESP-RZXe 230V OUTDOOR PARA WIFI</t>
  </si>
  <si>
    <t>CONTROL. P/ IRRIG. 8 ESTAÇÕES ESP-RZXe 230V OUTDOOR PARA WIFI</t>
  </si>
  <si>
    <t>Calhas</t>
  </si>
  <si>
    <t>dia</t>
  </si>
  <si>
    <t>COM ESPAÇAMENTO</t>
  </si>
  <si>
    <t>SEM ESPAÇAMENTO</t>
  </si>
  <si>
    <t>Sistema de Irrigação (materiais)</t>
  </si>
  <si>
    <t>SEM espaçamento com CUIAS</t>
  </si>
  <si>
    <t>Cliente:</t>
  </si>
  <si>
    <t>COM espaçamento com CUIAS e CAIXAS</t>
  </si>
  <si>
    <t>SEM espaçamento com CUIAS E CAIXAS</t>
  </si>
  <si>
    <t>COM espaçamento CUIAS</t>
  </si>
  <si>
    <t>Cuias</t>
  </si>
  <si>
    <t>Bandeja</t>
  </si>
  <si>
    <t>Costela de Adão</t>
  </si>
  <si>
    <t>Altura (m)</t>
  </si>
  <si>
    <t>Largura (m)</t>
  </si>
  <si>
    <t>Substrato  (saco)</t>
  </si>
  <si>
    <t>MacDrain (m)</t>
  </si>
  <si>
    <t>CONTROL. P/ IRRIG. 4 ESTAÇÕES ESP-RZXe 230V OUTDOOR PARA WIFI</t>
  </si>
  <si>
    <t>Croqui + ART</t>
  </si>
  <si>
    <t>Sara Poleto</t>
  </si>
  <si>
    <t>Valvula Anti Vácuo</t>
  </si>
  <si>
    <t>Planilha para Orçamento de Jardins Verticais</t>
  </si>
  <si>
    <t>Link</t>
  </si>
  <si>
    <t>Aba</t>
  </si>
  <si>
    <t>Descrição do Conteúdo</t>
  </si>
  <si>
    <t>Dashboard de Modulos</t>
  </si>
  <si>
    <t>Modulo Original</t>
  </si>
  <si>
    <t>Medida do Modulo com Espaçamento</t>
  </si>
  <si>
    <t>Altura</t>
  </si>
  <si>
    <t>Largura</t>
  </si>
  <si>
    <t>Total</t>
  </si>
  <si>
    <t>Parede 1</t>
  </si>
  <si>
    <t>Parede 2</t>
  </si>
  <si>
    <t>Parede 3</t>
  </si>
  <si>
    <t>1 - Insira as medidas totais da parede - Altura e Lagura</t>
  </si>
  <si>
    <t>Recomendações de Preenchimento</t>
  </si>
  <si>
    <t>Medida do Módulo</t>
  </si>
  <si>
    <t xml:space="preserve">Quantidade real de módulos c/ sobras </t>
  </si>
  <si>
    <t xml:space="preserve">Quantidade correta de módulos </t>
  </si>
  <si>
    <t>Quantidade de módulos</t>
  </si>
  <si>
    <t>Medida do módulo</t>
  </si>
  <si>
    <t>QUANTIDADE DE móduloS</t>
  </si>
  <si>
    <t>Detalhes da Obra</t>
  </si>
  <si>
    <t>Número de paredes</t>
  </si>
  <si>
    <t>Dimensões Parede 1</t>
  </si>
  <si>
    <t>Dimensões Parede 2</t>
  </si>
  <si>
    <t>Dimensões Parede 3</t>
  </si>
  <si>
    <t>Dimensões Parede 4</t>
  </si>
  <si>
    <t>Dimensões Parede 5</t>
  </si>
  <si>
    <t>Dimensões Parede 6</t>
  </si>
  <si>
    <t>Número de Linhas</t>
  </si>
  <si>
    <t>Quantidade Total de Módulos do Projeto</t>
  </si>
  <si>
    <t>Observações</t>
  </si>
  <si>
    <t>Características do Negócio</t>
  </si>
  <si>
    <t>Orçamento Geral</t>
  </si>
  <si>
    <t>Orçamento Plantas</t>
  </si>
  <si>
    <t>Quantidade de Plantas</t>
  </si>
  <si>
    <t>Cuias Premium</t>
  </si>
  <si>
    <t>Cuias e Espaçamento</t>
  </si>
  <si>
    <t>Composição da Jardim</t>
  </si>
  <si>
    <t>(%)</t>
  </si>
  <si>
    <t>Cuia</t>
  </si>
  <si>
    <t>Pote</t>
  </si>
  <si>
    <t>Número de Potes por Módulo</t>
  </si>
  <si>
    <t>Número de Cuias por Módulo</t>
  </si>
  <si>
    <t>Número de Bandejas por Módulo</t>
  </si>
  <si>
    <t>Número de Pessoas</t>
  </si>
  <si>
    <t>Dias de Trabalho</t>
  </si>
  <si>
    <t>Número de Paredes</t>
  </si>
  <si>
    <t>Funcionários</t>
  </si>
  <si>
    <t>Dias de trabalho</t>
  </si>
  <si>
    <t>Número de Módulos por funcionário (dia)</t>
  </si>
  <si>
    <t>Parede 1 - Altura (m)</t>
  </si>
  <si>
    <t>Parede 2 - Largura (m)</t>
  </si>
  <si>
    <t>Parede 1 - Largura (m)</t>
  </si>
  <si>
    <t>Parede 2 - Altura (m)</t>
  </si>
  <si>
    <t>Premissas</t>
  </si>
  <si>
    <t>Descrição das principais características do jardim vertical e da realização do serviço.</t>
  </si>
  <si>
    <t>Resumo dos Resultados</t>
  </si>
  <si>
    <t>Apresentação dos valores resultantes da realização do serviço.</t>
  </si>
  <si>
    <t>Dashboard de Mod. Espaçados</t>
  </si>
  <si>
    <t>Cálculo da quantidade de módulos que totalizam o jardim vertical.</t>
  </si>
  <si>
    <t>Cálculo da quantidade de módulos com espaçamento que totalizam o jardim vertical.</t>
  </si>
  <si>
    <t>Cálculo Irrigação</t>
  </si>
  <si>
    <t>Elaboração do cálculo dos valores de equipamentos para a irrigação.</t>
  </si>
  <si>
    <t>Croqui</t>
  </si>
  <si>
    <t>Design do jardim vertical planejado.</t>
  </si>
  <si>
    <t>Cálculo dos gastos gerais da elaboração do jardim vertical</t>
  </si>
  <si>
    <t>Soma dos gastos com plantas para o jardim vertical.</t>
  </si>
  <si>
    <t>Versão Impressão</t>
  </si>
  <si>
    <t>Resultados resumidos</t>
  </si>
  <si>
    <t>Premissas Comerciais</t>
  </si>
  <si>
    <t>Parede 4</t>
  </si>
  <si>
    <t>Parede 5</t>
  </si>
  <si>
    <t>Unidades por Módulo</t>
  </si>
  <si>
    <t>Dimensões do Módulo</t>
  </si>
  <si>
    <t>2 - Repita o procedimento para cada parede</t>
  </si>
  <si>
    <t>4 - Insira o tamanho dos Módulos</t>
  </si>
  <si>
    <t>3 -Descreva o aproveitamento tipos de plantas por módulo.</t>
  </si>
  <si>
    <t>6 - Confira as Condições de comercialização do serviço</t>
  </si>
  <si>
    <t>Parede 6</t>
  </si>
  <si>
    <t>Dimensões do Módulo COM Espaçamento</t>
  </si>
  <si>
    <t>5 - Defina a quantia de pessoas para o serviço</t>
  </si>
  <si>
    <t>ORÇAMENTO PEÇAS IRRIGAÇÃO</t>
  </si>
  <si>
    <t>Cuias e Caixas com Espaçamento</t>
  </si>
  <si>
    <t>(Nome do Cliente)</t>
  </si>
  <si>
    <t>Cuias e Caixas sem Espaçamento</t>
  </si>
  <si>
    <t xml:space="preserve">Número de Linhas </t>
  </si>
  <si>
    <t>uma por ponto dágua e a cada 6 metros</t>
  </si>
  <si>
    <t>para fixar o tubo (cano)</t>
  </si>
  <si>
    <t>igual ao numero de linhas de módulos</t>
  </si>
</sst>
</file>

<file path=xl/styles.xml><?xml version="1.0" encoding="utf-8"?>
<styleSheet xmlns="http://schemas.openxmlformats.org/spreadsheetml/2006/main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* #,##0.00_-;_-[$R$-416]* \(#,##0.00\)_-;_-[$R$-416]* &quot;-&quot;??;_-@_-"/>
    <numFmt numFmtId="165" formatCode="0.0"/>
  </numFmts>
  <fonts count="50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b/>
      <sz val="10"/>
      <color indexed="8"/>
      <name val="Helvetica Neue"/>
    </font>
    <font>
      <b/>
      <sz val="10"/>
      <color indexed="9"/>
      <name val="Exo 2"/>
    </font>
    <font>
      <b/>
      <sz val="10"/>
      <color indexed="8"/>
      <name val="Exo 2"/>
    </font>
    <font>
      <sz val="10"/>
      <color indexed="8"/>
      <name val="Exo 2"/>
    </font>
    <font>
      <sz val="10"/>
      <color indexed="47"/>
      <name val="Exo 2"/>
    </font>
    <font>
      <sz val="9"/>
      <color indexed="8"/>
      <name val="Exo 2"/>
    </font>
    <font>
      <sz val="12"/>
      <color indexed="8"/>
      <name val="Exo 2"/>
    </font>
    <font>
      <sz val="12"/>
      <color rgb="FF000000"/>
      <name val="Exo 2"/>
    </font>
    <font>
      <sz val="10"/>
      <color indexed="8"/>
      <name val="Helvetica Neue"/>
    </font>
    <font>
      <b/>
      <sz val="12"/>
      <color theme="0"/>
      <name val="Exo 2"/>
    </font>
    <font>
      <sz val="11"/>
      <color theme="1"/>
      <name val="Exo 2"/>
    </font>
    <font>
      <sz val="6"/>
      <color theme="1"/>
      <name val="Exo 2"/>
    </font>
    <font>
      <sz val="1"/>
      <color theme="1"/>
      <name val="Exo 2"/>
    </font>
    <font>
      <sz val="11"/>
      <color indexed="8"/>
      <name val="Exo 2"/>
    </font>
    <font>
      <sz val="36"/>
      <color indexed="17"/>
      <name val="Exo 2"/>
    </font>
    <font>
      <b/>
      <sz val="11"/>
      <color indexed="8"/>
      <name val="Exo 2"/>
    </font>
    <font>
      <b/>
      <sz val="10"/>
      <color rgb="FFFF0000"/>
      <name val="Exo 2"/>
    </font>
    <font>
      <sz val="10"/>
      <color rgb="FFFF0000"/>
      <name val="Exo 2"/>
    </font>
    <font>
      <sz val="10"/>
      <color rgb="FFFF0000"/>
      <name val="Helvetica Neue"/>
    </font>
    <font>
      <b/>
      <sz val="10"/>
      <color theme="1"/>
      <name val="Exo 2"/>
    </font>
    <font>
      <sz val="10"/>
      <color rgb="FF0070C0"/>
      <name val="Helvetica Neue"/>
    </font>
    <font>
      <b/>
      <sz val="10"/>
      <color indexed="47"/>
      <name val="Exo 2"/>
    </font>
    <font>
      <sz val="10"/>
      <color theme="1"/>
      <name val="Exo 2"/>
    </font>
    <font>
      <sz val="12"/>
      <color indexed="8"/>
      <name val="Ebrima"/>
    </font>
    <font>
      <b/>
      <sz val="10"/>
      <color theme="3"/>
      <name val="Helvetica Neue"/>
    </font>
    <font>
      <b/>
      <sz val="9"/>
      <color indexed="8"/>
      <name val="Exo 2"/>
    </font>
    <font>
      <b/>
      <sz val="9"/>
      <color theme="0"/>
      <name val="Exo 2"/>
    </font>
    <font>
      <b/>
      <sz val="20"/>
      <color theme="5"/>
      <name val="Exo 2"/>
    </font>
    <font>
      <sz val="8"/>
      <name val="Helvetica Neue"/>
    </font>
    <font>
      <sz val="9"/>
      <color theme="0" tint="-0.499984740745262"/>
      <name val="Exo 2"/>
    </font>
    <font>
      <b/>
      <sz val="20"/>
      <color indexed="17"/>
      <name val="Exo 2"/>
    </font>
    <font>
      <b/>
      <sz val="9"/>
      <color theme="1"/>
      <name val="Exo 2"/>
    </font>
    <font>
      <sz val="9"/>
      <color theme="1"/>
      <name val="Exo 2"/>
    </font>
    <font>
      <sz val="9"/>
      <color rgb="FFFF0000"/>
      <name val="Exo 2"/>
    </font>
    <font>
      <sz val="9"/>
      <color theme="4" tint="-0.249977111117893"/>
      <name val="Exo 2"/>
    </font>
    <font>
      <sz val="9"/>
      <color indexed="8"/>
      <name val="Helvetica Neue"/>
    </font>
    <font>
      <sz val="10"/>
      <color rgb="FF000000"/>
      <name val="Exo 2"/>
    </font>
    <font>
      <b/>
      <sz val="10"/>
      <color theme="0"/>
      <name val="Exo 2"/>
    </font>
    <font>
      <b/>
      <sz val="9"/>
      <color theme="0" tint="-0.499984740745262"/>
      <name val="Exo 2"/>
    </font>
    <font>
      <sz val="10"/>
      <color theme="0" tint="-0.499984740745262"/>
      <name val="Exo 2"/>
    </font>
    <font>
      <sz val="11"/>
      <color theme="0" tint="-0.499984740745262"/>
      <name val="Exo 2"/>
    </font>
    <font>
      <b/>
      <sz val="11"/>
      <color theme="0"/>
      <name val="Exo 2"/>
    </font>
    <font>
      <b/>
      <sz val="11"/>
      <color theme="1"/>
      <name val="Exo 2"/>
    </font>
    <font>
      <b/>
      <sz val="9"/>
      <color theme="5"/>
      <name val="Exo 2"/>
    </font>
    <font>
      <sz val="9"/>
      <color theme="1" tint="4.9989318521683403E-2"/>
      <name val="Exo 2"/>
    </font>
    <font>
      <sz val="10"/>
      <color rgb="FF0070C0"/>
      <name val="Exo 2"/>
    </font>
    <font>
      <sz val="9"/>
      <color theme="6" tint="-0.249977111117893"/>
      <name val="Exo 2"/>
    </font>
    <font>
      <b/>
      <sz val="9"/>
      <color indexed="81"/>
      <name val="Segoe UI"/>
      <charset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41"/>
        <bgColor auto="1"/>
      </patternFill>
    </fill>
    <fill>
      <patternFill patternType="solid">
        <fgColor rgb="FFFEFEFE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9C8B"/>
        <bgColor indexed="64"/>
      </patternFill>
    </fill>
    <fill>
      <patternFill patternType="solid">
        <fgColor rgb="FF10B8B0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/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/>
      <right style="thin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8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8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8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8"/>
      </left>
      <right style="thin">
        <color indexed="8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8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indexed="8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34998626667073579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thin">
        <color theme="1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4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2"/>
      </left>
      <right style="thin">
        <color indexed="42"/>
      </right>
      <top/>
      <bottom style="thin">
        <color indexed="64"/>
      </bottom>
      <diagonal/>
    </border>
    <border>
      <left/>
      <right/>
      <top style="dotted">
        <color indexed="42"/>
      </top>
      <bottom style="thin">
        <color indexed="64"/>
      </bottom>
      <diagonal/>
    </border>
    <border>
      <left style="thin">
        <color indexed="64"/>
      </left>
      <right style="thin">
        <color indexed="42"/>
      </right>
      <top style="thin">
        <color indexed="64"/>
      </top>
      <bottom style="thin">
        <color indexed="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42"/>
      </top>
      <bottom style="thin">
        <color indexed="64"/>
      </bottom>
      <diagonal/>
    </border>
    <border>
      <left style="thin">
        <color indexed="4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42"/>
      </bottom>
      <diagonal/>
    </border>
    <border>
      <left/>
      <right style="thin">
        <color indexed="64"/>
      </right>
      <top/>
      <bottom style="dotted">
        <color indexed="42"/>
      </bottom>
      <diagonal/>
    </border>
    <border>
      <left style="thin">
        <color indexed="42"/>
      </left>
      <right style="thin">
        <color indexed="4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4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indexed="42"/>
      </bottom>
      <diagonal/>
    </border>
    <border>
      <left/>
      <right style="thin">
        <color indexed="64"/>
      </right>
      <top style="thin">
        <color indexed="64"/>
      </top>
      <bottom style="dotted">
        <color indexed="42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499984740745262"/>
      </top>
      <bottom style="thin">
        <color indexed="64"/>
      </bottom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indexed="64"/>
      </right>
      <top style="dotted">
        <color theme="0" tint="-0.499984740745262"/>
      </top>
      <bottom/>
      <diagonal/>
    </border>
    <border>
      <left style="thin">
        <color indexed="42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theme="5"/>
      </bottom>
      <diagonal/>
    </border>
    <border>
      <left/>
      <right/>
      <top style="dotted">
        <color theme="0" tint="-0.499984740745262"/>
      </top>
      <bottom style="thin">
        <color theme="5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theme="5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5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thin">
        <color theme="0" tint="-0.34998626667073579"/>
      </bottom>
      <diagonal/>
    </border>
    <border>
      <left/>
      <right/>
      <top style="thin">
        <color theme="5"/>
      </top>
      <bottom style="thin">
        <color theme="0" tint="-0.34998626667073579"/>
      </bottom>
      <diagonal/>
    </border>
    <border>
      <left/>
      <right style="thin">
        <color theme="5"/>
      </right>
      <top style="thin">
        <color theme="5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 applyNumberFormat="0" applyFill="0" applyBorder="0" applyProtection="0">
      <alignment vertical="top" wrapText="1"/>
    </xf>
    <xf numFmtId="0" fontId="10" fillId="0" borderId="4" applyNumberFormat="0" applyFill="0" applyBorder="0" applyProtection="0">
      <alignment vertical="top" wrapText="1"/>
    </xf>
    <xf numFmtId="44" fontId="10" fillId="0" borderId="4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4"/>
    <xf numFmtId="9" fontId="10" fillId="0" borderId="0" applyFont="0" applyFill="0" applyBorder="0" applyAlignment="0" applyProtection="0"/>
  </cellStyleXfs>
  <cellXfs count="548">
    <xf numFmtId="0" fontId="0" fillId="0" borderId="0" xfId="0" applyFont="1" applyAlignment="1">
      <alignment vertical="top" wrapText="1"/>
    </xf>
    <xf numFmtId="0" fontId="0" fillId="0" borderId="4" xfId="1" applyFont="1" applyAlignment="1">
      <alignment vertical="top" wrapText="1"/>
    </xf>
    <xf numFmtId="0" fontId="0" fillId="0" borderId="4" xfId="1" applyNumberFormat="1" applyFont="1" applyAlignment="1">
      <alignment vertical="top" wrapText="1"/>
    </xf>
    <xf numFmtId="0" fontId="0" fillId="0" borderId="4" xfId="1" applyNumberFormat="1" applyFont="1" applyAlignment="1">
      <alignment vertical="center" wrapText="1"/>
    </xf>
    <xf numFmtId="44" fontId="0" fillId="0" borderId="4" xfId="2" applyFont="1" applyAlignment="1">
      <alignment vertical="center" wrapText="1"/>
    </xf>
    <xf numFmtId="8" fontId="8" fillId="4" borderId="4" xfId="1" applyNumberFormat="1" applyFont="1" applyFill="1" applyBorder="1" applyAlignment="1">
      <alignment vertical="center" wrapText="1"/>
    </xf>
    <xf numFmtId="0" fontId="9" fillId="4" borderId="4" xfId="1" applyFont="1" applyFill="1" applyBorder="1" applyAlignment="1">
      <alignment vertical="center" wrapText="1"/>
    </xf>
    <xf numFmtId="0" fontId="0" fillId="0" borderId="4" xfId="1" applyFont="1" applyAlignment="1">
      <alignment vertical="center" wrapText="1"/>
    </xf>
    <xf numFmtId="0" fontId="0" fillId="0" borderId="4" xfId="1" applyFont="1" applyAlignment="1">
      <alignment horizontal="right" vertical="top" wrapText="1"/>
    </xf>
    <xf numFmtId="0" fontId="5" fillId="0" borderId="4" xfId="1" applyFont="1" applyAlignment="1">
      <alignment vertical="center" wrapText="1"/>
    </xf>
    <xf numFmtId="0" fontId="5" fillId="0" borderId="4" xfId="1" applyFont="1" applyAlignment="1">
      <alignment vertical="top" wrapText="1"/>
    </xf>
    <xf numFmtId="44" fontId="5" fillId="0" borderId="4" xfId="2" applyFont="1" applyAlignment="1">
      <alignment horizontal="right" vertical="center" wrapText="1"/>
    </xf>
    <xf numFmtId="0" fontId="5" fillId="0" borderId="4" xfId="1" applyFont="1" applyAlignment="1">
      <alignment vertical="center"/>
    </xf>
    <xf numFmtId="0" fontId="12" fillId="6" borderId="4" xfId="4" applyFont="1" applyFill="1" applyAlignment="1">
      <alignment vertical="center"/>
    </xf>
    <xf numFmtId="0" fontId="12" fillId="6" borderId="4" xfId="4" applyFont="1" applyFill="1"/>
    <xf numFmtId="0" fontId="14" fillId="6" borderId="4" xfId="4" applyFont="1" applyFill="1"/>
    <xf numFmtId="0" fontId="12" fillId="6" borderId="4" xfId="4" applyFont="1" applyFill="1" applyAlignment="1">
      <alignment horizontal="center" vertical="center"/>
    </xf>
    <xf numFmtId="0" fontId="14" fillId="6" borderId="4" xfId="4" applyFont="1" applyFill="1" applyAlignment="1">
      <alignment horizontal="center"/>
    </xf>
    <xf numFmtId="0" fontId="12" fillId="6" borderId="4" xfId="4" applyFont="1" applyFill="1" applyAlignment="1">
      <alignment horizontal="center"/>
    </xf>
    <xf numFmtId="0" fontId="12" fillId="6" borderId="6" xfId="4" applyFont="1" applyFill="1" applyBorder="1" applyAlignment="1">
      <alignment vertical="center"/>
    </xf>
    <xf numFmtId="0" fontId="12" fillId="6" borderId="7" xfId="4" applyFont="1" applyFill="1" applyBorder="1"/>
    <xf numFmtId="0" fontId="12" fillId="6" borderId="8" xfId="4" applyFont="1" applyFill="1" applyBorder="1"/>
    <xf numFmtId="0" fontId="12" fillId="6" borderId="9" xfId="4" applyFont="1" applyFill="1" applyBorder="1" applyAlignment="1">
      <alignment vertical="center"/>
    </xf>
    <xf numFmtId="0" fontId="12" fillId="6" borderId="4" xfId="4" applyFont="1" applyFill="1" applyBorder="1"/>
    <xf numFmtId="0" fontId="12" fillId="6" borderId="10" xfId="4" applyFont="1" applyFill="1" applyBorder="1"/>
    <xf numFmtId="0" fontId="12" fillId="6" borderId="4" xfId="4" applyFont="1" applyFill="1" applyBorder="1" applyAlignment="1"/>
    <xf numFmtId="0" fontId="12" fillId="6" borderId="11" xfId="4" applyFont="1" applyFill="1" applyBorder="1" applyAlignment="1">
      <alignment vertical="center"/>
    </xf>
    <xf numFmtId="0" fontId="12" fillId="6" borderId="12" xfId="4" applyFont="1" applyFill="1" applyBorder="1"/>
    <xf numFmtId="0" fontId="12" fillId="6" borderId="12" xfId="4" applyFont="1" applyFill="1" applyBorder="1" applyAlignment="1">
      <alignment horizontal="left"/>
    </xf>
    <xf numFmtId="0" fontId="12" fillId="6" borderId="13" xfId="4" applyFont="1" applyFill="1" applyBorder="1"/>
    <xf numFmtId="0" fontId="12" fillId="6" borderId="4" xfId="4" applyFont="1" applyFill="1" applyAlignment="1">
      <alignment horizontal="left"/>
    </xf>
    <xf numFmtId="0" fontId="12" fillId="0" borderId="4" xfId="4" applyFont="1"/>
    <xf numFmtId="8" fontId="0" fillId="0" borderId="4" xfId="1" applyNumberFormat="1" applyFont="1" applyAlignment="1">
      <alignment vertical="center" wrapText="1"/>
    </xf>
    <xf numFmtId="0" fontId="15" fillId="0" borderId="0" xfId="0" applyNumberFormat="1" applyFont="1" applyAlignment="1"/>
    <xf numFmtId="0" fontId="5" fillId="0" borderId="0" xfId="0" applyFont="1" applyAlignment="1">
      <alignment vertical="top" wrapText="1"/>
    </xf>
    <xf numFmtId="0" fontId="15" fillId="6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0" fontId="8" fillId="0" borderId="4" xfId="1" applyFont="1" applyBorder="1" applyAlignment="1">
      <alignment vertical="center" wrapText="1"/>
    </xf>
    <xf numFmtId="0" fontId="20" fillId="0" borderId="4" xfId="1" applyNumberFormat="1" applyFont="1" applyAlignment="1">
      <alignment vertical="center" wrapText="1"/>
    </xf>
    <xf numFmtId="0" fontId="0" fillId="0" borderId="4" xfId="1" applyNumberFormat="1" applyFont="1" applyFill="1" applyBorder="1" applyAlignment="1">
      <alignment vertical="center" wrapText="1"/>
    </xf>
    <xf numFmtId="0" fontId="20" fillId="0" borderId="4" xfId="1" applyNumberFormat="1" applyFont="1" applyAlignment="1">
      <alignment vertical="top" wrapText="1"/>
    </xf>
    <xf numFmtId="0" fontId="2" fillId="0" borderId="4" xfId="1" applyNumberFormat="1" applyFont="1" applyAlignment="1">
      <alignment vertical="top" wrapText="1"/>
    </xf>
    <xf numFmtId="0" fontId="22" fillId="0" borderId="4" xfId="1" applyNumberFormat="1" applyFont="1" applyAlignment="1">
      <alignment vertical="top" wrapText="1"/>
    </xf>
    <xf numFmtId="44" fontId="0" fillId="0" borderId="4" xfId="2" applyFont="1" applyBorder="1" applyAlignment="1">
      <alignment vertical="center" wrapText="1"/>
    </xf>
    <xf numFmtId="0" fontId="4" fillId="2" borderId="19" xfId="1" applyFont="1" applyFill="1" applyBorder="1" applyAlignment="1">
      <alignment vertical="center" wrapText="1"/>
    </xf>
    <xf numFmtId="0" fontId="5" fillId="2" borderId="19" xfId="1" applyFont="1" applyFill="1" applyBorder="1" applyAlignment="1">
      <alignment horizontal="center" vertical="center" wrapText="1"/>
    </xf>
    <xf numFmtId="164" fontId="5" fillId="2" borderId="19" xfId="1" applyNumberFormat="1" applyFont="1" applyFill="1" applyBorder="1" applyAlignment="1">
      <alignment horizontal="center" vertical="center" wrapText="1"/>
    </xf>
    <xf numFmtId="164" fontId="19" fillId="2" borderId="19" xfId="1" applyNumberFormat="1" applyFont="1" applyFill="1" applyBorder="1" applyAlignment="1">
      <alignment horizontal="center" vertical="center" wrapText="1"/>
    </xf>
    <xf numFmtId="164" fontId="6" fillId="2" borderId="19" xfId="1" applyNumberFormat="1" applyFont="1" applyFill="1" applyBorder="1" applyAlignment="1">
      <alignment horizontal="center" vertical="center" wrapText="1"/>
    </xf>
    <xf numFmtId="44" fontId="5" fillId="0" borderId="4" xfId="2" applyFont="1" applyFill="1" applyBorder="1" applyAlignment="1">
      <alignment horizontal="right" vertical="center" wrapText="1"/>
    </xf>
    <xf numFmtId="0" fontId="11" fillId="0" borderId="4" xfId="1" applyFont="1" applyFill="1" applyBorder="1" applyAlignment="1">
      <alignment horizontal="center" vertical="center" wrapText="1"/>
    </xf>
    <xf numFmtId="44" fontId="8" fillId="0" borderId="4" xfId="2" applyNumberFormat="1" applyFont="1" applyFill="1" applyBorder="1" applyAlignment="1">
      <alignment horizontal="right" vertical="center" wrapText="1"/>
    </xf>
    <xf numFmtId="44" fontId="8" fillId="0" borderId="4" xfId="2" applyFont="1" applyFill="1" applyBorder="1" applyAlignment="1">
      <alignment horizontal="right" vertical="center" wrapText="1"/>
    </xf>
    <xf numFmtId="2" fontId="5" fillId="0" borderId="4" xfId="2" applyNumberFormat="1" applyFont="1" applyAlignment="1">
      <alignment horizontal="right" vertical="center" wrapText="1"/>
    </xf>
    <xf numFmtId="0" fontId="9" fillId="0" borderId="4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vertical="center" wrapText="1"/>
    </xf>
    <xf numFmtId="9" fontId="5" fillId="0" borderId="4" xfId="3" applyNumberFormat="1" applyFont="1" applyFill="1" applyBorder="1" applyAlignment="1">
      <alignment horizontal="center" vertical="center" wrapText="1"/>
    </xf>
    <xf numFmtId="44" fontId="5" fillId="0" borderId="4" xfId="3" applyNumberFormat="1" applyFont="1" applyFill="1" applyBorder="1" applyAlignment="1">
      <alignment horizontal="center" vertical="center" wrapText="1"/>
    </xf>
    <xf numFmtId="0" fontId="0" fillId="6" borderId="4" xfId="1" applyFont="1" applyFill="1" applyBorder="1" applyAlignment="1">
      <alignment vertical="center" wrapText="1"/>
    </xf>
    <xf numFmtId="49" fontId="4" fillId="6" borderId="4" xfId="1" applyNumberFormat="1" applyFont="1" applyFill="1" applyBorder="1" applyAlignment="1">
      <alignment vertical="center" wrapText="1"/>
    </xf>
    <xf numFmtId="2" fontId="5" fillId="6" borderId="4" xfId="1" applyNumberFormat="1" applyFont="1" applyFill="1" applyBorder="1" applyAlignment="1">
      <alignment horizontal="center" vertical="center" wrapText="1"/>
    </xf>
    <xf numFmtId="49" fontId="5" fillId="6" borderId="4" xfId="1" applyNumberFormat="1" applyFont="1" applyFill="1" applyBorder="1" applyAlignment="1">
      <alignment horizontal="center" vertical="center" wrapText="1"/>
    </xf>
    <xf numFmtId="0" fontId="5" fillId="6" borderId="4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164" fontId="19" fillId="6" borderId="4" xfId="1" applyNumberFormat="1" applyFont="1" applyFill="1" applyBorder="1" applyAlignment="1">
      <alignment horizontal="center" vertical="center" wrapText="1"/>
    </xf>
    <xf numFmtId="164" fontId="4" fillId="6" borderId="4" xfId="1" applyNumberFormat="1" applyFont="1" applyFill="1" applyBorder="1" applyAlignment="1">
      <alignment horizontal="center" vertical="center" wrapText="1"/>
    </xf>
    <xf numFmtId="164" fontId="6" fillId="6" borderId="4" xfId="1" applyNumberFormat="1" applyFont="1" applyFill="1" applyBorder="1" applyAlignment="1">
      <alignment horizontal="center" vertical="center" wrapText="1"/>
    </xf>
    <xf numFmtId="44" fontId="0" fillId="6" borderId="4" xfId="2" applyFont="1" applyFill="1" applyBorder="1" applyAlignment="1">
      <alignment vertical="center" wrapText="1"/>
    </xf>
    <xf numFmtId="0" fontId="0" fillId="6" borderId="4" xfId="1" applyNumberFormat="1" applyFont="1" applyFill="1" applyBorder="1" applyAlignment="1">
      <alignment vertical="center" wrapText="1"/>
    </xf>
    <xf numFmtId="0" fontId="5" fillId="6" borderId="4" xfId="1" applyFont="1" applyFill="1" applyBorder="1" applyAlignment="1">
      <alignment horizontal="center" vertical="center" wrapText="1"/>
    </xf>
    <xf numFmtId="1" fontId="5" fillId="6" borderId="4" xfId="1" applyNumberFormat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vertical="center" wrapText="1"/>
    </xf>
    <xf numFmtId="49" fontId="5" fillId="6" borderId="4" xfId="1" applyNumberFormat="1" applyFont="1" applyFill="1" applyBorder="1" applyAlignment="1">
      <alignment vertical="center" wrapText="1"/>
    </xf>
    <xf numFmtId="0" fontId="4" fillId="6" borderId="4" xfId="1" applyFont="1" applyFill="1" applyBorder="1" applyAlignment="1">
      <alignment horizontal="center" vertical="center" wrapText="1"/>
    </xf>
    <xf numFmtId="49" fontId="4" fillId="6" borderId="4" xfId="1" applyNumberFormat="1" applyFont="1" applyFill="1" applyBorder="1" applyAlignment="1">
      <alignment horizontal="center" vertical="center" wrapText="1"/>
    </xf>
    <xf numFmtId="2" fontId="4" fillId="6" borderId="4" xfId="1" applyNumberFormat="1" applyFont="1" applyFill="1" applyBorder="1" applyAlignment="1">
      <alignment horizontal="center" vertical="center" wrapText="1"/>
    </xf>
    <xf numFmtId="1" fontId="4" fillId="6" borderId="4" xfId="1" applyNumberFormat="1" applyFont="1" applyFill="1" applyBorder="1" applyAlignment="1">
      <alignment horizontal="center" vertical="center" wrapText="1"/>
    </xf>
    <xf numFmtId="164" fontId="18" fillId="6" borderId="4" xfId="1" applyNumberFormat="1" applyFont="1" applyFill="1" applyBorder="1" applyAlignment="1">
      <alignment horizontal="center" vertical="center" wrapText="1"/>
    </xf>
    <xf numFmtId="164" fontId="23" fillId="6" borderId="4" xfId="1" applyNumberFormat="1" applyFont="1" applyFill="1" applyBorder="1" applyAlignment="1">
      <alignment horizontal="center" vertical="center" wrapText="1"/>
    </xf>
    <xf numFmtId="44" fontId="2" fillId="6" borderId="4" xfId="2" applyFont="1" applyFill="1" applyBorder="1" applyAlignment="1">
      <alignment vertical="center" wrapText="1"/>
    </xf>
    <xf numFmtId="44" fontId="5" fillId="6" borderId="4" xfId="2" applyFont="1" applyFill="1" applyBorder="1" applyAlignment="1">
      <alignment vertical="center" wrapText="1"/>
    </xf>
    <xf numFmtId="44" fontId="5" fillId="6" borderId="4" xfId="1" applyNumberFormat="1" applyFont="1" applyFill="1" applyBorder="1" applyAlignment="1">
      <alignment horizontal="center" vertical="center" wrapText="1"/>
    </xf>
    <xf numFmtId="44" fontId="5" fillId="6" borderId="4" xfId="1" applyNumberFormat="1" applyFont="1" applyFill="1" applyBorder="1" applyAlignment="1">
      <alignment horizontal="left" vertical="center" wrapText="1" readingOrder="1"/>
    </xf>
    <xf numFmtId="0" fontId="7" fillId="6" borderId="4" xfId="1" applyFont="1" applyFill="1" applyBorder="1" applyAlignment="1">
      <alignment horizontal="center" vertical="center" wrapText="1"/>
    </xf>
    <xf numFmtId="44" fontId="4" fillId="6" borderId="4" xfId="2" applyFont="1" applyFill="1" applyBorder="1" applyAlignment="1">
      <alignment vertical="center" wrapText="1"/>
    </xf>
    <xf numFmtId="44" fontId="4" fillId="6" borderId="4" xfId="1" applyNumberFormat="1" applyFont="1" applyFill="1" applyBorder="1" applyAlignment="1">
      <alignment horizontal="left" vertical="center" wrapText="1" readingOrder="1"/>
    </xf>
    <xf numFmtId="49" fontId="17" fillId="6" borderId="4" xfId="1" applyNumberFormat="1" applyFont="1" applyFill="1" applyBorder="1" applyAlignment="1">
      <alignment vertical="center" wrapText="1"/>
    </xf>
    <xf numFmtId="164" fontId="21" fillId="6" borderId="4" xfId="1" applyNumberFormat="1" applyFont="1" applyFill="1" applyBorder="1" applyAlignment="1">
      <alignment horizontal="center" vertical="center" wrapText="1"/>
    </xf>
    <xf numFmtId="44" fontId="4" fillId="6" borderId="4" xfId="1" applyNumberFormat="1" applyFont="1" applyFill="1" applyBorder="1" applyAlignment="1">
      <alignment horizontal="center" vertical="center" wrapText="1"/>
    </xf>
    <xf numFmtId="0" fontId="20" fillId="6" borderId="4" xfId="1" applyNumberFormat="1" applyFont="1" applyFill="1" applyBorder="1" applyAlignment="1">
      <alignment vertical="center" wrapText="1"/>
    </xf>
    <xf numFmtId="0" fontId="25" fillId="0" borderId="4" xfId="1" applyFont="1" applyAlignment="1">
      <alignment horizontal="center" vertical="top" wrapText="1"/>
    </xf>
    <xf numFmtId="0" fontId="7" fillId="0" borderId="0" xfId="0" applyNumberFormat="1" applyFont="1" applyAlignment="1"/>
    <xf numFmtId="0" fontId="7" fillId="0" borderId="0" xfId="0" applyFont="1" applyAlignment="1">
      <alignment vertical="top" wrapText="1"/>
    </xf>
    <xf numFmtId="0" fontId="15" fillId="2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45" xfId="0" applyNumberFormat="1" applyFont="1" applyFill="1" applyBorder="1" applyAlignment="1">
      <alignment horizontal="center" vertical="center"/>
    </xf>
    <xf numFmtId="0" fontId="7" fillId="6" borderId="46" xfId="0" applyNumberFormat="1" applyFont="1" applyFill="1" applyBorder="1" applyAlignment="1">
      <alignment horizontal="center" vertical="center"/>
    </xf>
    <xf numFmtId="49" fontId="28" fillId="8" borderId="45" xfId="0" applyNumberFormat="1" applyFont="1" applyFill="1" applyBorder="1" applyAlignment="1">
      <alignment horizontal="center" vertical="center"/>
    </xf>
    <xf numFmtId="0" fontId="28" fillId="8" borderId="46" xfId="0" applyFont="1" applyFill="1" applyBorder="1" applyAlignment="1">
      <alignment horizontal="center" vertical="center"/>
    </xf>
    <xf numFmtId="165" fontId="7" fillId="6" borderId="49" xfId="0" applyNumberFormat="1" applyFont="1" applyFill="1" applyBorder="1" applyAlignment="1">
      <alignment horizontal="center" vertical="center"/>
    </xf>
    <xf numFmtId="165" fontId="7" fillId="6" borderId="50" xfId="0" applyNumberFormat="1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vertical="center"/>
    </xf>
    <xf numFmtId="0" fontId="7" fillId="6" borderId="52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0" fillId="0" borderId="54" xfId="0" applyFont="1" applyBorder="1" applyAlignment="1">
      <alignment vertical="top" wrapText="1"/>
    </xf>
    <xf numFmtId="0" fontId="7" fillId="2" borderId="55" xfId="0" applyFont="1" applyFill="1" applyBorder="1" applyAlignment="1">
      <alignment vertical="center"/>
    </xf>
    <xf numFmtId="0" fontId="0" fillId="0" borderId="56" xfId="0" applyFont="1" applyBorder="1" applyAlignment="1">
      <alignment vertical="top" wrapText="1"/>
    </xf>
    <xf numFmtId="0" fontId="7" fillId="2" borderId="57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vertical="center"/>
    </xf>
    <xf numFmtId="0" fontId="0" fillId="0" borderId="59" xfId="0" applyFont="1" applyBorder="1" applyAlignment="1">
      <alignment vertical="top" wrapText="1"/>
    </xf>
    <xf numFmtId="0" fontId="7" fillId="6" borderId="59" xfId="0" applyFont="1" applyFill="1" applyBorder="1" applyAlignment="1">
      <alignment vertical="center"/>
    </xf>
    <xf numFmtId="0" fontId="7" fillId="6" borderId="60" xfId="0" applyFont="1" applyFill="1" applyBorder="1" applyAlignment="1">
      <alignment vertical="center"/>
    </xf>
    <xf numFmtId="0" fontId="0" fillId="0" borderId="61" xfId="0" applyFont="1" applyBorder="1" applyAlignment="1">
      <alignment vertical="top" wrapText="1"/>
    </xf>
    <xf numFmtId="0" fontId="7" fillId="2" borderId="4" xfId="0" applyFont="1" applyFill="1" applyBorder="1" applyAlignment="1">
      <alignment vertical="center"/>
    </xf>
    <xf numFmtId="0" fontId="0" fillId="0" borderId="4" xfId="0" applyFont="1" applyBorder="1" applyAlignment="1">
      <alignment vertical="top" wrapText="1"/>
    </xf>
    <xf numFmtId="0" fontId="7" fillId="0" borderId="63" xfId="0" applyFont="1" applyBorder="1" applyAlignment="1">
      <alignment vertical="top" wrapText="1"/>
    </xf>
    <xf numFmtId="0" fontId="7" fillId="0" borderId="64" xfId="0" applyNumberFormat="1" applyFont="1" applyBorder="1" applyAlignment="1"/>
    <xf numFmtId="0" fontId="7" fillId="0" borderId="65" xfId="0" applyNumberFormat="1" applyFont="1" applyBorder="1" applyAlignment="1"/>
    <xf numFmtId="0" fontId="7" fillId="0" borderId="66" xfId="0" applyFont="1" applyBorder="1" applyAlignment="1">
      <alignment vertical="top" wrapText="1"/>
    </xf>
    <xf numFmtId="0" fontId="7" fillId="0" borderId="67" xfId="0" applyFont="1" applyBorder="1" applyAlignment="1">
      <alignment vertical="top" wrapText="1"/>
    </xf>
    <xf numFmtId="165" fontId="31" fillId="6" borderId="49" xfId="0" applyNumberFormat="1" applyFont="1" applyFill="1" applyBorder="1" applyAlignment="1">
      <alignment horizontal="center" vertical="center"/>
    </xf>
    <xf numFmtId="165" fontId="31" fillId="6" borderId="50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1" fillId="6" borderId="45" xfId="0" applyNumberFormat="1" applyFont="1" applyFill="1" applyBorder="1" applyAlignment="1">
      <alignment horizontal="center" vertical="center"/>
    </xf>
    <xf numFmtId="0" fontId="31" fillId="6" borderId="46" xfId="0" applyNumberFormat="1" applyFont="1" applyFill="1" applyBorder="1" applyAlignment="1">
      <alignment horizontal="center" vertical="center"/>
    </xf>
    <xf numFmtId="0" fontId="27" fillId="6" borderId="4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0" fillId="0" borderId="51" xfId="0" applyFont="1" applyBorder="1" applyAlignment="1">
      <alignment vertical="top" wrapText="1"/>
    </xf>
    <xf numFmtId="0" fontId="5" fillId="0" borderId="53" xfId="0" applyFont="1" applyBorder="1" applyAlignment="1">
      <alignment vertical="top" wrapText="1"/>
    </xf>
    <xf numFmtId="0" fontId="0" fillId="0" borderId="57" xfId="0" applyFont="1" applyBorder="1" applyAlignment="1">
      <alignment vertical="top" wrapText="1"/>
    </xf>
    <xf numFmtId="0" fontId="15" fillId="2" borderId="57" xfId="0" applyFont="1" applyFill="1" applyBorder="1" applyAlignment="1">
      <alignment vertical="center"/>
    </xf>
    <xf numFmtId="0" fontId="16" fillId="6" borderId="59" xfId="0" applyNumberFormat="1" applyFont="1" applyFill="1" applyBorder="1" applyAlignment="1">
      <alignment horizontal="center" vertical="center"/>
    </xf>
    <xf numFmtId="0" fontId="15" fillId="2" borderId="79" xfId="0" applyFont="1" applyFill="1" applyBorder="1" applyAlignment="1">
      <alignment vertical="center"/>
    </xf>
    <xf numFmtId="0" fontId="15" fillId="6" borderId="80" xfId="0" applyFont="1" applyFill="1" applyBorder="1" applyAlignment="1">
      <alignment vertical="center"/>
    </xf>
    <xf numFmtId="0" fontId="0" fillId="0" borderId="81" xfId="0" applyFont="1" applyBorder="1" applyAlignment="1">
      <alignment vertical="top" wrapText="1"/>
    </xf>
    <xf numFmtId="0" fontId="15" fillId="2" borderId="82" xfId="0" applyFont="1" applyFill="1" applyBorder="1" applyAlignment="1">
      <alignment vertical="center"/>
    </xf>
    <xf numFmtId="0" fontId="0" fillId="0" borderId="83" xfId="0" applyFont="1" applyBorder="1" applyAlignment="1">
      <alignment vertical="top" wrapText="1"/>
    </xf>
    <xf numFmtId="0" fontId="15" fillId="2" borderId="84" xfId="0" applyFont="1" applyFill="1" applyBorder="1" applyAlignment="1">
      <alignment vertical="center"/>
    </xf>
    <xf numFmtId="0" fontId="15" fillId="2" borderId="85" xfId="0" applyFont="1" applyFill="1" applyBorder="1" applyAlignment="1">
      <alignment vertical="center"/>
    </xf>
    <xf numFmtId="0" fontId="15" fillId="6" borderId="86" xfId="0" applyFont="1" applyFill="1" applyBorder="1" applyAlignment="1">
      <alignment vertical="center"/>
    </xf>
    <xf numFmtId="0" fontId="15" fillId="6" borderId="87" xfId="0" applyFont="1" applyFill="1" applyBorder="1" applyAlignment="1">
      <alignment vertical="center"/>
    </xf>
    <xf numFmtId="0" fontId="0" fillId="0" borderId="88" xfId="0" applyFont="1" applyBorder="1" applyAlignment="1">
      <alignment vertical="top" wrapText="1"/>
    </xf>
    <xf numFmtId="0" fontId="7" fillId="0" borderId="89" xfId="0" applyFont="1" applyBorder="1" applyAlignment="1">
      <alignment vertical="top" wrapText="1"/>
    </xf>
    <xf numFmtId="0" fontId="7" fillId="0" borderId="90" xfId="0" applyFont="1" applyBorder="1" applyAlignment="1">
      <alignment vertical="top" wrapText="1"/>
    </xf>
    <xf numFmtId="0" fontId="7" fillId="6" borderId="90" xfId="0" applyFont="1" applyFill="1" applyBorder="1" applyAlignment="1">
      <alignment horizontal="left" vertical="top" wrapText="1"/>
    </xf>
    <xf numFmtId="0" fontId="7" fillId="6" borderId="91" xfId="0" applyFont="1" applyFill="1" applyBorder="1" applyAlignment="1">
      <alignment horizontal="left" vertical="top" wrapText="1"/>
    </xf>
    <xf numFmtId="0" fontId="5" fillId="0" borderId="92" xfId="0" applyFont="1" applyBorder="1" applyAlignment="1">
      <alignment vertical="top" wrapText="1"/>
    </xf>
    <xf numFmtId="0" fontId="0" fillId="0" borderId="93" xfId="0" applyFont="1" applyBorder="1" applyAlignment="1">
      <alignment vertical="top" wrapText="1"/>
    </xf>
    <xf numFmtId="0" fontId="0" fillId="0" borderId="92" xfId="0" applyFont="1" applyBorder="1" applyAlignment="1">
      <alignment vertical="top" wrapText="1"/>
    </xf>
    <xf numFmtId="0" fontId="15" fillId="2" borderId="92" xfId="0" applyFont="1" applyFill="1" applyBorder="1" applyAlignment="1">
      <alignment vertical="center"/>
    </xf>
    <xf numFmtId="0" fontId="0" fillId="0" borderId="94" xfId="0" applyFont="1" applyBorder="1" applyAlignment="1">
      <alignment vertical="top" wrapText="1"/>
    </xf>
    <xf numFmtId="0" fontId="15" fillId="6" borderId="93" xfId="0" applyFont="1" applyFill="1" applyBorder="1" applyAlignment="1">
      <alignment vertical="center"/>
    </xf>
    <xf numFmtId="165" fontId="31" fillId="6" borderId="87" xfId="0" applyNumberFormat="1" applyFont="1" applyFill="1" applyBorder="1" applyAlignment="1">
      <alignment horizontal="center" vertical="center"/>
    </xf>
    <xf numFmtId="0" fontId="29" fillId="6" borderId="87" xfId="0" applyNumberFormat="1" applyFont="1" applyFill="1" applyBorder="1" applyAlignment="1">
      <alignment horizontal="center" vertical="center"/>
    </xf>
    <xf numFmtId="164" fontId="21" fillId="0" borderId="76" xfId="1" applyNumberFormat="1" applyFont="1" applyBorder="1" applyAlignment="1">
      <alignment horizontal="center" vertical="center" wrapText="1"/>
    </xf>
    <xf numFmtId="49" fontId="3" fillId="3" borderId="105" xfId="1" applyNumberFormat="1" applyFont="1" applyFill="1" applyBorder="1" applyAlignment="1">
      <alignment horizontal="center" vertical="center" wrapText="1"/>
    </xf>
    <xf numFmtId="49" fontId="21" fillId="3" borderId="105" xfId="1" applyNumberFormat="1" applyFont="1" applyFill="1" applyBorder="1" applyAlignment="1">
      <alignment horizontal="center" vertical="center" wrapText="1"/>
    </xf>
    <xf numFmtId="0" fontId="27" fillId="2" borderId="19" xfId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4" fontId="7" fillId="2" borderId="19" xfId="1" applyNumberFormat="1" applyFont="1" applyFill="1" applyBorder="1" applyAlignment="1">
      <alignment horizontal="center" vertical="center" wrapText="1"/>
    </xf>
    <xf numFmtId="164" fontId="35" fillId="2" borderId="19" xfId="1" applyNumberFormat="1" applyFont="1" applyFill="1" applyBorder="1" applyAlignment="1">
      <alignment horizontal="center" vertical="center" wrapText="1"/>
    </xf>
    <xf numFmtId="164" fontId="36" fillId="2" borderId="19" xfId="1" applyNumberFormat="1" applyFont="1" applyFill="1" applyBorder="1" applyAlignment="1">
      <alignment horizontal="center" vertical="center" wrapText="1"/>
    </xf>
    <xf numFmtId="49" fontId="27" fillId="0" borderId="102" xfId="1" applyNumberFormat="1" applyFont="1" applyFill="1" applyBorder="1" applyAlignment="1">
      <alignment vertical="center" wrapText="1"/>
    </xf>
    <xf numFmtId="2" fontId="7" fillId="0" borderId="102" xfId="1" applyNumberFormat="1" applyFont="1" applyBorder="1" applyAlignment="1">
      <alignment horizontal="center" vertical="center" wrapText="1"/>
    </xf>
    <xf numFmtId="49" fontId="7" fillId="0" borderId="102" xfId="1" applyNumberFormat="1" applyFont="1" applyBorder="1" applyAlignment="1">
      <alignment horizontal="center" vertical="center" wrapText="1"/>
    </xf>
    <xf numFmtId="0" fontId="7" fillId="0" borderId="102" xfId="1" applyNumberFormat="1" applyFont="1" applyBorder="1" applyAlignment="1">
      <alignment horizontal="center" vertical="center" wrapText="1"/>
    </xf>
    <xf numFmtId="164" fontId="7" fillId="0" borderId="102" xfId="1" applyNumberFormat="1" applyFont="1" applyBorder="1" applyAlignment="1">
      <alignment horizontal="center" vertical="center" wrapText="1"/>
    </xf>
    <xf numFmtId="164" fontId="33" fillId="0" borderId="102" xfId="1" applyNumberFormat="1" applyFont="1" applyBorder="1" applyAlignment="1">
      <alignment horizontal="center" vertical="center" wrapText="1"/>
    </xf>
    <xf numFmtId="49" fontId="27" fillId="0" borderId="100" xfId="1" applyNumberFormat="1" applyFont="1" applyFill="1" applyBorder="1" applyAlignment="1">
      <alignment vertical="center" wrapText="1"/>
    </xf>
    <xf numFmtId="0" fontId="7" fillId="0" borderId="100" xfId="1" applyFont="1" applyBorder="1" applyAlignment="1">
      <alignment horizontal="center" vertical="center" wrapText="1"/>
    </xf>
    <xf numFmtId="49" fontId="7" fillId="0" borderId="100" xfId="1" applyNumberFormat="1" applyFont="1" applyBorder="1" applyAlignment="1">
      <alignment horizontal="center" vertical="center" wrapText="1"/>
    </xf>
    <xf numFmtId="2" fontId="7" fillId="0" borderId="100" xfId="1" applyNumberFormat="1" applyFont="1" applyBorder="1" applyAlignment="1">
      <alignment horizontal="center" vertical="center" wrapText="1"/>
    </xf>
    <xf numFmtId="1" fontId="7" fillId="0" borderId="100" xfId="1" applyNumberFormat="1" applyFont="1" applyBorder="1" applyAlignment="1">
      <alignment horizontal="center" vertical="center" wrapText="1"/>
    </xf>
    <xf numFmtId="164" fontId="7" fillId="0" borderId="100" xfId="1" applyNumberFormat="1" applyFont="1" applyBorder="1" applyAlignment="1">
      <alignment horizontal="center" vertical="center" wrapText="1"/>
    </xf>
    <xf numFmtId="164" fontId="33" fillId="0" borderId="100" xfId="1" applyNumberFormat="1" applyFont="1" applyBorder="1" applyAlignment="1">
      <alignment horizontal="center" vertical="center" wrapText="1"/>
    </xf>
    <xf numFmtId="49" fontId="27" fillId="0" borderId="103" xfId="1" applyNumberFormat="1" applyFont="1" applyFill="1" applyBorder="1" applyAlignment="1">
      <alignment vertical="center" wrapText="1"/>
    </xf>
    <xf numFmtId="0" fontId="7" fillId="0" borderId="103" xfId="1" applyFont="1" applyBorder="1" applyAlignment="1">
      <alignment horizontal="center" vertical="center" wrapText="1"/>
    </xf>
    <xf numFmtId="49" fontId="7" fillId="0" borderId="103" xfId="1" applyNumberFormat="1" applyFont="1" applyBorder="1" applyAlignment="1">
      <alignment horizontal="center" vertical="center" wrapText="1"/>
    </xf>
    <xf numFmtId="2" fontId="7" fillId="0" borderId="103" xfId="1" applyNumberFormat="1" applyFont="1" applyBorder="1" applyAlignment="1">
      <alignment horizontal="center" vertical="center" wrapText="1"/>
    </xf>
    <xf numFmtId="1" fontId="7" fillId="0" borderId="103" xfId="1" applyNumberFormat="1" applyFont="1" applyBorder="1" applyAlignment="1">
      <alignment horizontal="center" vertical="center" wrapText="1"/>
    </xf>
    <xf numFmtId="164" fontId="7" fillId="0" borderId="103" xfId="1" applyNumberFormat="1" applyFont="1" applyBorder="1" applyAlignment="1">
      <alignment horizontal="center" vertical="center" wrapText="1"/>
    </xf>
    <xf numFmtId="164" fontId="33" fillId="0" borderId="103" xfId="1" applyNumberFormat="1" applyFont="1" applyBorder="1" applyAlignment="1">
      <alignment horizontal="center" vertical="center" wrapText="1"/>
    </xf>
    <xf numFmtId="49" fontId="27" fillId="0" borderId="76" xfId="1" applyNumberFormat="1" applyFont="1" applyFill="1" applyBorder="1" applyAlignment="1">
      <alignment vertical="center" wrapText="1"/>
    </xf>
    <xf numFmtId="2" fontId="7" fillId="0" borderId="76" xfId="1" applyNumberFormat="1" applyFont="1" applyBorder="1" applyAlignment="1">
      <alignment horizontal="center" vertical="center" wrapText="1"/>
    </xf>
    <xf numFmtId="49" fontId="7" fillId="0" borderId="76" xfId="1" applyNumberFormat="1" applyFont="1" applyBorder="1" applyAlignment="1">
      <alignment horizontal="center" vertical="center" wrapText="1"/>
    </xf>
    <xf numFmtId="0" fontId="7" fillId="0" borderId="76" xfId="1" applyNumberFormat="1" applyFont="1" applyBorder="1" applyAlignment="1">
      <alignment horizontal="center" vertical="center" wrapText="1"/>
    </xf>
    <xf numFmtId="164" fontId="7" fillId="0" borderId="76" xfId="1" applyNumberFormat="1" applyFont="1" applyBorder="1" applyAlignment="1">
      <alignment horizontal="center" vertical="center" wrapText="1"/>
    </xf>
    <xf numFmtId="164" fontId="33" fillId="0" borderId="76" xfId="1" applyNumberFormat="1" applyFont="1" applyBorder="1" applyAlignment="1">
      <alignment horizontal="center" vertical="center" wrapText="1"/>
    </xf>
    <xf numFmtId="0" fontId="4" fillId="0" borderId="76" xfId="1" applyFont="1" applyBorder="1" applyAlignment="1">
      <alignment horizontal="center" vertical="center" wrapText="1"/>
    </xf>
    <xf numFmtId="43" fontId="4" fillId="0" borderId="76" xfId="3" applyFont="1" applyBorder="1" applyAlignment="1">
      <alignment horizontal="center" vertical="center" wrapText="1"/>
    </xf>
    <xf numFmtId="164" fontId="4" fillId="0" borderId="76" xfId="1" applyNumberFormat="1" applyFont="1" applyBorder="1" applyAlignment="1">
      <alignment horizontal="center" vertical="center" wrapText="1"/>
    </xf>
    <xf numFmtId="0" fontId="5" fillId="0" borderId="106" xfId="1" applyFont="1" applyBorder="1" applyAlignment="1">
      <alignment horizontal="center" vertical="center" wrapText="1"/>
    </xf>
    <xf numFmtId="1" fontId="5" fillId="0" borderId="106" xfId="1" applyNumberFormat="1" applyFont="1" applyBorder="1" applyAlignment="1">
      <alignment horizontal="center" vertical="center" wrapText="1"/>
    </xf>
    <xf numFmtId="43" fontId="5" fillId="0" borderId="106" xfId="3" applyFont="1" applyBorder="1" applyAlignment="1">
      <alignment horizontal="center" vertical="center" wrapText="1"/>
    </xf>
    <xf numFmtId="164" fontId="5" fillId="0" borderId="106" xfId="1" applyNumberFormat="1" applyFont="1" applyBorder="1" applyAlignment="1">
      <alignment horizontal="center" vertical="center" wrapText="1"/>
    </xf>
    <xf numFmtId="49" fontId="3" fillId="3" borderId="107" xfId="1" applyNumberFormat="1" applyFont="1" applyFill="1" applyBorder="1" applyAlignment="1">
      <alignment horizontal="center" vertical="center" wrapText="1"/>
    </xf>
    <xf numFmtId="164" fontId="24" fillId="0" borderId="109" xfId="1" applyNumberFormat="1" applyFont="1" applyBorder="1" applyAlignment="1">
      <alignment horizontal="center" vertical="center" wrapText="1"/>
    </xf>
    <xf numFmtId="2" fontId="5" fillId="0" borderId="111" xfId="1" applyNumberFormat="1" applyFont="1" applyBorder="1" applyAlignment="1">
      <alignment horizontal="center" vertical="center" wrapText="1"/>
    </xf>
    <xf numFmtId="49" fontId="5" fillId="0" borderId="111" xfId="1" applyNumberFormat="1" applyFont="1" applyBorder="1" applyAlignment="1">
      <alignment horizontal="center" vertical="center" wrapText="1"/>
    </xf>
    <xf numFmtId="1" fontId="5" fillId="0" borderId="111" xfId="1" applyNumberFormat="1" applyFont="1" applyBorder="1" applyAlignment="1">
      <alignment horizontal="center" vertical="center" wrapText="1"/>
    </xf>
    <xf numFmtId="43" fontId="5" fillId="0" borderId="111" xfId="3" applyFont="1" applyBorder="1" applyAlignment="1">
      <alignment horizontal="center" vertical="center" wrapText="1"/>
    </xf>
    <xf numFmtId="164" fontId="5" fillId="0" borderId="111" xfId="1" applyNumberFormat="1" applyFont="1" applyBorder="1" applyAlignment="1">
      <alignment horizontal="center" vertical="center" wrapText="1"/>
    </xf>
    <xf numFmtId="164" fontId="24" fillId="0" borderId="112" xfId="1" applyNumberFormat="1" applyFont="1" applyBorder="1" applyAlignment="1">
      <alignment horizontal="center" vertical="center" wrapText="1"/>
    </xf>
    <xf numFmtId="49" fontId="3" fillId="3" borderId="113" xfId="1" applyNumberFormat="1" applyFont="1" applyFill="1" applyBorder="1" applyAlignment="1">
      <alignment horizontal="center" vertical="center" wrapText="1"/>
    </xf>
    <xf numFmtId="49" fontId="3" fillId="3" borderId="110" xfId="1" applyNumberFormat="1" applyFont="1" applyFill="1" applyBorder="1" applyAlignment="1">
      <alignment horizontal="center" vertical="center" wrapText="1"/>
    </xf>
    <xf numFmtId="49" fontId="21" fillId="3" borderId="113" xfId="1" applyNumberFormat="1" applyFont="1" applyFill="1" applyBorder="1" applyAlignment="1">
      <alignment horizontal="center" vertical="center" wrapText="1"/>
    </xf>
    <xf numFmtId="164" fontId="24" fillId="0" borderId="111" xfId="1" applyNumberFormat="1" applyFont="1" applyBorder="1" applyAlignment="1">
      <alignment horizontal="center" vertical="center" wrapText="1"/>
    </xf>
    <xf numFmtId="164" fontId="24" fillId="0" borderId="106" xfId="1" applyNumberFormat="1" applyFont="1" applyBorder="1" applyAlignment="1">
      <alignment horizontal="center" vertical="center" wrapText="1"/>
    </xf>
    <xf numFmtId="164" fontId="24" fillId="0" borderId="76" xfId="1" applyNumberFormat="1" applyFont="1" applyBorder="1" applyAlignment="1">
      <alignment horizontal="center" vertical="center" wrapText="1"/>
    </xf>
    <xf numFmtId="164" fontId="21" fillId="0" borderId="111" xfId="1" applyNumberFormat="1" applyFont="1" applyBorder="1" applyAlignment="1">
      <alignment horizontal="center" vertical="center" wrapText="1"/>
    </xf>
    <xf numFmtId="164" fontId="21" fillId="0" borderId="106" xfId="1" applyNumberFormat="1" applyFont="1" applyBorder="1" applyAlignment="1">
      <alignment horizontal="center" vertical="center" wrapText="1"/>
    </xf>
    <xf numFmtId="49" fontId="5" fillId="0" borderId="76" xfId="1" applyNumberFormat="1" applyFont="1" applyFill="1" applyBorder="1" applyAlignment="1">
      <alignment vertical="center" wrapText="1"/>
    </xf>
    <xf numFmtId="49" fontId="3" fillId="3" borderId="114" xfId="1" applyNumberFormat="1" applyFont="1" applyFill="1" applyBorder="1" applyAlignment="1">
      <alignment horizontal="center" vertical="center" wrapText="1"/>
    </xf>
    <xf numFmtId="49" fontId="24" fillId="0" borderId="115" xfId="1" applyNumberFormat="1" applyFont="1" applyFill="1" applyBorder="1" applyAlignment="1">
      <alignment vertical="center" wrapText="1"/>
    </xf>
    <xf numFmtId="49" fontId="24" fillId="0" borderId="115" xfId="1" applyNumberFormat="1" applyFont="1" applyBorder="1" applyAlignment="1">
      <alignment horizontal="center" vertical="center" wrapText="1"/>
    </xf>
    <xf numFmtId="1" fontId="24" fillId="0" borderId="115" xfId="1" applyNumberFormat="1" applyFont="1" applyBorder="1" applyAlignment="1">
      <alignment horizontal="center" vertical="center" wrapText="1"/>
    </xf>
    <xf numFmtId="43" fontId="24" fillId="0" borderId="115" xfId="3" applyFont="1" applyBorder="1" applyAlignment="1">
      <alignment horizontal="center" vertical="center" wrapText="1"/>
    </xf>
    <xf numFmtId="164" fontId="24" fillId="0" borderId="115" xfId="1" applyNumberFormat="1" applyFont="1" applyBorder="1" applyAlignment="1">
      <alignment horizontal="center" vertical="center" wrapText="1"/>
    </xf>
    <xf numFmtId="164" fontId="21" fillId="0" borderId="115" xfId="1" applyNumberFormat="1" applyFont="1" applyBorder="1" applyAlignment="1">
      <alignment horizontal="center" vertical="center" wrapText="1"/>
    </xf>
    <xf numFmtId="164" fontId="24" fillId="0" borderId="116" xfId="1" applyNumberFormat="1" applyFont="1" applyBorder="1" applyAlignment="1">
      <alignment horizontal="center" vertical="center" wrapText="1"/>
    </xf>
    <xf numFmtId="49" fontId="24" fillId="0" borderId="117" xfId="1" applyNumberFormat="1" applyFont="1" applyFill="1" applyBorder="1" applyAlignment="1">
      <alignment vertical="center" wrapText="1"/>
    </xf>
    <xf numFmtId="49" fontId="24" fillId="0" borderId="117" xfId="1" applyNumberFormat="1" applyFont="1" applyBorder="1" applyAlignment="1">
      <alignment horizontal="center" vertical="center" wrapText="1"/>
    </xf>
    <xf numFmtId="1" fontId="24" fillId="0" borderId="117" xfId="1" applyNumberFormat="1" applyFont="1" applyBorder="1" applyAlignment="1">
      <alignment horizontal="center" vertical="center" wrapText="1"/>
    </xf>
    <xf numFmtId="43" fontId="24" fillId="0" borderId="117" xfId="3" applyFont="1" applyBorder="1" applyAlignment="1">
      <alignment horizontal="center" vertical="center" wrapText="1"/>
    </xf>
    <xf numFmtId="164" fontId="24" fillId="0" borderId="117" xfId="1" applyNumberFormat="1" applyFont="1" applyBorder="1" applyAlignment="1">
      <alignment horizontal="center" vertical="center" wrapText="1"/>
    </xf>
    <xf numFmtId="164" fontId="21" fillId="0" borderId="117" xfId="1" applyNumberFormat="1" applyFont="1" applyBorder="1" applyAlignment="1">
      <alignment horizontal="center" vertical="center" wrapText="1"/>
    </xf>
    <xf numFmtId="164" fontId="24" fillId="0" borderId="118" xfId="1" applyNumberFormat="1" applyFont="1" applyBorder="1" applyAlignment="1">
      <alignment horizontal="center" vertical="center" wrapText="1"/>
    </xf>
    <xf numFmtId="49" fontId="5" fillId="0" borderId="119" xfId="1" applyNumberFormat="1" applyFont="1" applyFill="1" applyBorder="1" applyAlignment="1">
      <alignment vertical="center" wrapText="1"/>
    </xf>
    <xf numFmtId="2" fontId="5" fillId="0" borderId="119" xfId="1" applyNumberFormat="1" applyFont="1" applyBorder="1" applyAlignment="1">
      <alignment horizontal="center" vertical="center" wrapText="1"/>
    </xf>
    <xf numFmtId="49" fontId="5" fillId="0" borderId="119" xfId="1" applyNumberFormat="1" applyFont="1" applyBorder="1" applyAlignment="1">
      <alignment horizontal="center" vertical="center" wrapText="1"/>
    </xf>
    <xf numFmtId="1" fontId="5" fillId="0" borderId="119" xfId="1" applyNumberFormat="1" applyFont="1" applyBorder="1" applyAlignment="1">
      <alignment horizontal="center" vertical="center" wrapText="1"/>
    </xf>
    <xf numFmtId="43" fontId="5" fillId="0" borderId="119" xfId="3" applyFont="1" applyBorder="1" applyAlignment="1">
      <alignment horizontal="center" vertical="center" wrapText="1"/>
    </xf>
    <xf numFmtId="164" fontId="5" fillId="0" borderId="119" xfId="1" applyNumberFormat="1" applyFont="1" applyBorder="1" applyAlignment="1">
      <alignment horizontal="center" vertical="center" wrapText="1"/>
    </xf>
    <xf numFmtId="164" fontId="21" fillId="0" borderId="119" xfId="1" applyNumberFormat="1" applyFont="1" applyBorder="1" applyAlignment="1">
      <alignment horizontal="center" vertical="center" wrapText="1"/>
    </xf>
    <xf numFmtId="164" fontId="24" fillId="0" borderId="119" xfId="1" applyNumberFormat="1" applyFont="1" applyBorder="1" applyAlignment="1">
      <alignment horizontal="center" vertical="center" wrapText="1"/>
    </xf>
    <xf numFmtId="164" fontId="24" fillId="0" borderId="120" xfId="1" applyNumberFormat="1" applyFont="1" applyBorder="1" applyAlignment="1">
      <alignment horizontal="center" vertical="center" wrapText="1"/>
    </xf>
    <xf numFmtId="49" fontId="5" fillId="0" borderId="106" xfId="1" applyNumberFormat="1" applyFont="1" applyFill="1" applyBorder="1" applyAlignment="1">
      <alignment vertical="center" wrapText="1"/>
    </xf>
    <xf numFmtId="164" fontId="24" fillId="0" borderId="122" xfId="1" applyNumberFormat="1" applyFont="1" applyBorder="1" applyAlignment="1">
      <alignment horizontal="center" vertical="center" wrapText="1"/>
    </xf>
    <xf numFmtId="49" fontId="24" fillId="0" borderId="123" xfId="1" applyNumberFormat="1" applyFont="1" applyFill="1" applyBorder="1" applyAlignment="1">
      <alignment vertical="center" wrapText="1"/>
    </xf>
    <xf numFmtId="0" fontId="24" fillId="0" borderId="123" xfId="1" applyFont="1" applyBorder="1" applyAlignment="1">
      <alignment horizontal="center" vertical="center" wrapText="1"/>
    </xf>
    <xf numFmtId="1" fontId="24" fillId="0" borderId="123" xfId="1" applyNumberFormat="1" applyFont="1" applyBorder="1" applyAlignment="1">
      <alignment horizontal="center" vertical="center" wrapText="1"/>
    </xf>
    <xf numFmtId="43" fontId="24" fillId="0" borderId="123" xfId="3" applyFont="1" applyBorder="1" applyAlignment="1">
      <alignment horizontal="center" vertical="center" wrapText="1"/>
    </xf>
    <xf numFmtId="164" fontId="24" fillId="0" borderId="123" xfId="1" applyNumberFormat="1" applyFont="1" applyBorder="1" applyAlignment="1">
      <alignment horizontal="center" vertical="center" wrapText="1"/>
    </xf>
    <xf numFmtId="164" fontId="21" fillId="0" borderId="123" xfId="1" applyNumberFormat="1" applyFont="1" applyBorder="1" applyAlignment="1">
      <alignment horizontal="center" vertical="center" wrapText="1"/>
    </xf>
    <xf numFmtId="164" fontId="24" fillId="0" borderId="124" xfId="1" applyNumberFormat="1" applyFont="1" applyBorder="1" applyAlignment="1">
      <alignment horizontal="center" vertical="center" wrapText="1"/>
    </xf>
    <xf numFmtId="49" fontId="24" fillId="0" borderId="76" xfId="1" applyNumberFormat="1" applyFont="1" applyFill="1" applyBorder="1" applyAlignment="1">
      <alignment vertical="center" wrapText="1"/>
    </xf>
    <xf numFmtId="0" fontId="21" fillId="0" borderId="76" xfId="1" applyFont="1" applyBorder="1" applyAlignment="1">
      <alignment horizontal="center" vertical="center" wrapText="1"/>
    </xf>
    <xf numFmtId="43" fontId="21" fillId="0" borderId="76" xfId="3" applyFont="1" applyBorder="1" applyAlignment="1">
      <alignment horizontal="center" vertical="center" wrapText="1"/>
    </xf>
    <xf numFmtId="0" fontId="24" fillId="0" borderId="115" xfId="1" applyFont="1" applyBorder="1" applyAlignment="1">
      <alignment horizontal="center" vertical="center" wrapText="1"/>
    </xf>
    <xf numFmtId="0" fontId="24" fillId="0" borderId="117" xfId="1" applyNumberFormat="1" applyFont="1" applyBorder="1" applyAlignment="1">
      <alignment horizontal="center" vertical="center" wrapText="1"/>
    </xf>
    <xf numFmtId="49" fontId="24" fillId="0" borderId="121" xfId="1" applyNumberFormat="1" applyFont="1" applyFill="1" applyBorder="1" applyAlignment="1">
      <alignment vertical="center" wrapText="1"/>
    </xf>
    <xf numFmtId="0" fontId="24" fillId="0" borderId="121" xfId="1" applyFont="1" applyBorder="1" applyAlignment="1">
      <alignment horizontal="center" vertical="center" wrapText="1"/>
    </xf>
    <xf numFmtId="1" fontId="24" fillId="0" borderId="121" xfId="1" applyNumberFormat="1" applyFont="1" applyBorder="1" applyAlignment="1">
      <alignment horizontal="center" vertical="center" wrapText="1"/>
    </xf>
    <xf numFmtId="43" fontId="24" fillId="0" borderId="121" xfId="3" applyFont="1" applyBorder="1" applyAlignment="1">
      <alignment horizontal="center" vertical="center" wrapText="1"/>
    </xf>
    <xf numFmtId="164" fontId="24" fillId="0" borderId="121" xfId="1" applyNumberFormat="1" applyFont="1" applyBorder="1" applyAlignment="1">
      <alignment horizontal="center" vertical="center" wrapText="1"/>
    </xf>
    <xf numFmtId="0" fontId="24" fillId="0" borderId="76" xfId="1" applyFont="1" applyBorder="1" applyAlignment="1">
      <alignment horizontal="center" vertical="center" wrapText="1"/>
    </xf>
    <xf numFmtId="43" fontId="24" fillId="0" borderId="76" xfId="3" applyFont="1" applyBorder="1" applyAlignment="1">
      <alignment horizontal="center" vertical="center" wrapText="1"/>
    </xf>
    <xf numFmtId="164" fontId="21" fillId="0" borderId="121" xfId="1" applyNumberFormat="1" applyFont="1" applyBorder="1" applyAlignment="1">
      <alignment horizontal="center" vertical="center" wrapText="1"/>
    </xf>
    <xf numFmtId="49" fontId="5" fillId="0" borderId="111" xfId="1" applyNumberFormat="1" applyFont="1" applyFill="1" applyBorder="1" applyAlignment="1">
      <alignment vertical="center" wrapText="1"/>
    </xf>
    <xf numFmtId="49" fontId="27" fillId="0" borderId="104" xfId="1" applyNumberFormat="1" applyFont="1" applyFill="1" applyBorder="1" applyAlignment="1">
      <alignment vertical="center" wrapText="1"/>
    </xf>
    <xf numFmtId="2" fontId="7" fillId="0" borderId="104" xfId="1" applyNumberFormat="1" applyFont="1" applyBorder="1" applyAlignment="1">
      <alignment horizontal="center" vertical="center" wrapText="1"/>
    </xf>
    <xf numFmtId="49" fontId="7" fillId="0" borderId="104" xfId="1" applyNumberFormat="1" applyFont="1" applyBorder="1" applyAlignment="1">
      <alignment horizontal="center" vertical="center" wrapText="1"/>
    </xf>
    <xf numFmtId="0" fontId="7" fillId="0" borderId="104" xfId="1" applyNumberFormat="1" applyFont="1" applyBorder="1" applyAlignment="1">
      <alignment horizontal="center" vertical="center" wrapText="1"/>
    </xf>
    <xf numFmtId="164" fontId="7" fillId="0" borderId="104" xfId="1" applyNumberFormat="1" applyFont="1" applyBorder="1" applyAlignment="1">
      <alignment horizontal="center" vertical="center" wrapText="1"/>
    </xf>
    <xf numFmtId="164" fontId="33" fillId="0" borderId="104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37" fillId="0" borderId="4" xfId="1" applyFont="1" applyAlignment="1">
      <alignment vertical="top" wrapText="1"/>
    </xf>
    <xf numFmtId="0" fontId="39" fillId="5" borderId="14" xfId="1" applyFont="1" applyFill="1" applyBorder="1" applyAlignment="1">
      <alignment vertical="center" wrapText="1"/>
    </xf>
    <xf numFmtId="0" fontId="39" fillId="5" borderId="15" xfId="1" applyFont="1" applyFill="1" applyBorder="1" applyAlignment="1">
      <alignment horizontal="center" vertical="center" wrapText="1"/>
    </xf>
    <xf numFmtId="0" fontId="39" fillId="0" borderId="4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44" fontId="7" fillId="0" borderId="10" xfId="2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vertical="center" wrapText="1"/>
    </xf>
    <xf numFmtId="44" fontId="7" fillId="0" borderId="10" xfId="2" applyFont="1" applyBorder="1" applyAlignment="1">
      <alignment horizontal="right" vertical="center" wrapText="1"/>
    </xf>
    <xf numFmtId="0" fontId="27" fillId="0" borderId="14" xfId="1" applyFont="1" applyBorder="1" applyAlignment="1">
      <alignment vertical="center" wrapText="1"/>
    </xf>
    <xf numFmtId="44" fontId="27" fillId="0" borderId="15" xfId="2" applyFont="1" applyBorder="1" applyAlignment="1">
      <alignment horizontal="right" vertical="center" wrapText="1"/>
    </xf>
    <xf numFmtId="44" fontId="7" fillId="0" borderId="10" xfId="2" applyNumberFormat="1" applyFont="1" applyBorder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0" fontId="7" fillId="0" borderId="24" xfId="1" applyFont="1" applyBorder="1" applyAlignment="1">
      <alignment vertical="center" wrapText="1"/>
    </xf>
    <xf numFmtId="43" fontId="37" fillId="0" borderId="0" xfId="3" applyFont="1" applyAlignment="1">
      <alignment horizontal="center" vertical="center" wrapText="1"/>
    </xf>
    <xf numFmtId="43" fontId="7" fillId="0" borderId="4" xfId="3" applyFont="1" applyBorder="1" applyAlignment="1">
      <alignment horizontal="center" vertical="center" wrapText="1"/>
    </xf>
    <xf numFmtId="43" fontId="37" fillId="0" borderId="4" xfId="3" applyFont="1" applyBorder="1" applyAlignment="1">
      <alignment vertical="center" wrapText="1"/>
    </xf>
    <xf numFmtId="44" fontId="5" fillId="0" borderId="4" xfId="2" applyNumberFormat="1" applyFont="1" applyFill="1" applyBorder="1" applyAlignment="1">
      <alignment horizontal="right" vertical="center" wrapText="1"/>
    </xf>
    <xf numFmtId="44" fontId="7" fillId="0" borderId="4" xfId="2" applyNumberFormat="1" applyFont="1" applyFill="1" applyBorder="1" applyAlignment="1">
      <alignment horizontal="right" vertical="center" wrapText="1"/>
    </xf>
    <xf numFmtId="44" fontId="7" fillId="0" borderId="4" xfId="2" applyFont="1" applyFill="1" applyBorder="1" applyAlignment="1">
      <alignment horizontal="right" vertical="center" wrapText="1"/>
    </xf>
    <xf numFmtId="0" fontId="34" fillId="6" borderId="4" xfId="4" applyFont="1" applyFill="1" applyBorder="1" applyAlignment="1">
      <alignment horizontal="center"/>
    </xf>
    <xf numFmtId="0" fontId="13" fillId="0" borderId="5" xfId="4" applyFont="1" applyBorder="1" applyAlignment="1">
      <alignment horizontal="center"/>
    </xf>
    <xf numFmtId="0" fontId="40" fillId="6" borderId="49" xfId="0" applyNumberFormat="1" applyFont="1" applyFill="1" applyBorder="1" applyAlignment="1">
      <alignment horizontal="center" vertical="center"/>
    </xf>
    <xf numFmtId="0" fontId="40" fillId="6" borderId="50" xfId="0" applyNumberFormat="1" applyFont="1" applyFill="1" applyBorder="1" applyAlignment="1">
      <alignment horizontal="center" vertical="center"/>
    </xf>
    <xf numFmtId="0" fontId="41" fillId="0" borderId="4" xfId="0" applyFont="1" applyBorder="1" applyAlignment="1">
      <alignment vertical="top" wrapText="1"/>
    </xf>
    <xf numFmtId="0" fontId="40" fillId="6" borderId="45" xfId="0" applyNumberFormat="1" applyFont="1" applyFill="1" applyBorder="1" applyAlignment="1">
      <alignment horizontal="center" vertical="center"/>
    </xf>
    <xf numFmtId="0" fontId="40" fillId="6" borderId="46" xfId="0" applyNumberFormat="1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6" borderId="0" xfId="0" applyFont="1" applyFill="1" applyAlignment="1">
      <alignment vertical="top" wrapText="1"/>
    </xf>
    <xf numFmtId="0" fontId="5" fillId="0" borderId="115" xfId="0" applyFont="1" applyBorder="1" applyAlignment="1">
      <alignment vertical="top" wrapText="1"/>
    </xf>
    <xf numFmtId="9" fontId="5" fillId="0" borderId="115" xfId="0" applyNumberFormat="1" applyFont="1" applyBorder="1" applyAlignment="1">
      <alignment vertical="top" wrapText="1"/>
    </xf>
    <xf numFmtId="0" fontId="4" fillId="0" borderId="115" xfId="0" applyFont="1" applyBorder="1" applyAlignment="1">
      <alignment vertical="top" wrapText="1"/>
    </xf>
    <xf numFmtId="0" fontId="5" fillId="0" borderId="117" xfId="0" applyFont="1" applyBorder="1" applyAlignment="1">
      <alignment vertical="top" wrapText="1"/>
    </xf>
    <xf numFmtId="9" fontId="5" fillId="0" borderId="117" xfId="0" applyNumberFormat="1" applyFont="1" applyBorder="1" applyAlignment="1">
      <alignment vertical="top" wrapText="1"/>
    </xf>
    <xf numFmtId="0" fontId="5" fillId="0" borderId="127" xfId="0" applyFont="1" applyBorder="1" applyAlignment="1">
      <alignment vertical="top" wrapText="1"/>
    </xf>
    <xf numFmtId="9" fontId="5" fillId="0" borderId="127" xfId="0" applyNumberFormat="1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9" fontId="5" fillId="0" borderId="39" xfId="0" applyNumberFormat="1" applyFont="1" applyBorder="1" applyAlignment="1">
      <alignment vertical="top" wrapText="1"/>
    </xf>
    <xf numFmtId="0" fontId="5" fillId="0" borderId="0" xfId="0" applyNumberFormat="1" applyFont="1" applyAlignment="1"/>
    <xf numFmtId="0" fontId="5" fillId="6" borderId="29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9" fontId="39" fillId="5" borderId="38" xfId="0" applyNumberFormat="1" applyFont="1" applyFill="1" applyBorder="1" applyAlignment="1">
      <alignment vertical="center"/>
    </xf>
    <xf numFmtId="0" fontId="39" fillId="5" borderId="40" xfId="0" applyFont="1" applyFill="1" applyBorder="1" applyAlignment="1">
      <alignment vertical="center"/>
    </xf>
    <xf numFmtId="49" fontId="39" fillId="5" borderId="39" xfId="0" applyNumberFormat="1" applyFont="1" applyFill="1" applyBorder="1" applyAlignment="1">
      <alignment vertical="center"/>
    </xf>
    <xf numFmtId="49" fontId="21" fillId="0" borderId="99" xfId="0" applyNumberFormat="1" applyFont="1" applyFill="1" applyBorder="1" applyAlignment="1">
      <alignment horizontal="left" vertical="center"/>
    </xf>
    <xf numFmtId="9" fontId="24" fillId="0" borderId="99" xfId="5" applyFont="1" applyFill="1" applyBorder="1" applyAlignment="1">
      <alignment horizontal="center" vertical="center"/>
    </xf>
    <xf numFmtId="49" fontId="39" fillId="5" borderId="76" xfId="0" applyNumberFormat="1" applyFont="1" applyFill="1" applyBorder="1" applyAlignment="1">
      <alignment vertical="center"/>
    </xf>
    <xf numFmtId="0" fontId="39" fillId="5" borderId="76" xfId="0" applyFont="1" applyFill="1" applyBorder="1" applyAlignment="1">
      <alignment vertical="center"/>
    </xf>
    <xf numFmtId="49" fontId="21" fillId="0" borderId="100" xfId="0" applyNumberFormat="1" applyFont="1" applyFill="1" applyBorder="1" applyAlignment="1">
      <alignment horizontal="left" vertical="center"/>
    </xf>
    <xf numFmtId="9" fontId="24" fillId="0" borderId="100" xfId="5" applyFont="1" applyFill="1" applyBorder="1" applyAlignment="1">
      <alignment horizontal="center" vertical="center"/>
    </xf>
    <xf numFmtId="49" fontId="39" fillId="8" borderId="47" xfId="0" applyNumberFormat="1" applyFont="1" applyFill="1" applyBorder="1" applyAlignment="1">
      <alignment horizontal="center" vertical="center"/>
    </xf>
    <xf numFmtId="0" fontId="39" fillId="8" borderId="48" xfId="0" applyFont="1" applyFill="1" applyBorder="1" applyAlignment="1">
      <alignment horizontal="center" vertical="center"/>
    </xf>
    <xf numFmtId="2" fontId="24" fillId="0" borderId="100" xfId="0" applyNumberFormat="1" applyFont="1" applyFill="1" applyBorder="1" applyAlignment="1">
      <alignment horizontal="center" vertical="center"/>
    </xf>
    <xf numFmtId="0" fontId="4" fillId="6" borderId="38" xfId="0" applyNumberFormat="1" applyFont="1" applyFill="1" applyBorder="1" applyAlignment="1">
      <alignment horizontal="center" vertical="center"/>
    </xf>
    <xf numFmtId="0" fontId="4" fillId="6" borderId="40" xfId="0" applyNumberFormat="1" applyFont="1" applyFill="1" applyBorder="1" applyAlignment="1">
      <alignment horizontal="center" vertical="center"/>
    </xf>
    <xf numFmtId="49" fontId="21" fillId="0" borderId="126" xfId="0" applyNumberFormat="1" applyFont="1" applyFill="1" applyBorder="1" applyAlignment="1">
      <alignment horizontal="left" vertical="center"/>
    </xf>
    <xf numFmtId="9" fontId="24" fillId="0" borderId="126" xfId="5" applyFont="1" applyFill="1" applyBorder="1" applyAlignment="1">
      <alignment horizontal="center" vertical="center"/>
    </xf>
    <xf numFmtId="0" fontId="39" fillId="8" borderId="38" xfId="0" applyFont="1" applyFill="1" applyBorder="1" applyAlignment="1">
      <alignment horizontal="left" vertical="center" wrapText="1"/>
    </xf>
    <xf numFmtId="0" fontId="5" fillId="0" borderId="4" xfId="1" applyFont="1" applyAlignment="1">
      <alignment horizontal="right" vertical="top" wrapText="1"/>
    </xf>
    <xf numFmtId="0" fontId="7" fillId="0" borderId="0" xfId="0" applyFont="1" applyAlignment="1">
      <alignment vertical="center" wrapText="1"/>
    </xf>
    <xf numFmtId="43" fontId="7" fillId="0" borderId="0" xfId="3" applyFont="1" applyAlignment="1">
      <alignment horizontal="center" vertical="center" wrapText="1"/>
    </xf>
    <xf numFmtId="43" fontId="7" fillId="0" borderId="4" xfId="3" applyFont="1" applyBorder="1" applyAlignment="1">
      <alignment vertical="center" wrapText="1"/>
    </xf>
    <xf numFmtId="0" fontId="7" fillId="0" borderId="4" xfId="1" applyFont="1" applyAlignment="1">
      <alignment vertical="center" wrapText="1"/>
    </xf>
    <xf numFmtId="0" fontId="7" fillId="0" borderId="4" xfId="1" applyFont="1" applyBorder="1" applyAlignment="1">
      <alignment horizontal="right" vertical="center" wrapText="1"/>
    </xf>
    <xf numFmtId="0" fontId="7" fillId="0" borderId="4" xfId="1" applyFont="1" applyAlignment="1">
      <alignment horizontal="center" vertical="top" wrapText="1"/>
    </xf>
    <xf numFmtId="0" fontId="7" fillId="0" borderId="4" xfId="1" applyFont="1" applyAlignment="1">
      <alignment horizontal="right" vertical="top" wrapText="1"/>
    </xf>
    <xf numFmtId="43" fontId="7" fillId="0" borderId="24" xfId="3" applyFont="1" applyBorder="1" applyAlignment="1">
      <alignment horizontal="center" vertical="center" wrapText="1"/>
    </xf>
    <xf numFmtId="0" fontId="5" fillId="0" borderId="24" xfId="1" applyFont="1" applyBorder="1" applyAlignment="1">
      <alignment horizontal="right" vertical="top" wrapText="1"/>
    </xf>
    <xf numFmtId="0" fontId="5" fillId="0" borderId="24" xfId="1" applyFont="1" applyBorder="1" applyAlignment="1">
      <alignment vertical="top" wrapText="1"/>
    </xf>
    <xf numFmtId="0" fontId="8" fillId="0" borderId="4" xfId="1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43" fontId="5" fillId="0" borderId="0" xfId="3" applyFont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43" fontId="5" fillId="0" borderId="4" xfId="3" applyFont="1" applyBorder="1" applyAlignment="1">
      <alignment vertical="center" wrapText="1"/>
    </xf>
    <xf numFmtId="43" fontId="5" fillId="0" borderId="4" xfId="3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 vertical="center" wrapText="1"/>
    </xf>
    <xf numFmtId="0" fontId="5" fillId="0" borderId="4" xfId="1" applyFont="1" applyAlignment="1">
      <alignment horizontal="center" vertical="top" wrapText="1"/>
    </xf>
    <xf numFmtId="0" fontId="5" fillId="0" borderId="24" xfId="1" applyFont="1" applyBorder="1" applyAlignment="1">
      <alignment vertical="center" wrapText="1"/>
    </xf>
    <xf numFmtId="43" fontId="5" fillId="0" borderId="24" xfId="3" applyFont="1" applyBorder="1" applyAlignment="1">
      <alignment horizontal="center" vertical="center" wrapText="1"/>
    </xf>
    <xf numFmtId="0" fontId="5" fillId="0" borderId="9" xfId="1" applyFont="1" applyBorder="1" applyAlignment="1">
      <alignment vertical="center" wrapText="1"/>
    </xf>
    <xf numFmtId="44" fontId="5" fillId="0" borderId="10" xfId="2" applyNumberFormat="1" applyFont="1" applyBorder="1" applyAlignment="1">
      <alignment vertical="center" wrapText="1"/>
    </xf>
    <xf numFmtId="49" fontId="5" fillId="0" borderId="9" xfId="1" applyNumberFormat="1" applyFont="1" applyBorder="1" applyAlignment="1">
      <alignment vertical="center" wrapText="1"/>
    </xf>
    <xf numFmtId="44" fontId="5" fillId="0" borderId="10" xfId="2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44" fontId="4" fillId="0" borderId="15" xfId="2" applyFont="1" applyBorder="1" applyAlignment="1">
      <alignment horizontal="center" vertical="center" wrapText="1"/>
    </xf>
    <xf numFmtId="44" fontId="4" fillId="0" borderId="15" xfId="2" applyFont="1" applyBorder="1" applyAlignment="1">
      <alignment vertical="center" wrapText="1"/>
    </xf>
    <xf numFmtId="1" fontId="5" fillId="0" borderId="10" xfId="2" applyNumberFormat="1" applyFont="1" applyBorder="1" applyAlignment="1">
      <alignment horizontal="center" vertical="center" wrapText="1"/>
    </xf>
    <xf numFmtId="44" fontId="5" fillId="0" borderId="10" xfId="2" applyFont="1" applyBorder="1" applyAlignment="1">
      <alignment horizontal="center" vertical="center" wrapText="1"/>
    </xf>
    <xf numFmtId="0" fontId="5" fillId="0" borderId="11" xfId="1" applyFont="1" applyBorder="1" applyAlignment="1">
      <alignment vertical="center"/>
    </xf>
    <xf numFmtId="44" fontId="5" fillId="0" borderId="13" xfId="2" applyFont="1" applyBorder="1" applyAlignment="1">
      <alignment horizontal="center" vertical="center" wrapText="1"/>
    </xf>
    <xf numFmtId="0" fontId="5" fillId="0" borderId="9" xfId="1" applyNumberFormat="1" applyFont="1" applyBorder="1" applyAlignment="1">
      <alignment vertical="center" wrapText="1"/>
    </xf>
    <xf numFmtId="1" fontId="5" fillId="0" borderId="10" xfId="2" applyNumberFormat="1" applyFont="1" applyBorder="1" applyAlignment="1">
      <alignment vertical="center" wrapText="1"/>
    </xf>
    <xf numFmtId="1" fontId="5" fillId="0" borderId="10" xfId="1" applyNumberFormat="1" applyFont="1" applyBorder="1" applyAlignment="1">
      <alignment vertical="top" wrapText="1"/>
    </xf>
    <xf numFmtId="44" fontId="5" fillId="0" borderId="10" xfId="1" applyNumberFormat="1" applyFont="1" applyBorder="1" applyAlignment="1">
      <alignment horizontal="center" vertical="top" wrapText="1"/>
    </xf>
    <xf numFmtId="44" fontId="5" fillId="0" borderId="13" xfId="2" applyFont="1" applyBorder="1" applyAlignment="1">
      <alignment vertical="center" wrapText="1"/>
    </xf>
    <xf numFmtId="44" fontId="5" fillId="0" borderId="13" xfId="1" applyNumberFormat="1" applyFont="1" applyBorder="1" applyAlignment="1">
      <alignment horizontal="center" vertical="top" wrapText="1"/>
    </xf>
    <xf numFmtId="0" fontId="5" fillId="0" borderId="67" xfId="0" applyFont="1" applyBorder="1" applyAlignment="1">
      <alignment vertical="top" wrapText="1"/>
    </xf>
    <xf numFmtId="0" fontId="5" fillId="0" borderId="54" xfId="0" applyFont="1" applyBorder="1" applyAlignment="1">
      <alignment vertical="top" wrapText="1"/>
    </xf>
    <xf numFmtId="0" fontId="5" fillId="0" borderId="56" xfId="0" applyFont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0" fontId="5" fillId="0" borderId="61" xfId="0" applyFont="1" applyBorder="1" applyAlignment="1">
      <alignment vertical="top" wrapText="1"/>
    </xf>
    <xf numFmtId="49" fontId="39" fillId="3" borderId="21" xfId="0" applyNumberFormat="1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4" fillId="2" borderId="96" xfId="1" applyNumberFormat="1" applyFont="1" applyFill="1" applyBorder="1" applyAlignment="1">
      <alignment vertical="center" wrapText="1"/>
    </xf>
    <xf numFmtId="49" fontId="7" fillId="0" borderId="96" xfId="1" applyNumberFormat="1" applyFont="1" applyBorder="1" applyAlignment="1">
      <alignment horizontal="center" vertical="center" wrapText="1"/>
    </xf>
    <xf numFmtId="2" fontId="7" fillId="0" borderId="96" xfId="1" applyNumberFormat="1" applyFont="1" applyBorder="1" applyAlignment="1">
      <alignment horizontal="center" vertical="center" wrapText="1"/>
    </xf>
    <xf numFmtId="164" fontId="7" fillId="0" borderId="96" xfId="1" applyNumberFormat="1" applyFont="1" applyBorder="1" applyAlignment="1">
      <alignment vertical="center" wrapText="1"/>
    </xf>
    <xf numFmtId="164" fontId="45" fillId="0" borderId="96" xfId="1" applyNumberFormat="1" applyFont="1" applyBorder="1" applyAlignment="1">
      <alignment vertical="center" wrapText="1"/>
    </xf>
    <xf numFmtId="164" fontId="34" fillId="0" borderId="96" xfId="1" applyNumberFormat="1" applyFont="1" applyBorder="1" applyAlignment="1">
      <alignment vertical="center" wrapText="1"/>
    </xf>
    <xf numFmtId="0" fontId="7" fillId="0" borderId="96" xfId="1" applyNumberFormat="1" applyFont="1" applyBorder="1" applyAlignment="1">
      <alignment vertical="top" wrapText="1"/>
    </xf>
    <xf numFmtId="49" fontId="34" fillId="2" borderId="97" xfId="1" applyNumberFormat="1" applyFont="1" applyFill="1" applyBorder="1" applyAlignment="1">
      <alignment vertical="center" wrapText="1"/>
    </xf>
    <xf numFmtId="49" fontId="7" fillId="0" borderId="97" xfId="1" applyNumberFormat="1" applyFont="1" applyBorder="1" applyAlignment="1">
      <alignment horizontal="center" vertical="center" wrapText="1"/>
    </xf>
    <xf numFmtId="2" fontId="27" fillId="0" borderId="97" xfId="1" applyNumberFormat="1" applyFont="1" applyFill="1" applyBorder="1" applyAlignment="1">
      <alignment horizontal="center" vertical="center" wrapText="1"/>
    </xf>
    <xf numFmtId="164" fontId="7" fillId="0" borderId="97" xfId="1" applyNumberFormat="1" applyFont="1" applyBorder="1" applyAlignment="1">
      <alignment vertical="center" wrapText="1"/>
    </xf>
    <xf numFmtId="164" fontId="45" fillId="0" borderId="97" xfId="1" applyNumberFormat="1" applyFont="1" applyBorder="1" applyAlignment="1">
      <alignment vertical="center" wrapText="1"/>
    </xf>
    <xf numFmtId="164" fontId="34" fillId="0" borderId="97" xfId="1" applyNumberFormat="1" applyFont="1" applyBorder="1" applyAlignment="1">
      <alignment vertical="center" wrapText="1"/>
    </xf>
    <xf numFmtId="0" fontId="7" fillId="0" borderId="97" xfId="1" applyNumberFormat="1" applyFont="1" applyBorder="1" applyAlignment="1">
      <alignment vertical="top" wrapText="1"/>
    </xf>
    <xf numFmtId="0" fontId="7" fillId="0" borderId="97" xfId="1" applyNumberFormat="1" applyFont="1" applyBorder="1" applyAlignment="1">
      <alignment horizontal="center" vertical="center" wrapText="1"/>
    </xf>
    <xf numFmtId="49" fontId="46" fillId="2" borderId="97" xfId="1" applyNumberFormat="1" applyFont="1" applyFill="1" applyBorder="1" applyAlignment="1">
      <alignment horizontal="left" vertical="center" wrapText="1"/>
    </xf>
    <xf numFmtId="2" fontId="7" fillId="0" borderId="97" xfId="1" applyNumberFormat="1" applyFont="1" applyBorder="1" applyAlignment="1">
      <alignment horizontal="center" vertical="center" wrapText="1"/>
    </xf>
    <xf numFmtId="49" fontId="46" fillId="0" borderId="97" xfId="1" applyNumberFormat="1" applyFont="1" applyBorder="1" applyAlignment="1">
      <alignment horizontal="center" vertical="center" wrapText="1"/>
    </xf>
    <xf numFmtId="0" fontId="46" fillId="0" borderId="97" xfId="1" applyNumberFormat="1" applyFont="1" applyBorder="1" applyAlignment="1">
      <alignment horizontal="center" vertical="center" wrapText="1"/>
    </xf>
    <xf numFmtId="164" fontId="46" fillId="0" borderId="97" xfId="1" applyNumberFormat="1" applyFont="1" applyBorder="1" applyAlignment="1">
      <alignment vertical="center" wrapText="1"/>
    </xf>
    <xf numFmtId="49" fontId="46" fillId="2" borderId="98" xfId="1" applyNumberFormat="1" applyFont="1" applyFill="1" applyBorder="1" applyAlignment="1">
      <alignment horizontal="left" vertical="center" wrapText="1"/>
    </xf>
    <xf numFmtId="49" fontId="7" fillId="0" borderId="98" xfId="1" applyNumberFormat="1" applyFont="1" applyBorder="1" applyAlignment="1">
      <alignment horizontal="center" vertical="center" wrapText="1"/>
    </xf>
    <xf numFmtId="0" fontId="7" fillId="0" borderId="98" xfId="1" applyNumberFormat="1" applyFont="1" applyBorder="1" applyAlignment="1">
      <alignment horizontal="center" vertical="center" wrapText="1"/>
    </xf>
    <xf numFmtId="164" fontId="7" fillId="0" borderId="98" xfId="1" applyNumberFormat="1" applyFont="1" applyBorder="1" applyAlignment="1">
      <alignment vertical="center" wrapText="1"/>
    </xf>
    <xf numFmtId="164" fontId="45" fillId="0" borderId="98" xfId="1" applyNumberFormat="1" applyFont="1" applyBorder="1" applyAlignment="1">
      <alignment vertical="center" wrapText="1"/>
    </xf>
    <xf numFmtId="164" fontId="34" fillId="0" borderId="98" xfId="1" applyNumberFormat="1" applyFont="1" applyBorder="1" applyAlignment="1">
      <alignment vertical="center" wrapText="1"/>
    </xf>
    <xf numFmtId="0" fontId="7" fillId="0" borderId="98" xfId="1" applyNumberFormat="1" applyFont="1" applyBorder="1" applyAlignment="1">
      <alignment vertical="top" wrapText="1"/>
    </xf>
    <xf numFmtId="49" fontId="33" fillId="2" borderId="95" xfId="1" applyNumberFormat="1" applyFont="1" applyFill="1" applyBorder="1" applyAlignment="1">
      <alignment horizontal="left" vertical="center" wrapText="1"/>
    </xf>
    <xf numFmtId="49" fontId="27" fillId="0" borderId="95" xfId="1" applyNumberFormat="1" applyFont="1" applyBorder="1" applyAlignment="1">
      <alignment horizontal="left" vertical="center" wrapText="1"/>
    </xf>
    <xf numFmtId="49" fontId="27" fillId="0" borderId="95" xfId="1" applyNumberFormat="1" applyFont="1" applyBorder="1" applyAlignment="1">
      <alignment vertical="center" wrapText="1"/>
    </xf>
    <xf numFmtId="164" fontId="27" fillId="0" borderId="95" xfId="1" applyNumberFormat="1" applyFont="1" applyBorder="1" applyAlignment="1">
      <alignment vertical="center" wrapText="1"/>
    </xf>
    <xf numFmtId="164" fontId="45" fillId="0" borderId="95" xfId="1" applyNumberFormat="1" applyFont="1" applyBorder="1" applyAlignment="1">
      <alignment vertical="center" wrapText="1"/>
    </xf>
    <xf numFmtId="164" fontId="34" fillId="0" borderId="95" xfId="1" applyNumberFormat="1" applyFont="1" applyBorder="1" applyAlignment="1">
      <alignment vertical="center" wrapText="1"/>
    </xf>
    <xf numFmtId="0" fontId="7" fillId="0" borderId="95" xfId="1" applyNumberFormat="1" applyFont="1" applyBorder="1" applyAlignment="1">
      <alignment vertical="top" wrapText="1"/>
    </xf>
    <xf numFmtId="0" fontId="19" fillId="0" borderId="4" xfId="1" applyNumberFormat="1" applyFont="1" applyAlignment="1">
      <alignment vertical="top" wrapText="1"/>
    </xf>
    <xf numFmtId="0" fontId="5" fillId="0" borderId="4" xfId="1" applyNumberFormat="1" applyFont="1" applyAlignment="1">
      <alignment vertical="top" wrapText="1"/>
    </xf>
    <xf numFmtId="0" fontId="4" fillId="0" borderId="4" xfId="1" applyNumberFormat="1" applyFont="1" applyAlignment="1">
      <alignment vertical="top" wrapText="1"/>
    </xf>
    <xf numFmtId="0" fontId="47" fillId="0" borderId="4" xfId="1" applyNumberFormat="1" applyFont="1" applyAlignment="1">
      <alignment vertical="top" wrapText="1"/>
    </xf>
    <xf numFmtId="0" fontId="5" fillId="0" borderId="4" xfId="1" applyNumberFormat="1" applyFont="1" applyAlignment="1">
      <alignment vertical="center" wrapText="1"/>
    </xf>
    <xf numFmtId="44" fontId="48" fillId="0" borderId="4" xfId="2" applyFont="1" applyAlignment="1">
      <alignment vertical="center" wrapText="1"/>
    </xf>
    <xf numFmtId="0" fontId="19" fillId="0" borderId="4" xfId="1" applyNumberFormat="1" applyFont="1" applyAlignment="1">
      <alignment vertical="center" wrapText="1"/>
    </xf>
    <xf numFmtId="44" fontId="4" fillId="0" borderId="46" xfId="2" applyFont="1" applyBorder="1" applyAlignment="1">
      <alignment vertical="center" wrapText="1"/>
    </xf>
    <xf numFmtId="44" fontId="5" fillId="0" borderId="4" xfId="2" applyFont="1" applyBorder="1" applyAlignment="1">
      <alignment vertical="center" wrapText="1"/>
    </xf>
    <xf numFmtId="44" fontId="5" fillId="0" borderId="4" xfId="2" applyFont="1" applyAlignment="1">
      <alignment vertical="center" wrapText="1"/>
    </xf>
    <xf numFmtId="0" fontId="5" fillId="0" borderId="4" xfId="1" applyNumberFormat="1" applyFont="1" applyFill="1" applyBorder="1" applyAlignment="1">
      <alignment vertical="center" wrapText="1"/>
    </xf>
    <xf numFmtId="44" fontId="21" fillId="0" borderId="46" xfId="2" applyFont="1" applyBorder="1" applyAlignment="1">
      <alignment vertical="center" wrapText="1"/>
    </xf>
    <xf numFmtId="0" fontId="5" fillId="6" borderId="4" xfId="1" applyFont="1" applyFill="1" applyBorder="1" applyAlignment="1">
      <alignment vertical="center" wrapText="1"/>
    </xf>
    <xf numFmtId="0" fontId="5" fillId="6" borderId="4" xfId="1" applyNumberFormat="1" applyFont="1" applyFill="1" applyBorder="1" applyAlignment="1">
      <alignment vertical="center" wrapText="1"/>
    </xf>
    <xf numFmtId="44" fontId="7" fillId="0" borderId="4" xfId="2" applyFont="1" applyAlignment="1">
      <alignment horizontal="right" vertical="center" wrapText="1"/>
    </xf>
    <xf numFmtId="44" fontId="7" fillId="0" borderId="4" xfId="2" applyFont="1" applyAlignment="1">
      <alignment horizontal="right" vertical="top" wrapText="1"/>
    </xf>
    <xf numFmtId="49" fontId="28" fillId="8" borderId="136" xfId="0" applyNumberFormat="1" applyFont="1" applyFill="1" applyBorder="1" applyAlignment="1">
      <alignment horizontal="center" vertical="center"/>
    </xf>
    <xf numFmtId="0" fontId="28" fillId="8" borderId="137" xfId="0" applyFont="1" applyFill="1" applyBorder="1" applyAlignment="1">
      <alignment horizontal="center" vertical="center"/>
    </xf>
    <xf numFmtId="2" fontId="31" fillId="10" borderId="11" xfId="0" applyNumberFormat="1" applyFont="1" applyFill="1" applyBorder="1" applyAlignment="1">
      <alignment horizontal="center" vertical="center"/>
    </xf>
    <xf numFmtId="2" fontId="31" fillId="10" borderId="13" xfId="0" applyNumberFormat="1" applyFont="1" applyFill="1" applyBorder="1" applyAlignment="1">
      <alignment horizontal="center" vertical="center"/>
    </xf>
    <xf numFmtId="0" fontId="43" fillId="8" borderId="20" xfId="0" applyFont="1" applyFill="1" applyBorder="1" applyAlignment="1">
      <alignment horizontal="center" vertical="center" wrapText="1"/>
    </xf>
    <xf numFmtId="0" fontId="43" fillId="8" borderId="21" xfId="0" applyFont="1" applyFill="1" applyBorder="1" applyAlignment="1">
      <alignment horizontal="center" vertical="center" wrapText="1"/>
    </xf>
    <xf numFmtId="0" fontId="43" fillId="8" borderId="22" xfId="0" applyFont="1" applyFill="1" applyBorder="1" applyAlignment="1">
      <alignment horizontal="center" vertical="center" wrapText="1"/>
    </xf>
    <xf numFmtId="0" fontId="43" fillId="8" borderId="23" xfId="0" applyFont="1" applyFill="1" applyBorder="1" applyAlignment="1">
      <alignment horizontal="center" vertical="center" wrapText="1"/>
    </xf>
    <xf numFmtId="0" fontId="43" fillId="8" borderId="24" xfId="0" applyFont="1" applyFill="1" applyBorder="1" applyAlignment="1">
      <alignment horizontal="center" vertical="center" wrapText="1"/>
    </xf>
    <xf numFmtId="0" fontId="43" fillId="8" borderId="25" xfId="0" applyFont="1" applyFill="1" applyBorder="1" applyAlignment="1">
      <alignment horizontal="center" vertical="center" wrapText="1"/>
    </xf>
    <xf numFmtId="0" fontId="44" fillId="7" borderId="27" xfId="0" applyFont="1" applyFill="1" applyBorder="1" applyAlignment="1">
      <alignment horizontal="center" vertical="center" wrapText="1"/>
    </xf>
    <xf numFmtId="0" fontId="44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left" vertical="center" wrapText="1"/>
    </xf>
    <xf numFmtId="0" fontId="21" fillId="6" borderId="26" xfId="0" applyFont="1" applyFill="1" applyBorder="1" applyAlignment="1">
      <alignment horizontal="left" vertical="center" wrapText="1"/>
    </xf>
    <xf numFmtId="0" fontId="21" fillId="6" borderId="31" xfId="0" applyFont="1" applyFill="1" applyBorder="1" applyAlignment="1">
      <alignment horizontal="left" vertical="center" wrapText="1"/>
    </xf>
    <xf numFmtId="0" fontId="21" fillId="6" borderId="32" xfId="0" applyFont="1" applyFill="1" applyBorder="1" applyAlignment="1">
      <alignment horizontal="left" vertical="center" wrapText="1"/>
    </xf>
    <xf numFmtId="0" fontId="21" fillId="6" borderId="33" xfId="0" applyFont="1" applyFill="1" applyBorder="1" applyAlignment="1">
      <alignment horizontal="left" vertical="center" wrapText="1"/>
    </xf>
    <xf numFmtId="0" fontId="21" fillId="6" borderId="34" xfId="0" applyFont="1" applyFill="1" applyBorder="1" applyAlignment="1">
      <alignment horizontal="left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wrapText="1"/>
    </xf>
    <xf numFmtId="0" fontId="44" fillId="7" borderId="30" xfId="0" applyFont="1" applyFill="1" applyBorder="1" applyAlignment="1">
      <alignment horizontal="center" vertical="center" wrapText="1"/>
    </xf>
    <xf numFmtId="0" fontId="44" fillId="7" borderId="26" xfId="0" applyFont="1" applyFill="1" applyBorder="1" applyAlignment="1">
      <alignment horizontal="center" vertical="center" wrapText="1"/>
    </xf>
    <xf numFmtId="0" fontId="44" fillId="7" borderId="31" xfId="0" applyFont="1" applyFill="1" applyBorder="1" applyAlignment="1">
      <alignment horizontal="center" vertical="center" wrapText="1"/>
    </xf>
    <xf numFmtId="0" fontId="44" fillId="7" borderId="32" xfId="0" applyFont="1" applyFill="1" applyBorder="1" applyAlignment="1">
      <alignment horizontal="center" vertical="center" wrapText="1"/>
    </xf>
    <xf numFmtId="0" fontId="44" fillId="7" borderId="33" xfId="0" applyFont="1" applyFill="1" applyBorder="1" applyAlignment="1">
      <alignment horizontal="center" vertical="center" wrapText="1"/>
    </xf>
    <xf numFmtId="0" fontId="44" fillId="7" borderId="34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vertical="center" wrapText="1"/>
    </xf>
    <xf numFmtId="0" fontId="21" fillId="6" borderId="32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0" fontId="39" fillId="8" borderId="38" xfId="0" applyFont="1" applyFill="1" applyBorder="1" applyAlignment="1">
      <alignment horizontal="center" vertical="center" wrapText="1"/>
    </xf>
    <xf numFmtId="0" fontId="39" fillId="8" borderId="39" xfId="0" applyFont="1" applyFill="1" applyBorder="1" applyAlignment="1">
      <alignment horizontal="center" vertical="center" wrapText="1"/>
    </xf>
    <xf numFmtId="0" fontId="39" fillId="8" borderId="40" xfId="0" applyFont="1" applyFill="1" applyBorder="1" applyAlignment="1">
      <alignment horizontal="center" vertical="center" wrapText="1"/>
    </xf>
    <xf numFmtId="49" fontId="39" fillId="5" borderId="62" xfId="0" applyNumberFormat="1" applyFont="1" applyFill="1" applyBorder="1" applyAlignment="1">
      <alignment horizontal="center" vertical="center"/>
    </xf>
    <xf numFmtId="49" fontId="39" fillId="5" borderId="128" xfId="0" applyNumberFormat="1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29" xfId="0" applyFont="1" applyFill="1" applyBorder="1" applyAlignment="1">
      <alignment horizontal="left" vertical="top" wrapText="1"/>
    </xf>
    <xf numFmtId="49" fontId="39" fillId="5" borderId="76" xfId="0" applyNumberFormat="1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left" vertical="top" wrapText="1"/>
    </xf>
    <xf numFmtId="0" fontId="5" fillId="6" borderId="21" xfId="0" applyFont="1" applyFill="1" applyBorder="1" applyAlignment="1">
      <alignment horizontal="left" vertical="top" wrapText="1"/>
    </xf>
    <xf numFmtId="0" fontId="5" fillId="6" borderId="22" xfId="0" applyFont="1" applyFill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49" fontId="39" fillId="5" borderId="17" xfId="0" applyNumberFormat="1" applyFont="1" applyFill="1" applyBorder="1" applyAlignment="1">
      <alignment horizontal="center" vertical="center"/>
    </xf>
    <xf numFmtId="0" fontId="39" fillId="5" borderId="17" xfId="0" applyFont="1" applyFill="1" applyBorder="1" applyAlignment="1">
      <alignment horizontal="center" vertical="center"/>
    </xf>
    <xf numFmtId="49" fontId="39" fillId="5" borderId="38" xfId="0" applyNumberFormat="1" applyFont="1" applyFill="1" applyBorder="1" applyAlignment="1">
      <alignment horizontal="center" vertical="center"/>
    </xf>
    <xf numFmtId="49" fontId="39" fillId="5" borderId="39" xfId="0" applyNumberFormat="1" applyFont="1" applyFill="1" applyBorder="1" applyAlignment="1">
      <alignment horizontal="center" vertical="center"/>
    </xf>
    <xf numFmtId="0" fontId="39" fillId="8" borderId="38" xfId="0" applyFont="1" applyFill="1" applyBorder="1" applyAlignment="1">
      <alignment horizontal="left" vertical="center" wrapText="1"/>
    </xf>
    <xf numFmtId="0" fontId="39" fillId="8" borderId="39" xfId="0" applyFont="1" applyFill="1" applyBorder="1" applyAlignment="1">
      <alignment horizontal="left" vertical="center" wrapText="1"/>
    </xf>
    <xf numFmtId="0" fontId="39" fillId="8" borderId="40" xfId="0" applyFont="1" applyFill="1" applyBorder="1" applyAlignment="1">
      <alignment horizontal="left" vertical="center" wrapText="1"/>
    </xf>
    <xf numFmtId="0" fontId="39" fillId="5" borderId="14" xfId="1" applyFont="1" applyFill="1" applyBorder="1" applyAlignment="1">
      <alignment horizontal="left" vertical="center" wrapText="1"/>
    </xf>
    <xf numFmtId="0" fontId="39" fillId="5" borderId="132" xfId="1" applyFont="1" applyFill="1" applyBorder="1" applyAlignment="1">
      <alignment horizontal="left" vertical="center" wrapText="1"/>
    </xf>
    <xf numFmtId="0" fontId="4" fillId="0" borderId="14" xfId="1" applyFont="1" applyBorder="1" applyAlignment="1">
      <alignment horizontal="center" vertical="top" wrapText="1"/>
    </xf>
    <xf numFmtId="0" fontId="4" fillId="0" borderId="15" xfId="1" applyFont="1" applyBorder="1" applyAlignment="1">
      <alignment horizontal="center" vertical="top" wrapText="1"/>
    </xf>
    <xf numFmtId="0" fontId="12" fillId="6" borderId="4" xfId="4" applyFont="1" applyFill="1" applyBorder="1" applyAlignment="1">
      <alignment horizontal="left"/>
    </xf>
    <xf numFmtId="0" fontId="12" fillId="6" borderId="10" xfId="4" applyFont="1" applyFill="1" applyBorder="1" applyAlignment="1">
      <alignment horizontal="left"/>
    </xf>
    <xf numFmtId="49" fontId="28" fillId="5" borderId="17" xfId="0" applyNumberFormat="1" applyFont="1" applyFill="1" applyBorder="1" applyAlignment="1">
      <alignment horizontal="center" vertical="center"/>
    </xf>
    <xf numFmtId="0" fontId="28" fillId="5" borderId="17" xfId="0" applyFont="1" applyFill="1" applyBorder="1" applyAlignment="1">
      <alignment horizontal="center" vertical="center"/>
    </xf>
    <xf numFmtId="0" fontId="29" fillId="6" borderId="36" xfId="0" applyNumberFormat="1" applyFont="1" applyFill="1" applyBorder="1" applyAlignment="1">
      <alignment horizontal="center" vertical="center"/>
    </xf>
    <xf numFmtId="0" fontId="29" fillId="6" borderId="37" xfId="0" applyNumberFormat="1" applyFont="1" applyFill="1" applyBorder="1" applyAlignment="1">
      <alignment horizontal="center" vertical="center"/>
    </xf>
    <xf numFmtId="0" fontId="29" fillId="6" borderId="42" xfId="0" applyNumberFormat="1" applyFont="1" applyFill="1" applyBorder="1" applyAlignment="1">
      <alignment horizontal="center" vertical="center"/>
    </xf>
    <xf numFmtId="0" fontId="29" fillId="6" borderId="43" xfId="0" applyNumberFormat="1" applyFont="1" applyFill="1" applyBorder="1" applyAlignment="1">
      <alignment horizontal="center" vertical="center"/>
    </xf>
    <xf numFmtId="0" fontId="39" fillId="9" borderId="133" xfId="0" applyFont="1" applyFill="1" applyBorder="1" applyAlignment="1">
      <alignment horizontal="center" vertical="center" wrapText="1"/>
    </xf>
    <xf numFmtId="0" fontId="39" fillId="9" borderId="134" xfId="0" applyFont="1" applyFill="1" applyBorder="1" applyAlignment="1">
      <alignment horizontal="center" vertical="center" wrapText="1"/>
    </xf>
    <xf numFmtId="0" fontId="39" fillId="9" borderId="135" xfId="0" applyFont="1" applyFill="1" applyBorder="1" applyAlignment="1">
      <alignment horizontal="center" vertical="center" wrapText="1"/>
    </xf>
    <xf numFmtId="49" fontId="28" fillId="5" borderId="69" xfId="0" applyNumberFormat="1" applyFont="1" applyFill="1" applyBorder="1" applyAlignment="1">
      <alignment horizontal="center" vertical="center" wrapText="1"/>
    </xf>
    <xf numFmtId="49" fontId="28" fillId="5" borderId="70" xfId="0" applyNumberFormat="1" applyFont="1" applyFill="1" applyBorder="1" applyAlignment="1">
      <alignment horizontal="center" vertical="center" wrapText="1"/>
    </xf>
    <xf numFmtId="49" fontId="28" fillId="5" borderId="71" xfId="0" applyNumberFormat="1" applyFont="1" applyFill="1" applyBorder="1" applyAlignment="1">
      <alignment horizontal="center" vertical="center" wrapText="1"/>
    </xf>
    <xf numFmtId="49" fontId="28" fillId="5" borderId="74" xfId="0" applyNumberFormat="1" applyFont="1" applyFill="1" applyBorder="1" applyAlignment="1">
      <alignment horizontal="center" vertical="center" wrapText="1"/>
    </xf>
    <xf numFmtId="49" fontId="28" fillId="5" borderId="68" xfId="0" applyNumberFormat="1" applyFont="1" applyFill="1" applyBorder="1" applyAlignment="1">
      <alignment horizontal="center" vertical="center" wrapText="1"/>
    </xf>
    <xf numFmtId="49" fontId="28" fillId="5" borderId="75" xfId="0" applyNumberFormat="1" applyFont="1" applyFill="1" applyBorder="1" applyAlignment="1">
      <alignment horizontal="center" vertical="center" wrapText="1"/>
    </xf>
    <xf numFmtId="2" fontId="32" fillId="6" borderId="69" xfId="0" applyNumberFormat="1" applyFont="1" applyFill="1" applyBorder="1" applyAlignment="1">
      <alignment horizontal="center" vertical="center"/>
    </xf>
    <xf numFmtId="2" fontId="32" fillId="6" borderId="70" xfId="0" applyNumberFormat="1" applyFont="1" applyFill="1" applyBorder="1" applyAlignment="1">
      <alignment horizontal="center" vertical="center"/>
    </xf>
    <xf numFmtId="2" fontId="32" fillId="6" borderId="71" xfId="0" applyNumberFormat="1" applyFont="1" applyFill="1" applyBorder="1" applyAlignment="1">
      <alignment horizontal="center" vertical="center"/>
    </xf>
    <xf numFmtId="2" fontId="32" fillId="6" borderId="72" xfId="0" applyNumberFormat="1" applyFont="1" applyFill="1" applyBorder="1" applyAlignment="1">
      <alignment horizontal="center" vertical="center"/>
    </xf>
    <xf numFmtId="2" fontId="32" fillId="6" borderId="4" xfId="0" applyNumberFormat="1" applyFont="1" applyFill="1" applyBorder="1" applyAlignment="1">
      <alignment horizontal="center" vertical="center"/>
    </xf>
    <xf numFmtId="2" fontId="32" fillId="6" borderId="73" xfId="0" applyNumberFormat="1" applyFont="1" applyFill="1" applyBorder="1" applyAlignment="1">
      <alignment horizontal="center" vertical="center"/>
    </xf>
    <xf numFmtId="2" fontId="32" fillId="6" borderId="74" xfId="0" applyNumberFormat="1" applyFont="1" applyFill="1" applyBorder="1" applyAlignment="1">
      <alignment horizontal="center" vertical="center"/>
    </xf>
    <xf numFmtId="2" fontId="32" fillId="6" borderId="68" xfId="0" applyNumberFormat="1" applyFont="1" applyFill="1" applyBorder="1" applyAlignment="1">
      <alignment horizontal="center" vertical="center"/>
    </xf>
    <xf numFmtId="2" fontId="32" fillId="6" borderId="75" xfId="0" applyNumberFormat="1" applyFont="1" applyFill="1" applyBorder="1" applyAlignment="1">
      <alignment horizontal="center" vertical="center"/>
    </xf>
    <xf numFmtId="0" fontId="26" fillId="7" borderId="129" xfId="0" applyFont="1" applyFill="1" applyBorder="1" applyAlignment="1">
      <alignment horizontal="center" vertical="center" wrapText="1"/>
    </xf>
    <xf numFmtId="0" fontId="26" fillId="7" borderId="130" xfId="0" applyFont="1" applyFill="1" applyBorder="1" applyAlignment="1">
      <alignment horizontal="center" vertical="center" wrapText="1"/>
    </xf>
    <xf numFmtId="0" fontId="26" fillId="7" borderId="131" xfId="0" applyFont="1" applyFill="1" applyBorder="1" applyAlignment="1">
      <alignment horizontal="center" vertical="center" wrapText="1"/>
    </xf>
    <xf numFmtId="49" fontId="28" fillId="5" borderId="80" xfId="0" applyNumberFormat="1" applyFont="1" applyFill="1" applyBorder="1" applyAlignment="1">
      <alignment horizontal="center" vertical="center"/>
    </xf>
    <xf numFmtId="0" fontId="28" fillId="5" borderId="80" xfId="0" applyFont="1" applyFill="1" applyBorder="1" applyAlignment="1">
      <alignment horizontal="center" vertical="center"/>
    </xf>
    <xf numFmtId="49" fontId="28" fillId="5" borderId="80" xfId="0" applyNumberFormat="1" applyFont="1" applyFill="1" applyBorder="1" applyAlignment="1">
      <alignment horizontal="center" vertical="center" wrapText="1"/>
    </xf>
    <xf numFmtId="0" fontId="28" fillId="5" borderId="80" xfId="0" applyFont="1" applyFill="1" applyBorder="1" applyAlignment="1">
      <alignment horizontal="center" vertical="center" wrapText="1"/>
    </xf>
    <xf numFmtId="49" fontId="28" fillId="5" borderId="17" xfId="0" applyNumberFormat="1" applyFont="1" applyFill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49" fontId="15" fillId="5" borderId="36" xfId="0" applyNumberFormat="1" applyFont="1" applyFill="1" applyBorder="1" applyAlignment="1">
      <alignment horizontal="center" vertical="center"/>
    </xf>
    <xf numFmtId="49" fontId="15" fillId="5" borderId="16" xfId="0" applyNumberFormat="1" applyFont="1" applyFill="1" applyBorder="1" applyAlignment="1">
      <alignment horizontal="center" vertical="center"/>
    </xf>
    <xf numFmtId="49" fontId="15" fillId="5" borderId="37" xfId="0" applyNumberFormat="1" applyFont="1" applyFill="1" applyBorder="1" applyAlignment="1">
      <alignment horizontal="center" vertical="center"/>
    </xf>
    <xf numFmtId="49" fontId="28" fillId="5" borderId="78" xfId="0" applyNumberFormat="1" applyFont="1" applyFill="1" applyBorder="1" applyAlignment="1">
      <alignment horizontal="center" vertical="center"/>
    </xf>
    <xf numFmtId="0" fontId="28" fillId="5" borderId="78" xfId="0" applyFont="1" applyFill="1" applyBorder="1" applyAlignment="1">
      <alignment horizontal="center" vertical="center"/>
    </xf>
    <xf numFmtId="49" fontId="28" fillId="5" borderId="78" xfId="0" applyNumberFormat="1" applyFont="1" applyFill="1" applyBorder="1" applyAlignment="1">
      <alignment horizontal="center" vertical="center" wrapText="1"/>
    </xf>
    <xf numFmtId="0" fontId="28" fillId="5" borderId="78" xfId="0" applyFont="1" applyFill="1" applyBorder="1" applyAlignment="1">
      <alignment horizontal="center" vertical="center" wrapText="1"/>
    </xf>
    <xf numFmtId="0" fontId="16" fillId="6" borderId="69" xfId="0" applyNumberFormat="1" applyFont="1" applyFill="1" applyBorder="1" applyAlignment="1">
      <alignment horizontal="center" vertical="center"/>
    </xf>
    <xf numFmtId="0" fontId="16" fillId="6" borderId="70" xfId="0" applyNumberFormat="1" applyFont="1" applyFill="1" applyBorder="1" applyAlignment="1">
      <alignment horizontal="center" vertical="center"/>
    </xf>
    <xf numFmtId="0" fontId="16" fillId="6" borderId="71" xfId="0" applyNumberFormat="1" applyFont="1" applyFill="1" applyBorder="1" applyAlignment="1">
      <alignment horizontal="center" vertical="center"/>
    </xf>
    <xf numFmtId="0" fontId="16" fillId="6" borderId="74" xfId="0" applyNumberFormat="1" applyFont="1" applyFill="1" applyBorder="1" applyAlignment="1">
      <alignment horizontal="center" vertical="center"/>
    </xf>
    <xf numFmtId="0" fontId="16" fillId="6" borderId="68" xfId="0" applyNumberFormat="1" applyFont="1" applyFill="1" applyBorder="1" applyAlignment="1">
      <alignment horizontal="center" vertical="center"/>
    </xf>
    <xf numFmtId="0" fontId="16" fillId="6" borderId="75" xfId="0" applyNumberFormat="1" applyFont="1" applyFill="1" applyBorder="1" applyAlignment="1">
      <alignment horizontal="center" vertical="center"/>
    </xf>
    <xf numFmtId="49" fontId="3" fillId="3" borderId="77" xfId="1" applyNumberFormat="1" applyFont="1" applyFill="1" applyBorder="1" applyAlignment="1">
      <alignment horizontal="center" vertical="center" wrapText="1"/>
    </xf>
    <xf numFmtId="2" fontId="5" fillId="0" borderId="125" xfId="1" applyNumberFormat="1" applyFont="1" applyBorder="1" applyAlignment="1">
      <alignment horizontal="center" vertical="center" wrapText="1"/>
    </xf>
    <xf numFmtId="2" fontId="5" fillId="0" borderId="76" xfId="1" applyNumberFormat="1" applyFont="1" applyBorder="1" applyAlignment="1">
      <alignment horizontal="center" vertical="center" wrapText="1"/>
    </xf>
    <xf numFmtId="2" fontId="5" fillId="0" borderId="101" xfId="1" applyNumberFormat="1" applyFont="1" applyBorder="1" applyAlignment="1">
      <alignment horizontal="center" vertical="center" wrapText="1"/>
    </xf>
    <xf numFmtId="49" fontId="3" fillId="3" borderId="4" xfId="1" applyNumberFormat="1" applyFont="1" applyFill="1" applyBorder="1" applyAlignment="1">
      <alignment horizontal="center" vertical="center" wrapText="1"/>
    </xf>
    <xf numFmtId="49" fontId="3" fillId="3" borderId="76" xfId="1" applyNumberFormat="1" applyFont="1" applyFill="1" applyBorder="1" applyAlignment="1">
      <alignment horizontal="center" vertical="center" wrapText="1"/>
    </xf>
    <xf numFmtId="49" fontId="3" fillId="3" borderId="104" xfId="1" applyNumberFormat="1" applyFont="1" applyFill="1" applyBorder="1" applyAlignment="1">
      <alignment horizontal="center" vertical="center" wrapText="1"/>
    </xf>
    <xf numFmtId="49" fontId="5" fillId="0" borderId="108" xfId="1" applyNumberFormat="1" applyFont="1" applyFill="1" applyBorder="1" applyAlignment="1">
      <alignment horizontal="center" vertical="center" wrapText="1"/>
    </xf>
    <xf numFmtId="49" fontId="5" fillId="0" borderId="49" xfId="1" applyNumberFormat="1" applyFont="1" applyFill="1" applyBorder="1" applyAlignment="1">
      <alignment horizontal="center" vertical="center" wrapText="1"/>
    </xf>
    <xf numFmtId="49" fontId="38" fillId="0" borderId="47" xfId="1" applyNumberFormat="1" applyFont="1" applyFill="1" applyBorder="1" applyAlignment="1">
      <alignment horizontal="center" vertical="center" wrapText="1"/>
    </xf>
    <xf numFmtId="49" fontId="4" fillId="0" borderId="108" xfId="1" applyNumberFormat="1" applyFont="1" applyFill="1" applyBorder="1" applyAlignment="1">
      <alignment horizontal="center" vertical="center" wrapText="1"/>
    </xf>
    <xf numFmtId="49" fontId="4" fillId="0" borderId="49" xfId="1" applyNumberFormat="1" applyFont="1" applyFill="1" applyBorder="1" applyAlignment="1">
      <alignment horizontal="center" vertical="center" wrapText="1"/>
    </xf>
    <xf numFmtId="49" fontId="5" fillId="0" borderId="47" xfId="1" applyNumberFormat="1" applyFont="1" applyFill="1" applyBorder="1" applyAlignment="1">
      <alignment horizontal="center" vertical="center" wrapText="1"/>
    </xf>
  </cellXfs>
  <cellStyles count="6">
    <cellStyle name="Moeda 2" xfId="2"/>
    <cellStyle name="Normal" xfId="0" builtinId="0"/>
    <cellStyle name="Normal 2" xfId="1"/>
    <cellStyle name="Normal 3" xfId="4"/>
    <cellStyle name="Porcentagem" xfId="5" builtinId="5"/>
    <cellStyle name="Separador de milhares" xfId="3" builtinId="3"/>
  </cellStyles>
  <dxfs count="28"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990033"/>
        </patternFill>
      </fill>
    </dxf>
    <dxf>
      <fill>
        <patternFill>
          <bgColor rgb="FFCCFF33"/>
        </patternFill>
      </fill>
    </dxf>
    <dxf>
      <fill>
        <patternFill>
          <bgColor rgb="FF660066"/>
        </patternFill>
      </fill>
    </dxf>
    <dxf>
      <fill>
        <patternFill>
          <bgColor rgb="FF00B050"/>
        </patternFill>
      </fill>
    </dxf>
    <dxf>
      <fill>
        <patternFill>
          <bgColor rgb="FF99FF99"/>
        </patternFill>
      </fill>
    </dxf>
    <dxf>
      <fill>
        <patternFill>
          <bgColor rgb="FF7030A0"/>
        </patternFill>
      </fill>
    </dxf>
    <dxf>
      <fill>
        <patternFill>
          <bgColor rgb="FF008000"/>
        </patternFill>
      </fill>
    </dxf>
    <dxf>
      <fill>
        <patternFill>
          <bgColor rgb="FF66FF99"/>
        </patternFill>
      </fill>
    </dxf>
    <dxf>
      <fill>
        <patternFill>
          <bgColor rgb="FF006666"/>
        </patternFill>
      </fill>
    </dxf>
    <dxf>
      <fill>
        <patternFill>
          <bgColor rgb="FF66FFCC"/>
        </patternFill>
      </fill>
    </dxf>
    <dxf>
      <fill>
        <patternFill>
          <bgColor rgb="FF99FF33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990033"/>
        </patternFill>
      </fill>
    </dxf>
    <dxf>
      <fill>
        <patternFill>
          <bgColor rgb="FFCCFF33"/>
        </patternFill>
      </fill>
    </dxf>
    <dxf>
      <fill>
        <patternFill>
          <bgColor rgb="FF660066"/>
        </patternFill>
      </fill>
    </dxf>
    <dxf>
      <fill>
        <patternFill>
          <bgColor rgb="FF00B050"/>
        </patternFill>
      </fill>
    </dxf>
    <dxf>
      <fill>
        <patternFill>
          <bgColor rgb="FF99FF99"/>
        </patternFill>
      </fill>
    </dxf>
    <dxf>
      <fill>
        <patternFill>
          <bgColor rgb="FF7030A0"/>
        </patternFill>
      </fill>
    </dxf>
    <dxf>
      <fill>
        <patternFill>
          <bgColor rgb="FF008000"/>
        </patternFill>
      </fill>
    </dxf>
    <dxf>
      <fill>
        <patternFill>
          <bgColor rgb="FF66FF99"/>
        </patternFill>
      </fill>
    </dxf>
    <dxf>
      <fill>
        <patternFill>
          <bgColor rgb="FF006666"/>
        </patternFill>
      </fill>
    </dxf>
    <dxf>
      <fill>
        <patternFill>
          <bgColor rgb="FF66FFCC"/>
        </patternFill>
      </fill>
    </dxf>
    <dxf>
      <fill>
        <patternFill>
          <bgColor rgb="FF99FF33"/>
        </patternFill>
      </fill>
    </dxf>
    <dxf>
      <fill>
        <patternFill>
          <bgColor rgb="FFCCCC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2DBDB"/>
      <rgbColor rgb="FFE5DFEC"/>
      <rgbColor rgb="FFDBE5F1"/>
      <rgbColor rgb="FFD6E3BC"/>
      <rgbColor rgb="FFFBD4B4"/>
      <rgbColor rgb="FFDAEEF3"/>
      <rgbColor rgb="FF255663"/>
      <rgbColor rgb="FF030303"/>
      <rgbColor rgb="FF5E5E5E"/>
      <rgbColor rgb="00000000"/>
      <rgbColor rgb="FF009192"/>
      <rgbColor rgb="FF941651"/>
      <rgbColor rgb="FFFFD478"/>
      <rgbColor rgb="FFB41700"/>
      <rgbColor rgb="FF9437FF"/>
      <rgbColor rgb="FF8DF900"/>
      <rgbColor rgb="FF29612D"/>
      <rgbColor rgb="FFCB297B"/>
      <rgbColor rgb="FF929000"/>
      <rgbColor rgb="FFC0C0C0"/>
      <rgbColor rgb="FF68FC00"/>
      <rgbColor rgb="FF5E0098"/>
      <rgbColor rgb="6E67C196"/>
      <rgbColor rgb="FF7F7F7F"/>
      <rgbColor rgb="FF71AD5D"/>
      <rgbColor rgb="FF008F51"/>
      <rgbColor rgb="FF4E8F00"/>
      <rgbColor rgb="FF521B92"/>
      <rgbColor rgb="FF66BC97"/>
      <rgbColor rgb="FF96F343"/>
      <rgbColor rgb="FF00A89C"/>
      <rgbColor rgb="FFA5A5A5"/>
      <rgbColor rgb="FF3F3F3F"/>
      <rgbColor rgb="FFBDC0BF"/>
      <rgbColor rgb="FFBFBFBF"/>
      <rgbColor rgb="FF7FD3CD"/>
      <rgbColor rgb="FF004C7F"/>
      <rgbColor rgb="FF56C7BA"/>
      <rgbColor rgb="FFBEEAE5"/>
      <rgbColor rgb="FF16E6CF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0B8B0"/>
      <color rgb="FF109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Vers&#227;o Impress&#227;o'!A1"/><Relationship Id="rId3" Type="http://schemas.openxmlformats.org/officeDocument/2006/relationships/hyperlink" Target="#'Resumo Resultados'!A1"/><Relationship Id="rId7" Type="http://schemas.openxmlformats.org/officeDocument/2006/relationships/hyperlink" Target="#'Dashboard Mod. Espa&#231;ado'!A1"/><Relationship Id="rId12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hyperlink" Target="#Premissas!A1"/><Relationship Id="rId6" Type="http://schemas.openxmlformats.org/officeDocument/2006/relationships/image" Target="../media/image2.jpeg"/><Relationship Id="rId11" Type="http://schemas.openxmlformats.org/officeDocument/2006/relationships/hyperlink" Target="#'Or&#231;amento Plantas'!A1"/><Relationship Id="rId5" Type="http://schemas.openxmlformats.org/officeDocument/2006/relationships/hyperlink" Target="#'Dashboard de M&#243;dulos'!A1"/><Relationship Id="rId10" Type="http://schemas.openxmlformats.org/officeDocument/2006/relationships/hyperlink" Target="#'Or&#231;amento Geral'!A1"/><Relationship Id="rId4" Type="http://schemas.openxmlformats.org/officeDocument/2006/relationships/hyperlink" Target="#Croqui!A1"/><Relationship Id="rId9" Type="http://schemas.openxmlformats.org/officeDocument/2006/relationships/hyperlink" Target="#'C&#225;lculo Irriga&#231;&#227;o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119662</xdr:colOff>
      <xdr:row>14</xdr:row>
      <xdr:rowOff>9525</xdr:rowOff>
    </xdr:from>
    <xdr:to>
      <xdr:col>10</xdr:col>
      <xdr:colOff>424462</xdr:colOff>
      <xdr:row>15</xdr:row>
      <xdr:rowOff>173171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9F98D06-1B1A-47D1-8797-6189D643A0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6025162" y="2057400"/>
          <a:ext cx="304800" cy="325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119662</xdr:colOff>
      <xdr:row>17</xdr:row>
      <xdr:rowOff>14237</xdr:rowOff>
    </xdr:from>
    <xdr:to>
      <xdr:col>10</xdr:col>
      <xdr:colOff>424462</xdr:colOff>
      <xdr:row>18</xdr:row>
      <xdr:rowOff>130258</xdr:rowOff>
    </xdr:to>
    <xdr:pic>
      <xdr:nvPicPr>
        <xdr:cNvPr id="5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46126475-9DD7-45B9-9793-2E348168B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6025162" y="2443112"/>
          <a:ext cx="304800" cy="325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119662</xdr:colOff>
      <xdr:row>20</xdr:row>
      <xdr:rowOff>18949</xdr:rowOff>
    </xdr:from>
    <xdr:to>
      <xdr:col>10</xdr:col>
      <xdr:colOff>424462</xdr:colOff>
      <xdr:row>21</xdr:row>
      <xdr:rowOff>134970</xdr:rowOff>
    </xdr:to>
    <xdr:pic>
      <xdr:nvPicPr>
        <xdr:cNvPr id="9" name="Imagem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4DE94295-CDD6-4C06-B6F6-FBEB96640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6025162" y="2828824"/>
          <a:ext cx="304800" cy="325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119062</xdr:colOff>
      <xdr:row>23</xdr:row>
      <xdr:rowOff>14136</xdr:rowOff>
    </xdr:from>
    <xdr:to>
      <xdr:col>10</xdr:col>
      <xdr:colOff>425062</xdr:colOff>
      <xdr:row>24</xdr:row>
      <xdr:rowOff>159139</xdr:rowOff>
    </xdr:to>
    <xdr:pic>
      <xdr:nvPicPr>
        <xdr:cNvPr id="10" name="Imagem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9F8CCBD-C214-4DBE-A97F-858C3BAA23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6024562" y="3214536"/>
          <a:ext cx="306000" cy="354553"/>
        </a:xfrm>
        <a:prstGeom prst="rect">
          <a:avLst/>
        </a:prstGeom>
      </xdr:spPr>
    </xdr:pic>
    <xdr:clientData/>
  </xdr:twoCellAnchor>
  <xdr:twoCellAnchor editAs="oneCell">
    <xdr:from>
      <xdr:col>10</xdr:col>
      <xdr:colOff>119662</xdr:colOff>
      <xdr:row>26</xdr:row>
      <xdr:rowOff>38305</xdr:rowOff>
    </xdr:from>
    <xdr:to>
      <xdr:col>10</xdr:col>
      <xdr:colOff>424462</xdr:colOff>
      <xdr:row>27</xdr:row>
      <xdr:rowOff>201951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697E3BC-E8B6-43DC-B5BD-586D36E91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6025162" y="3629230"/>
          <a:ext cx="304800" cy="325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119662</xdr:colOff>
      <xdr:row>38</xdr:row>
      <xdr:rowOff>19050</xdr:rowOff>
    </xdr:from>
    <xdr:to>
      <xdr:col>10</xdr:col>
      <xdr:colOff>424462</xdr:colOff>
      <xdr:row>39</xdr:row>
      <xdr:rowOff>135071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7475ABC-0016-4454-9675-9FAF68A24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6025162" y="5172075"/>
          <a:ext cx="304800" cy="325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119662</xdr:colOff>
      <xdr:row>29</xdr:row>
      <xdr:rowOff>33492</xdr:rowOff>
    </xdr:from>
    <xdr:to>
      <xdr:col>10</xdr:col>
      <xdr:colOff>424462</xdr:colOff>
      <xdr:row>30</xdr:row>
      <xdr:rowOff>197138</xdr:rowOff>
    </xdr:to>
    <xdr:pic>
      <xdr:nvPicPr>
        <xdr:cNvPr id="13" name="Imagem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92FE1C1-5A89-47FD-B736-6E01A5E29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6025162" y="4014942"/>
          <a:ext cx="304800" cy="325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119662</xdr:colOff>
      <xdr:row>32</xdr:row>
      <xdr:rowOff>28679</xdr:rowOff>
    </xdr:from>
    <xdr:to>
      <xdr:col>10</xdr:col>
      <xdr:colOff>424462</xdr:colOff>
      <xdr:row>33</xdr:row>
      <xdr:rowOff>192325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F8F1CB9E-A6DD-40F5-BC94-BCC131F95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6025162" y="4400654"/>
          <a:ext cx="304800" cy="325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119662</xdr:colOff>
      <xdr:row>35</xdr:row>
      <xdr:rowOff>23866</xdr:rowOff>
    </xdr:from>
    <xdr:to>
      <xdr:col>10</xdr:col>
      <xdr:colOff>424462</xdr:colOff>
      <xdr:row>36</xdr:row>
      <xdr:rowOff>187512</xdr:rowOff>
    </xdr:to>
    <xdr:pic>
      <xdr:nvPicPr>
        <xdr:cNvPr id="15" name="Imagem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106BBCEB-28D0-4B71-A1CE-CD0409A674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6025162" y="4786366"/>
          <a:ext cx="304800" cy="325571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7</xdr:row>
      <xdr:rowOff>152400</xdr:rowOff>
    </xdr:from>
    <xdr:to>
      <xdr:col>15</xdr:col>
      <xdr:colOff>580430</xdr:colOff>
      <xdr:row>25</xdr:row>
      <xdr:rowOff>18455</xdr:rowOff>
    </xdr:to>
    <xdr:pic>
      <xdr:nvPicPr>
        <xdr:cNvPr id="16" name="Imagem 15" descr="Logotipo João (1)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267575" y="1285875"/>
          <a:ext cx="2266355" cy="2266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3</xdr:col>
      <xdr:colOff>35121</xdr:colOff>
      <xdr:row>3</xdr:row>
      <xdr:rowOff>59516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BF1F636-E831-47A2-B7F4-B28147C4AA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181" t="21814" r="22059" b="22181"/>
        <a:stretch/>
      </xdr:blipFill>
      <xdr:spPr>
        <a:xfrm>
          <a:off x="180975" y="66675"/>
          <a:ext cx="539946" cy="535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Acer Haus">
      <a:dk1>
        <a:srgbClr val="000000"/>
      </a:dk1>
      <a:lt1>
        <a:srgbClr val="FFFFFF"/>
      </a:lt1>
      <a:dk2>
        <a:srgbClr val="008000"/>
      </a:dk2>
      <a:lt2>
        <a:srgbClr val="D5D5D5"/>
      </a:lt2>
      <a:accent1>
        <a:srgbClr val="A0F5EB"/>
      </a:accent1>
      <a:accent2>
        <a:srgbClr val="11AC99"/>
      </a:accent2>
      <a:accent3>
        <a:srgbClr val="49C569"/>
      </a:accent3>
      <a:accent4>
        <a:srgbClr val="E0F23A"/>
      </a:accent4>
      <a:accent5>
        <a:srgbClr val="F67A58"/>
      </a:accent5>
      <a:accent6>
        <a:srgbClr val="C86DE1"/>
      </a:accent6>
      <a:hlink>
        <a:srgbClr val="011F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B1:N42"/>
  <sheetViews>
    <sheetView showGridLines="0" workbookViewId="0">
      <selection activeCell="S25" sqref="S25"/>
    </sheetView>
  </sheetViews>
  <sheetFormatPr defaultRowHeight="12.75"/>
  <cols>
    <col min="1" max="1" width="2.85546875" customWidth="1"/>
    <col min="2" max="2" width="20.42578125" customWidth="1"/>
    <col min="3" max="3" width="1.28515625" customWidth="1"/>
    <col min="5" max="5" width="9.140625" customWidth="1"/>
  </cols>
  <sheetData>
    <row r="1" spans="2:14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2:14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4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2:14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2:14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2:14" ht="12.75" customHeight="1">
      <c r="B9" s="433" t="s">
        <v>121</v>
      </c>
      <c r="C9" s="434"/>
      <c r="D9" s="434"/>
      <c r="E9" s="434"/>
      <c r="F9" s="434"/>
      <c r="G9" s="434"/>
      <c r="H9" s="434"/>
      <c r="I9" s="434"/>
      <c r="J9" s="434"/>
      <c r="K9" s="435"/>
      <c r="L9" s="34"/>
      <c r="M9" s="34"/>
      <c r="N9" s="34"/>
    </row>
    <row r="10" spans="2:14">
      <c r="B10" s="436"/>
      <c r="C10" s="437"/>
      <c r="D10" s="437"/>
      <c r="E10" s="437"/>
      <c r="F10" s="437"/>
      <c r="G10" s="437"/>
      <c r="H10" s="437"/>
      <c r="I10" s="437"/>
      <c r="J10" s="437"/>
      <c r="K10" s="438"/>
      <c r="L10" s="34"/>
      <c r="M10" s="34"/>
      <c r="N10" s="34"/>
    </row>
    <row r="11" spans="2:14" ht="3.75" customHeight="1" thickBo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2:14" ht="12.75" customHeight="1">
      <c r="B12" s="439" t="s">
        <v>123</v>
      </c>
      <c r="C12" s="34"/>
      <c r="D12" s="449" t="s">
        <v>124</v>
      </c>
      <c r="E12" s="450"/>
      <c r="F12" s="450"/>
      <c r="G12" s="450"/>
      <c r="H12" s="450"/>
      <c r="I12" s="450"/>
      <c r="J12" s="451"/>
      <c r="K12" s="439" t="s">
        <v>122</v>
      </c>
      <c r="L12" s="34"/>
      <c r="M12" s="34"/>
      <c r="N12" s="34"/>
    </row>
    <row r="13" spans="2:14" ht="13.5" thickBot="1">
      <c r="B13" s="440"/>
      <c r="C13" s="34"/>
      <c r="D13" s="452"/>
      <c r="E13" s="453"/>
      <c r="F13" s="453"/>
      <c r="G13" s="453"/>
      <c r="H13" s="453"/>
      <c r="I13" s="453"/>
      <c r="J13" s="454"/>
      <c r="K13" s="440"/>
      <c r="L13" s="34"/>
      <c r="M13" s="34"/>
      <c r="N13" s="34"/>
    </row>
    <row r="14" spans="2:14" ht="3.75" customHeight="1" thickBot="1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2:14" ht="12.75" customHeight="1">
      <c r="B15" s="447" t="s">
        <v>176</v>
      </c>
      <c r="C15" s="34"/>
      <c r="D15" s="441" t="s">
        <v>177</v>
      </c>
      <c r="E15" s="442"/>
      <c r="F15" s="442"/>
      <c r="G15" s="442"/>
      <c r="H15" s="442"/>
      <c r="I15" s="442"/>
      <c r="J15" s="443"/>
      <c r="K15" s="34"/>
      <c r="L15" s="34"/>
      <c r="M15" s="34"/>
      <c r="N15" s="34"/>
    </row>
    <row r="16" spans="2:14" ht="13.5" thickBot="1">
      <c r="B16" s="448"/>
      <c r="C16" s="34"/>
      <c r="D16" s="444"/>
      <c r="E16" s="445"/>
      <c r="F16" s="445"/>
      <c r="G16" s="445"/>
      <c r="H16" s="445"/>
      <c r="I16" s="445"/>
      <c r="J16" s="446"/>
      <c r="K16" s="34"/>
      <c r="L16" s="34"/>
      <c r="M16" s="34"/>
      <c r="N16" s="34"/>
    </row>
    <row r="17" spans="2:14" ht="3.75" customHeight="1" thickBot="1">
      <c r="B17" s="34"/>
      <c r="C17" s="34"/>
      <c r="D17" s="303"/>
      <c r="E17" s="303"/>
      <c r="F17" s="303"/>
      <c r="G17" s="303"/>
      <c r="H17" s="303"/>
      <c r="I17" s="303"/>
      <c r="J17" s="303"/>
      <c r="K17" s="34"/>
      <c r="L17" s="34"/>
      <c r="M17" s="34"/>
      <c r="N17" s="34"/>
    </row>
    <row r="18" spans="2:14">
      <c r="B18" s="447" t="s">
        <v>178</v>
      </c>
      <c r="C18" s="34"/>
      <c r="D18" s="441" t="s">
        <v>179</v>
      </c>
      <c r="E18" s="442"/>
      <c r="F18" s="442"/>
      <c r="G18" s="442"/>
      <c r="H18" s="442"/>
      <c r="I18" s="442"/>
      <c r="J18" s="443"/>
      <c r="K18" s="34"/>
      <c r="L18" s="34"/>
      <c r="M18" s="34"/>
      <c r="N18" s="34"/>
    </row>
    <row r="19" spans="2:14" ht="13.5" thickBot="1">
      <c r="B19" s="448"/>
      <c r="C19" s="34"/>
      <c r="D19" s="444"/>
      <c r="E19" s="445"/>
      <c r="F19" s="445"/>
      <c r="G19" s="445"/>
      <c r="H19" s="445"/>
      <c r="I19" s="445"/>
      <c r="J19" s="446"/>
      <c r="K19" s="34"/>
      <c r="L19" s="34"/>
      <c r="M19" s="34"/>
      <c r="N19" s="34"/>
    </row>
    <row r="20" spans="2:14" ht="3.75" customHeight="1" thickBot="1">
      <c r="B20" s="34"/>
      <c r="C20" s="34"/>
      <c r="D20" s="303"/>
      <c r="E20" s="303"/>
      <c r="F20" s="303"/>
      <c r="G20" s="303"/>
      <c r="H20" s="303"/>
      <c r="I20" s="303"/>
      <c r="J20" s="303"/>
      <c r="K20" s="34"/>
      <c r="L20" s="34"/>
      <c r="M20" s="34"/>
      <c r="N20" s="34"/>
    </row>
    <row r="21" spans="2:14">
      <c r="B21" s="447" t="s">
        <v>185</v>
      </c>
      <c r="C21" s="34"/>
      <c r="D21" s="441" t="s">
        <v>186</v>
      </c>
      <c r="E21" s="442"/>
      <c r="F21" s="442"/>
      <c r="G21" s="442"/>
      <c r="H21" s="442"/>
      <c r="I21" s="442"/>
      <c r="J21" s="443"/>
      <c r="K21" s="34"/>
      <c r="L21" s="34"/>
      <c r="M21" s="34"/>
      <c r="N21" s="34"/>
    </row>
    <row r="22" spans="2:14" ht="13.5" thickBot="1">
      <c r="B22" s="448"/>
      <c r="C22" s="34"/>
      <c r="D22" s="444"/>
      <c r="E22" s="445"/>
      <c r="F22" s="445"/>
      <c r="G22" s="445"/>
      <c r="H22" s="445"/>
      <c r="I22" s="445"/>
      <c r="J22" s="446"/>
      <c r="K22" s="34"/>
      <c r="L22" s="34"/>
      <c r="M22" s="34"/>
      <c r="N22" s="34"/>
    </row>
    <row r="23" spans="2:14" ht="5.0999999999999996" customHeight="1" thickBot="1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2:14">
      <c r="B24" s="447" t="s">
        <v>125</v>
      </c>
      <c r="C24" s="34"/>
      <c r="D24" s="441" t="s">
        <v>181</v>
      </c>
      <c r="E24" s="442"/>
      <c r="F24" s="442"/>
      <c r="G24" s="442"/>
      <c r="H24" s="442"/>
      <c r="I24" s="442"/>
      <c r="J24" s="443"/>
      <c r="K24" s="34"/>
      <c r="L24" s="34"/>
      <c r="M24" s="34"/>
      <c r="N24" s="34"/>
    </row>
    <row r="25" spans="2:14" ht="13.5" thickBot="1">
      <c r="B25" s="448"/>
      <c r="C25" s="34"/>
      <c r="D25" s="444"/>
      <c r="E25" s="445"/>
      <c r="F25" s="445"/>
      <c r="G25" s="445"/>
      <c r="H25" s="445"/>
      <c r="I25" s="445"/>
      <c r="J25" s="446"/>
      <c r="K25" s="34"/>
      <c r="L25" s="34"/>
      <c r="M25" s="34"/>
      <c r="N25" s="34"/>
    </row>
    <row r="26" spans="2:14" ht="4.5" customHeight="1" thickBot="1">
      <c r="B26" s="34"/>
      <c r="C26" s="34"/>
      <c r="D26" s="303"/>
      <c r="E26" s="303"/>
      <c r="F26" s="303"/>
      <c r="G26" s="303"/>
      <c r="H26" s="303"/>
      <c r="I26" s="303"/>
      <c r="J26" s="303"/>
      <c r="K26" s="34"/>
      <c r="L26" s="34"/>
      <c r="M26" s="34"/>
      <c r="N26" s="34"/>
    </row>
    <row r="27" spans="2:14" ht="12.75" customHeight="1">
      <c r="B27" s="447" t="s">
        <v>180</v>
      </c>
      <c r="C27" s="304"/>
      <c r="D27" s="455" t="s">
        <v>182</v>
      </c>
      <c r="E27" s="456"/>
      <c r="F27" s="456"/>
      <c r="G27" s="456"/>
      <c r="H27" s="456"/>
      <c r="I27" s="456"/>
      <c r="J27" s="457"/>
      <c r="K27" s="34"/>
      <c r="L27" s="34"/>
      <c r="M27" s="34"/>
      <c r="N27" s="34"/>
    </row>
    <row r="28" spans="2:14" ht="13.5" thickBot="1">
      <c r="B28" s="448"/>
      <c r="C28" s="304"/>
      <c r="D28" s="458"/>
      <c r="E28" s="459"/>
      <c r="F28" s="459"/>
      <c r="G28" s="459"/>
      <c r="H28" s="459"/>
      <c r="I28" s="459"/>
      <c r="J28" s="460"/>
      <c r="K28" s="34"/>
      <c r="L28" s="34"/>
      <c r="M28" s="34"/>
      <c r="N28" s="34"/>
    </row>
    <row r="29" spans="2:14" ht="4.5" customHeight="1" thickBot="1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2:14" ht="12.75" customHeight="1">
      <c r="B30" s="447" t="s">
        <v>183</v>
      </c>
      <c r="C30" s="304"/>
      <c r="D30" s="455" t="s">
        <v>184</v>
      </c>
      <c r="E30" s="456"/>
      <c r="F30" s="456"/>
      <c r="G30" s="456"/>
      <c r="H30" s="456"/>
      <c r="I30" s="456"/>
      <c r="J30" s="457"/>
      <c r="K30" s="34"/>
      <c r="L30" s="34"/>
      <c r="M30" s="34"/>
      <c r="N30" s="34"/>
    </row>
    <row r="31" spans="2:14" ht="13.5" thickBot="1">
      <c r="B31" s="448"/>
      <c r="C31" s="304"/>
      <c r="D31" s="458"/>
      <c r="E31" s="459"/>
      <c r="F31" s="459"/>
      <c r="G31" s="459"/>
      <c r="H31" s="459"/>
      <c r="I31" s="459"/>
      <c r="J31" s="460"/>
      <c r="K31" s="34"/>
      <c r="L31" s="34"/>
      <c r="M31" s="34"/>
      <c r="N31" s="34"/>
    </row>
    <row r="32" spans="2:14" ht="5.0999999999999996" customHeight="1" thickBot="1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2:14" ht="12.75" customHeight="1">
      <c r="B33" s="447" t="s">
        <v>154</v>
      </c>
      <c r="C33" s="304"/>
      <c r="D33" s="441" t="s">
        <v>187</v>
      </c>
      <c r="E33" s="442"/>
      <c r="F33" s="442"/>
      <c r="G33" s="442"/>
      <c r="H33" s="442"/>
      <c r="I33" s="442"/>
      <c r="J33" s="443"/>
      <c r="K33" s="34"/>
      <c r="L33" s="34"/>
      <c r="M33" s="34"/>
      <c r="N33" s="34"/>
    </row>
    <row r="34" spans="2:14" ht="13.5" thickBot="1">
      <c r="B34" s="448"/>
      <c r="C34" s="304"/>
      <c r="D34" s="444"/>
      <c r="E34" s="445"/>
      <c r="F34" s="445"/>
      <c r="G34" s="445"/>
      <c r="H34" s="445"/>
      <c r="I34" s="445"/>
      <c r="J34" s="446"/>
      <c r="K34" s="34"/>
      <c r="L34" s="34"/>
      <c r="M34" s="34"/>
      <c r="N34" s="34"/>
    </row>
    <row r="35" spans="2:14" ht="5.0999999999999996" customHeight="1" thickBot="1">
      <c r="B35" s="34"/>
      <c r="C35" s="34"/>
      <c r="D35" s="303"/>
      <c r="E35" s="303"/>
      <c r="F35" s="303"/>
      <c r="G35" s="303"/>
      <c r="H35" s="303"/>
      <c r="I35" s="303"/>
      <c r="J35" s="303"/>
      <c r="K35" s="34"/>
      <c r="L35" s="34"/>
      <c r="M35" s="34"/>
      <c r="N35" s="34"/>
    </row>
    <row r="36" spans="2:14" ht="12.75" customHeight="1">
      <c r="B36" s="447" t="s">
        <v>155</v>
      </c>
      <c r="C36" s="304"/>
      <c r="D36" s="441" t="s">
        <v>188</v>
      </c>
      <c r="E36" s="442"/>
      <c r="F36" s="442"/>
      <c r="G36" s="442"/>
      <c r="H36" s="442"/>
      <c r="I36" s="442"/>
      <c r="J36" s="443"/>
      <c r="K36" s="34"/>
      <c r="L36" s="34"/>
      <c r="M36" s="34"/>
      <c r="N36" s="34"/>
    </row>
    <row r="37" spans="2:14" ht="13.5" thickBot="1">
      <c r="B37" s="448"/>
      <c r="C37" s="304"/>
      <c r="D37" s="444"/>
      <c r="E37" s="445"/>
      <c r="F37" s="445"/>
      <c r="G37" s="445"/>
      <c r="H37" s="445"/>
      <c r="I37" s="445"/>
      <c r="J37" s="446"/>
      <c r="K37" s="34"/>
      <c r="L37" s="34"/>
      <c r="M37" s="34"/>
      <c r="N37" s="34"/>
    </row>
    <row r="38" spans="2:14" ht="5.0999999999999996" customHeight="1" thickBot="1">
      <c r="B38" s="34"/>
      <c r="C38" s="34"/>
      <c r="D38" s="303"/>
      <c r="E38" s="303"/>
      <c r="F38" s="303"/>
      <c r="G38" s="303"/>
      <c r="H38" s="303"/>
      <c r="I38" s="303"/>
      <c r="J38" s="303"/>
      <c r="K38" s="34"/>
      <c r="L38" s="34"/>
      <c r="M38" s="34"/>
      <c r="N38" s="34"/>
    </row>
    <row r="39" spans="2:14">
      <c r="B39" s="447" t="s">
        <v>189</v>
      </c>
      <c r="C39" s="304"/>
      <c r="D39" s="441" t="s">
        <v>190</v>
      </c>
      <c r="E39" s="442"/>
      <c r="F39" s="442"/>
      <c r="G39" s="442"/>
      <c r="H39" s="442"/>
      <c r="I39" s="442"/>
      <c r="J39" s="443"/>
      <c r="K39" s="34"/>
      <c r="L39" s="34"/>
      <c r="M39" s="34"/>
      <c r="N39" s="34"/>
    </row>
    <row r="40" spans="2:14" ht="13.5" thickBot="1">
      <c r="B40" s="448"/>
      <c r="C40" s="304"/>
      <c r="D40" s="444"/>
      <c r="E40" s="445"/>
      <c r="F40" s="445"/>
      <c r="G40" s="445"/>
      <c r="H40" s="445"/>
      <c r="I40" s="445"/>
      <c r="J40" s="446"/>
      <c r="K40" s="34"/>
      <c r="L40" s="34"/>
      <c r="M40" s="34"/>
      <c r="N40" s="34"/>
    </row>
    <row r="41" spans="2:14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2:14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</sheetData>
  <mergeCells count="22">
    <mergeCell ref="B39:B40"/>
    <mergeCell ref="D39:J40"/>
    <mergeCell ref="B27:B28"/>
    <mergeCell ref="D27:J28"/>
    <mergeCell ref="B30:B31"/>
    <mergeCell ref="D30:J31"/>
    <mergeCell ref="B33:B34"/>
    <mergeCell ref="D33:J34"/>
    <mergeCell ref="B9:K10"/>
    <mergeCell ref="K12:K13"/>
    <mergeCell ref="D36:J37"/>
    <mergeCell ref="B21:B22"/>
    <mergeCell ref="D21:J22"/>
    <mergeCell ref="B36:B37"/>
    <mergeCell ref="D12:J13"/>
    <mergeCell ref="D15:J16"/>
    <mergeCell ref="D18:J19"/>
    <mergeCell ref="D24:J25"/>
    <mergeCell ref="B18:B19"/>
    <mergeCell ref="B24:B25"/>
    <mergeCell ref="B15:B16"/>
    <mergeCell ref="B12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/>
  </sheetPr>
  <dimension ref="A1:N35"/>
  <sheetViews>
    <sheetView showGridLines="0" tabSelected="1" workbookViewId="0">
      <selection activeCell="F6" sqref="F6"/>
    </sheetView>
  </sheetViews>
  <sheetFormatPr defaultColWidth="8.85546875" defaultRowHeight="12.75"/>
  <cols>
    <col min="1" max="1" width="2.7109375" style="1" customWidth="1"/>
    <col min="2" max="2" width="26.85546875" style="1" bestFit="1" customWidth="1"/>
    <col min="3" max="3" width="19.140625" style="8" bestFit="1" customWidth="1"/>
    <col min="4" max="4" width="5.28515625" style="8" customWidth="1"/>
    <col min="5" max="5" width="26.85546875" style="1" bestFit="1" customWidth="1"/>
    <col min="6" max="6" width="20.5703125" style="1" customWidth="1"/>
    <col min="7" max="16384" width="8.85546875" style="1"/>
  </cols>
  <sheetData>
    <row r="1" spans="1:14" ht="13.5" thickBot="1">
      <c r="A1" s="10"/>
      <c r="B1" s="10"/>
      <c r="C1" s="334"/>
      <c r="D1" s="334"/>
      <c r="E1" s="10"/>
      <c r="F1" s="10"/>
      <c r="G1" s="10"/>
    </row>
    <row r="2" spans="1:14" ht="17.25" customHeight="1" thickBot="1">
      <c r="A2" s="10"/>
      <c r="B2" s="10"/>
      <c r="C2" s="277" t="s">
        <v>106</v>
      </c>
      <c r="D2" s="483" t="s">
        <v>119</v>
      </c>
      <c r="E2" s="484"/>
      <c r="F2" s="484"/>
      <c r="G2" s="10"/>
    </row>
    <row r="3" spans="1:14">
      <c r="A3" s="10"/>
      <c r="B3" s="10"/>
      <c r="C3" s="335" t="s">
        <v>168</v>
      </c>
      <c r="D3" s="336">
        <f>Premissas!C16</f>
        <v>0</v>
      </c>
      <c r="E3" s="275" t="s">
        <v>170</v>
      </c>
      <c r="F3" s="337">
        <f>'Resumo Resultados'!F3</f>
        <v>4</v>
      </c>
      <c r="G3" s="10"/>
    </row>
    <row r="4" spans="1:14">
      <c r="A4" s="10"/>
      <c r="B4" s="10"/>
      <c r="C4" s="275" t="s">
        <v>172</v>
      </c>
      <c r="D4" s="290">
        <f>'Cálculo de Módulos Plastwall'!D16</f>
        <v>4.2699999999999996</v>
      </c>
      <c r="E4" s="338" t="s">
        <v>169</v>
      </c>
      <c r="F4" s="337">
        <f>'Resumo Resultados'!F4</f>
        <v>2</v>
      </c>
      <c r="G4" s="10"/>
    </row>
    <row r="5" spans="1:14" ht="15">
      <c r="A5" s="10"/>
      <c r="B5" s="10"/>
      <c r="C5" s="275" t="s">
        <v>174</v>
      </c>
      <c r="D5" s="290">
        <f>'Resumo Resultados'!D5</f>
        <v>3.3</v>
      </c>
      <c r="E5" s="339"/>
      <c r="F5" s="275"/>
      <c r="G5" s="38"/>
      <c r="K5" s="8"/>
      <c r="L5" s="8"/>
    </row>
    <row r="6" spans="1:14">
      <c r="A6" s="10"/>
      <c r="B6" s="10"/>
      <c r="C6" s="275" t="s">
        <v>175</v>
      </c>
      <c r="D6" s="290">
        <f>Premissas!B24</f>
        <v>0</v>
      </c>
      <c r="E6" s="340"/>
      <c r="F6" s="341"/>
      <c r="G6" s="10"/>
    </row>
    <row r="7" spans="1:14">
      <c r="A7" s="10"/>
      <c r="B7" s="10"/>
      <c r="C7" s="288" t="s">
        <v>173</v>
      </c>
      <c r="D7" s="342">
        <f>Premissas!C24</f>
        <v>0</v>
      </c>
      <c r="E7" s="343"/>
      <c r="F7" s="344"/>
      <c r="G7" s="10"/>
    </row>
    <row r="8" spans="1:14" ht="15.75" thickBot="1">
      <c r="A8" s="10"/>
      <c r="B8" s="10"/>
      <c r="C8" s="38"/>
      <c r="D8" s="345"/>
      <c r="E8" s="334"/>
      <c r="F8" s="10"/>
      <c r="G8" s="10"/>
      <c r="J8" s="287"/>
      <c r="K8" s="289"/>
      <c r="L8" s="275"/>
      <c r="M8" s="291"/>
    </row>
    <row r="9" spans="1:14" ht="13.5" thickBot="1">
      <c r="A9" s="10"/>
      <c r="B9" s="485" t="s">
        <v>105</v>
      </c>
      <c r="C9" s="486"/>
      <c r="D9" s="352"/>
      <c r="E9" s="485" t="s">
        <v>108</v>
      </c>
      <c r="F9" s="486"/>
      <c r="G9" s="10"/>
    </row>
    <row r="10" spans="1:14" s="9" customFormat="1" ht="19.899999999999999" customHeight="1" thickBot="1">
      <c r="B10" s="277" t="s">
        <v>50</v>
      </c>
      <c r="C10" s="278" t="s">
        <v>51</v>
      </c>
      <c r="D10" s="51"/>
      <c r="E10" s="277" t="s">
        <v>50</v>
      </c>
      <c r="F10" s="278" t="s">
        <v>51</v>
      </c>
      <c r="H10" s="1"/>
      <c r="I10" s="1"/>
      <c r="N10" s="1"/>
    </row>
    <row r="11" spans="1:14" s="9" customFormat="1" ht="19.899999999999999" customHeight="1">
      <c r="B11" s="280" t="s">
        <v>36</v>
      </c>
      <c r="C11" s="281">
        <f>('Orçamento Geral'!L7)</f>
        <v>3588.3120000000004</v>
      </c>
      <c r="D11" s="52"/>
      <c r="E11" s="280" t="s">
        <v>36</v>
      </c>
      <c r="F11" s="281">
        <f>'Orçamento Geral'!L7</f>
        <v>3588.3120000000004</v>
      </c>
      <c r="H11" s="1"/>
      <c r="I11" s="1"/>
      <c r="N11" s="276"/>
    </row>
    <row r="12" spans="1:14" s="9" customFormat="1" ht="19.899999999999999" customHeight="1">
      <c r="B12" s="280" t="s">
        <v>85</v>
      </c>
      <c r="C12" s="281">
        <f>'Orçamento Geral'!L8</f>
        <v>545.6880000000001</v>
      </c>
      <c r="D12" s="52"/>
      <c r="E12" s="280" t="s">
        <v>85</v>
      </c>
      <c r="F12" s="281">
        <f>C12</f>
        <v>545.6880000000001</v>
      </c>
      <c r="H12" s="1"/>
      <c r="I12" s="1"/>
      <c r="N12" s="1"/>
    </row>
    <row r="13" spans="1:14" s="9" customFormat="1" ht="19.899999999999999" customHeight="1">
      <c r="B13" s="280" t="s">
        <v>76</v>
      </c>
      <c r="C13" s="281">
        <f>'Orçamento Geral'!L9</f>
        <v>409.26599999999996</v>
      </c>
      <c r="D13" s="52"/>
      <c r="E13" s="280" t="s">
        <v>76</v>
      </c>
      <c r="F13" s="281">
        <f>C13</f>
        <v>409.26599999999996</v>
      </c>
      <c r="H13" s="1"/>
      <c r="I13" s="1"/>
      <c r="J13" s="38"/>
      <c r="K13" s="91"/>
      <c r="L13" s="8"/>
      <c r="M13" s="1"/>
      <c r="N13" s="1"/>
    </row>
    <row r="14" spans="1:14" s="9" customFormat="1" ht="19.899999999999999" customHeight="1">
      <c r="B14" s="280" t="s">
        <v>104</v>
      </c>
      <c r="C14" s="281">
        <f>'Orçamento Geral'!L14</f>
        <v>1765.2868999999998</v>
      </c>
      <c r="D14" s="52"/>
      <c r="E14" s="280" t="s">
        <v>104</v>
      </c>
      <c r="F14" s="281">
        <f>C14</f>
        <v>1765.2868999999998</v>
      </c>
    </row>
    <row r="15" spans="1:14" s="9" customFormat="1" ht="19.899999999999999" customHeight="1">
      <c r="B15" s="280" t="s">
        <v>40</v>
      </c>
      <c r="C15" s="281">
        <f>'Orçamento Geral'!L21</f>
        <v>1841.5592000000001</v>
      </c>
      <c r="D15" s="52"/>
      <c r="E15" s="280" t="s">
        <v>40</v>
      </c>
      <c r="F15" s="281">
        <f>C15</f>
        <v>1841.5592000000001</v>
      </c>
    </row>
    <row r="16" spans="1:14" s="9" customFormat="1" ht="19.899999999999999" customHeight="1">
      <c r="B16" s="280" t="s">
        <v>78</v>
      </c>
      <c r="C16" s="281">
        <f>'Orçamento Plantas'!M8</f>
        <v>6539.9880000000003</v>
      </c>
      <c r="D16" s="52"/>
      <c r="E16" s="280" t="s">
        <v>78</v>
      </c>
      <c r="F16" s="281">
        <f>'Orçamento Plantas'!M19</f>
        <v>3617.25</v>
      </c>
    </row>
    <row r="17" spans="1:7" s="9" customFormat="1" ht="19.899999999999999" customHeight="1">
      <c r="B17" s="282" t="str">
        <f>'Orçamento Geral'!B11</f>
        <v>Calhas</v>
      </c>
      <c r="C17" s="281">
        <f>'Orçamento Geral'!L11</f>
        <v>0</v>
      </c>
      <c r="D17" s="52"/>
      <c r="E17" s="282" t="s">
        <v>100</v>
      </c>
      <c r="F17" s="281">
        <f>'Orçamento Geral'!O11</f>
        <v>0</v>
      </c>
    </row>
    <row r="18" spans="1:7" s="9" customFormat="1" ht="19.899999999999999" customHeight="1">
      <c r="B18" s="282" t="str">
        <f>'Orçamento Geral'!B15</f>
        <v>Andaimes</v>
      </c>
      <c r="C18" s="281">
        <f>'Orçamento Geral'!L15</f>
        <v>0</v>
      </c>
      <c r="D18" s="52"/>
      <c r="E18" s="282" t="s">
        <v>74</v>
      </c>
      <c r="F18" s="281">
        <f>'Orçamento Geral'!O15</f>
        <v>0</v>
      </c>
    </row>
    <row r="19" spans="1:7" s="9" customFormat="1" ht="19.899999999999999" customHeight="1" thickBot="1">
      <c r="B19" s="282" t="str">
        <f>'Orçamento Geral'!B17</f>
        <v>Croqui + ART</v>
      </c>
      <c r="C19" s="283">
        <f>'Orçamento Geral'!L17</f>
        <v>537.42000000000007</v>
      </c>
      <c r="D19" s="52"/>
      <c r="E19" s="282" t="s">
        <v>77</v>
      </c>
      <c r="F19" s="283">
        <f>'Orçamento Geral'!O17</f>
        <v>0</v>
      </c>
    </row>
    <row r="20" spans="1:7" s="9" customFormat="1" ht="19.899999999999999" customHeight="1" thickBot="1">
      <c r="B20" s="284" t="s">
        <v>52</v>
      </c>
      <c r="C20" s="285">
        <f>SUM(C11:C19)</f>
        <v>15227.5201</v>
      </c>
      <c r="D20" s="53"/>
      <c r="E20" s="284" t="s">
        <v>52</v>
      </c>
      <c r="F20" s="285">
        <f>SUM(F11:F19)</f>
        <v>11767.3621</v>
      </c>
    </row>
    <row r="21" spans="1:7" s="10" customFormat="1" ht="4.5" customHeight="1">
      <c r="B21" s="12"/>
      <c r="C21" s="54"/>
      <c r="D21" s="50"/>
      <c r="E21" s="12"/>
      <c r="F21" s="54"/>
    </row>
    <row r="22" spans="1:7" s="10" customFormat="1" ht="6.75" customHeight="1" thickBot="1">
      <c r="B22" s="9"/>
      <c r="C22" s="11"/>
      <c r="D22" s="50"/>
    </row>
    <row r="23" spans="1:7" s="9" customFormat="1" ht="19.899999999999999" customHeight="1" thickBot="1">
      <c r="B23" s="485" t="s">
        <v>109</v>
      </c>
      <c r="C23" s="486"/>
      <c r="D23" s="279"/>
      <c r="E23" s="485" t="s">
        <v>107</v>
      </c>
      <c r="F23" s="486"/>
    </row>
    <row r="24" spans="1:7" s="9" customFormat="1" ht="19.899999999999999" customHeight="1" thickBot="1">
      <c r="B24" s="277" t="s">
        <v>50</v>
      </c>
      <c r="C24" s="278" t="s">
        <v>51</v>
      </c>
      <c r="D24" s="292"/>
      <c r="E24" s="277" t="s">
        <v>50</v>
      </c>
      <c r="F24" s="278" t="s">
        <v>51</v>
      </c>
    </row>
    <row r="25" spans="1:7" s="9" customFormat="1" ht="19.899999999999999" customHeight="1">
      <c r="B25" s="280" t="str">
        <f t="shared" ref="B25:B33" si="0">B11</f>
        <v>Módulos</v>
      </c>
      <c r="C25" s="286">
        <f>'Orçamento Geral'!L27</f>
        <v>1495.1300000000003</v>
      </c>
      <c r="D25" s="293"/>
      <c r="E25" s="280" t="s">
        <v>36</v>
      </c>
      <c r="F25" s="281">
        <f>C25</f>
        <v>1495.1300000000003</v>
      </c>
    </row>
    <row r="26" spans="1:7" s="9" customFormat="1" ht="18" customHeight="1">
      <c r="B26" s="280" t="str">
        <f t="shared" si="0"/>
        <v xml:space="preserve">Substrato </v>
      </c>
      <c r="C26" s="286">
        <f>'Orçamento Geral'!L28</f>
        <v>223.23600000000005</v>
      </c>
      <c r="D26" s="293"/>
      <c r="E26" s="280" t="s">
        <v>85</v>
      </c>
      <c r="F26" s="281">
        <f>C26</f>
        <v>223.23600000000005</v>
      </c>
    </row>
    <row r="27" spans="1:7" s="9" customFormat="1" ht="18" customHeight="1">
      <c r="B27" s="280" t="str">
        <f t="shared" si="0"/>
        <v>MacDrain</v>
      </c>
      <c r="C27" s="286">
        <f>'Orçamento Geral'!L29</f>
        <v>181.89600000000002</v>
      </c>
      <c r="D27" s="294"/>
      <c r="E27" s="280" t="s">
        <v>76</v>
      </c>
      <c r="F27" s="281">
        <f>C27</f>
        <v>181.89600000000002</v>
      </c>
    </row>
    <row r="28" spans="1:7" s="10" customFormat="1" ht="19.5" customHeight="1">
      <c r="B28" s="280" t="str">
        <f t="shared" si="0"/>
        <v>Sistema de Irrigação (materiais)</v>
      </c>
      <c r="C28" s="283">
        <f>'Orçamento Geral'!L34</f>
        <v>1765.2868999999998</v>
      </c>
      <c r="D28" s="294"/>
      <c r="E28" s="280" t="s">
        <v>104</v>
      </c>
      <c r="F28" s="281">
        <f>C28</f>
        <v>1765.2868999999998</v>
      </c>
    </row>
    <row r="29" spans="1:7" ht="17.25" customHeight="1">
      <c r="A29" s="10"/>
      <c r="B29" s="280" t="str">
        <f t="shared" si="0"/>
        <v>Mão de Obra</v>
      </c>
      <c r="C29" s="283">
        <f>'Orçamento Geral'!L41</f>
        <v>861.93900000000008</v>
      </c>
      <c r="D29" s="427"/>
      <c r="E29" s="280" t="s">
        <v>40</v>
      </c>
      <c r="F29" s="281">
        <f>C29</f>
        <v>861.93900000000008</v>
      </c>
      <c r="G29" s="10"/>
    </row>
    <row r="30" spans="1:7" ht="22.5" customHeight="1">
      <c r="A30" s="10"/>
      <c r="B30" s="280" t="str">
        <f t="shared" si="0"/>
        <v>Plantas</v>
      </c>
      <c r="C30" s="283">
        <f>'Orçamento Plantas'!M13</f>
        <v>2733.9520000000002</v>
      </c>
      <c r="D30" s="427"/>
      <c r="E30" s="280" t="s">
        <v>78</v>
      </c>
      <c r="F30" s="281">
        <f>'Orçamento Plantas'!M25</f>
        <v>1511.3215</v>
      </c>
      <c r="G30" s="10"/>
    </row>
    <row r="31" spans="1:7">
      <c r="A31" s="10"/>
      <c r="B31" s="280" t="str">
        <f t="shared" si="0"/>
        <v>Calhas</v>
      </c>
      <c r="C31" s="283">
        <f>'Orçamento Geral'!L11</f>
        <v>0</v>
      </c>
      <c r="D31" s="428"/>
      <c r="E31" s="282" t="s">
        <v>100</v>
      </c>
      <c r="F31" s="281">
        <f>'Orçamento Geral'!O27</f>
        <v>0</v>
      </c>
      <c r="G31" s="10"/>
    </row>
    <row r="32" spans="1:7">
      <c r="A32" s="10"/>
      <c r="B32" s="280" t="str">
        <f t="shared" si="0"/>
        <v>Andaimes</v>
      </c>
      <c r="C32" s="283">
        <f>'Orçamento Geral'!L15</f>
        <v>0</v>
      </c>
      <c r="D32" s="428"/>
      <c r="E32" s="282" t="s">
        <v>74</v>
      </c>
      <c r="F32" s="281">
        <f>'Orçamento Geral'!O31</f>
        <v>0</v>
      </c>
      <c r="G32" s="10"/>
    </row>
    <row r="33" spans="1:7" ht="13.5" thickBot="1">
      <c r="A33" s="10"/>
      <c r="B33" s="280" t="str">
        <f t="shared" si="0"/>
        <v>Croqui + ART</v>
      </c>
      <c r="C33" s="283">
        <f>'Orçamento Geral'!L17</f>
        <v>537.42000000000007</v>
      </c>
      <c r="D33" s="341"/>
      <c r="E33" s="282" t="s">
        <v>77</v>
      </c>
      <c r="F33" s="283">
        <f>'Orçamento Geral'!O33</f>
        <v>0</v>
      </c>
      <c r="G33" s="10"/>
    </row>
    <row r="34" spans="1:7" ht="13.5" thickBot="1">
      <c r="A34" s="10"/>
      <c r="B34" s="284" t="s">
        <v>52</v>
      </c>
      <c r="C34" s="285">
        <f>SUM(C25:C33)</f>
        <v>7798.8599000000004</v>
      </c>
      <c r="D34" s="341"/>
      <c r="E34" s="284" t="s">
        <v>52</v>
      </c>
      <c r="F34" s="285">
        <f>SUM(F25:F33)</f>
        <v>6038.8094000000001</v>
      </c>
      <c r="G34" s="10"/>
    </row>
    <row r="35" spans="1:7">
      <c r="A35" s="10"/>
      <c r="B35" s="10"/>
      <c r="C35" s="334"/>
      <c r="D35" s="334"/>
      <c r="E35" s="10"/>
      <c r="F35" s="10"/>
      <c r="G35" s="10"/>
    </row>
  </sheetData>
  <mergeCells count="5">
    <mergeCell ref="B9:C9"/>
    <mergeCell ref="E9:F9"/>
    <mergeCell ref="B23:C23"/>
    <mergeCell ref="E23:F23"/>
    <mergeCell ref="D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IY42"/>
  <sheetViews>
    <sheetView showGridLines="0" zoomScale="110" zoomScaleNormal="110" workbookViewId="0"/>
  </sheetViews>
  <sheetFormatPr defaultRowHeight="12.75"/>
  <cols>
    <col min="1" max="1" width="3.140625" customWidth="1"/>
    <col min="2" max="2" width="17.42578125" customWidth="1"/>
    <col min="4" max="4" width="3.42578125" customWidth="1"/>
    <col min="5" max="5" width="28.5703125" bestFit="1" customWidth="1"/>
    <col min="6" max="6" width="9.28515625" bestFit="1" customWidth="1"/>
    <col min="7" max="7" width="3" customWidth="1"/>
    <col min="8" max="8" width="43" customWidth="1"/>
    <col min="9" max="9" width="4.5703125" customWidth="1"/>
    <col min="10" max="10" width="3.140625" customWidth="1"/>
    <col min="11" max="11" width="26.28515625" bestFit="1" customWidth="1"/>
    <col min="12" max="12" width="16.7109375" bestFit="1" customWidth="1"/>
    <col min="13" max="13" width="29.42578125" customWidth="1"/>
    <col min="15" max="15" width="0.85546875" customWidth="1"/>
    <col min="16" max="16" width="35.28515625" customWidth="1"/>
    <col min="17" max="17" width="3" bestFit="1" customWidth="1"/>
    <col min="18" max="18" width="2.7109375" customWidth="1"/>
    <col min="19" max="19" width="23.42578125" bestFit="1" customWidth="1"/>
    <col min="23" max="23" width="17.28515625" bestFit="1" customWidth="1"/>
    <col min="24" max="24" width="7.42578125" bestFit="1" customWidth="1"/>
    <col min="26" max="26" width="31.140625" customWidth="1"/>
    <col min="28" max="28" width="6.28515625" customWidth="1"/>
    <col min="29" max="29" width="37.5703125" customWidth="1"/>
  </cols>
  <sheetData>
    <row r="1" spans="1:259" s="93" customFormat="1" ht="18.75" customHeight="1">
      <c r="A1" s="34"/>
      <c r="B1" s="3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  <c r="IY1" s="92"/>
    </row>
    <row r="2" spans="1:259" s="93" customFormat="1">
      <c r="A2" s="34"/>
      <c r="B2" s="3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  <c r="IY2" s="92"/>
    </row>
    <row r="3" spans="1:259" s="93" customFormat="1">
      <c r="A3" s="34"/>
      <c r="B3" s="3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  <c r="IY3" s="92"/>
    </row>
    <row r="4" spans="1:259" s="93" customFormat="1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14"/>
      <c r="M4" s="34"/>
      <c r="N4"/>
      <c r="O4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</row>
    <row r="5" spans="1:259" ht="12.75" customHeight="1">
      <c r="A5" s="34"/>
      <c r="B5" s="461" t="s">
        <v>135</v>
      </c>
      <c r="C5" s="462"/>
      <c r="D5" s="462"/>
      <c r="E5" s="462"/>
      <c r="F5" s="462"/>
      <c r="G5" s="462"/>
      <c r="H5" s="463"/>
      <c r="I5" s="34"/>
      <c r="J5" s="34"/>
      <c r="K5" s="34"/>
      <c r="L5" s="34"/>
      <c r="M5" s="34"/>
    </row>
    <row r="6" spans="1:259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259" ht="12.75" customHeight="1">
      <c r="A7" s="34"/>
      <c r="B7" s="470" t="s">
        <v>134</v>
      </c>
      <c r="C7" s="471"/>
      <c r="D7" s="471"/>
      <c r="E7" s="471"/>
      <c r="F7" s="471"/>
      <c r="G7" s="471"/>
      <c r="H7" s="472"/>
      <c r="I7" s="34"/>
      <c r="J7" s="34"/>
      <c r="K7" s="34"/>
      <c r="L7" s="34"/>
      <c r="M7" s="34"/>
    </row>
    <row r="8" spans="1:259">
      <c r="A8" s="34"/>
      <c r="B8" s="466" t="s">
        <v>196</v>
      </c>
      <c r="C8" s="467"/>
      <c r="D8" s="467"/>
      <c r="E8" s="467"/>
      <c r="F8" s="467"/>
      <c r="G8" s="467"/>
      <c r="H8" s="468"/>
      <c r="I8" s="34"/>
      <c r="J8" s="34"/>
      <c r="K8" s="34"/>
      <c r="L8" s="34"/>
      <c r="M8" s="34"/>
    </row>
    <row r="9" spans="1:259" ht="12.75" customHeight="1">
      <c r="A9" s="34"/>
      <c r="B9" s="466" t="s">
        <v>198</v>
      </c>
      <c r="C9" s="467"/>
      <c r="D9" s="467"/>
      <c r="E9" s="467"/>
      <c r="F9" s="467"/>
      <c r="G9" s="467"/>
      <c r="H9" s="315"/>
      <c r="I9" s="34"/>
      <c r="J9" s="34"/>
      <c r="K9" s="34"/>
      <c r="L9" s="34"/>
      <c r="M9" s="34"/>
    </row>
    <row r="10" spans="1:259" ht="12.75" customHeight="1">
      <c r="A10" s="34"/>
      <c r="B10" s="466" t="s">
        <v>197</v>
      </c>
      <c r="C10" s="467"/>
      <c r="D10" s="467"/>
      <c r="E10" s="467"/>
      <c r="F10" s="467"/>
      <c r="G10" s="467"/>
      <c r="H10" s="468"/>
      <c r="I10" s="34"/>
      <c r="J10" s="34"/>
      <c r="K10" s="34"/>
      <c r="L10" s="34"/>
      <c r="M10" s="34"/>
    </row>
    <row r="11" spans="1:259" ht="12.75" customHeight="1">
      <c r="A11" s="34"/>
      <c r="B11" s="466" t="s">
        <v>202</v>
      </c>
      <c r="C11" s="467"/>
      <c r="D11" s="467"/>
      <c r="E11" s="467"/>
      <c r="F11" s="467"/>
      <c r="G11" s="467"/>
      <c r="H11" s="468"/>
      <c r="I11" s="34"/>
      <c r="J11" s="34"/>
      <c r="K11" s="34"/>
      <c r="L11" s="34"/>
      <c r="M11" s="34"/>
    </row>
    <row r="12" spans="1:259">
      <c r="A12" s="34"/>
      <c r="B12" s="473" t="s">
        <v>199</v>
      </c>
      <c r="C12" s="474"/>
      <c r="D12" s="474"/>
      <c r="E12" s="474"/>
      <c r="F12" s="474"/>
      <c r="G12" s="474"/>
      <c r="H12" s="475"/>
      <c r="I12" s="34"/>
      <c r="J12" s="34"/>
      <c r="K12" s="34"/>
      <c r="L12" s="34"/>
      <c r="M12" s="34"/>
    </row>
    <row r="13" spans="1:259">
      <c r="A13" s="34"/>
      <c r="B13" s="316"/>
      <c r="C13" s="316"/>
      <c r="D13" s="316"/>
      <c r="E13" s="316"/>
      <c r="F13" s="316"/>
      <c r="G13" s="316"/>
      <c r="H13" s="316"/>
      <c r="I13" s="34"/>
      <c r="J13" s="34"/>
      <c r="K13" s="34"/>
      <c r="L13" s="34"/>
      <c r="M13" s="34"/>
    </row>
    <row r="14" spans="1:259" ht="16.5" customHeight="1">
      <c r="A14" s="34"/>
      <c r="B14" s="480" t="s">
        <v>142</v>
      </c>
      <c r="C14" s="481"/>
      <c r="D14" s="481"/>
      <c r="E14" s="481"/>
      <c r="F14" s="481"/>
      <c r="G14" s="481"/>
      <c r="H14" s="482"/>
      <c r="I14" s="333"/>
      <c r="J14" s="34"/>
      <c r="K14" s="480" t="s">
        <v>191</v>
      </c>
      <c r="L14" s="481"/>
      <c r="M14" s="481"/>
    </row>
    <row r="15" spans="1:259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259">
      <c r="A16" s="34"/>
      <c r="B16" s="317" t="s">
        <v>143</v>
      </c>
      <c r="C16" s="318"/>
      <c r="D16" s="34"/>
      <c r="E16" s="478" t="s">
        <v>156</v>
      </c>
      <c r="F16" s="479"/>
      <c r="G16" s="34"/>
      <c r="H16" s="478" t="s">
        <v>40</v>
      </c>
      <c r="I16" s="479"/>
      <c r="J16" s="34"/>
      <c r="K16" s="319" t="s">
        <v>153</v>
      </c>
      <c r="L16" s="319" t="s">
        <v>154</v>
      </c>
      <c r="M16" s="319" t="s">
        <v>155</v>
      </c>
    </row>
    <row r="17" spans="1:1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20" t="s">
        <v>79</v>
      </c>
      <c r="L17" s="321">
        <v>0.06</v>
      </c>
      <c r="M17" s="321">
        <v>0.06</v>
      </c>
    </row>
    <row r="18" spans="1:13">
      <c r="A18" s="34"/>
      <c r="B18" s="476" t="s">
        <v>144</v>
      </c>
      <c r="C18" s="477"/>
      <c r="D18" s="34"/>
      <c r="E18" s="322" t="s">
        <v>159</v>
      </c>
      <c r="F18" s="323" t="s">
        <v>160</v>
      </c>
      <c r="G18" s="34"/>
      <c r="H18" s="322" t="s">
        <v>50</v>
      </c>
      <c r="I18" s="322"/>
      <c r="J18" s="34"/>
      <c r="K18" s="324" t="s">
        <v>88</v>
      </c>
      <c r="L18" s="325">
        <v>0.3</v>
      </c>
      <c r="M18" s="325">
        <v>0.3</v>
      </c>
    </row>
    <row r="19" spans="1:13">
      <c r="A19" s="34"/>
      <c r="B19" s="326" t="s">
        <v>128</v>
      </c>
      <c r="C19" s="327" t="s">
        <v>129</v>
      </c>
      <c r="D19" s="34"/>
      <c r="E19" s="305" t="s">
        <v>161</v>
      </c>
      <c r="F19" s="306">
        <v>0.5</v>
      </c>
      <c r="G19" s="34"/>
      <c r="H19" s="305" t="s">
        <v>166</v>
      </c>
      <c r="I19" s="307">
        <v>2</v>
      </c>
      <c r="J19" s="34"/>
      <c r="K19" s="324" t="s">
        <v>90</v>
      </c>
      <c r="L19" s="328">
        <v>305</v>
      </c>
      <c r="M19" s="328">
        <v>305</v>
      </c>
    </row>
    <row r="20" spans="1:13">
      <c r="A20" s="34"/>
      <c r="B20" s="329">
        <v>2.2999999999999998</v>
      </c>
      <c r="C20" s="330">
        <v>3</v>
      </c>
      <c r="D20" s="34"/>
      <c r="E20" s="308" t="s">
        <v>162</v>
      </c>
      <c r="F20" s="309">
        <v>0</v>
      </c>
      <c r="G20" s="34"/>
      <c r="H20" s="308" t="s">
        <v>167</v>
      </c>
      <c r="I20" s="308">
        <f>'Cálculo de Módulos Plastwall'!C6/Premissas!I21/I19</f>
        <v>1.68</v>
      </c>
      <c r="J20" s="34"/>
      <c r="K20" s="324" t="s">
        <v>91</v>
      </c>
      <c r="L20" s="328">
        <v>206</v>
      </c>
      <c r="M20" s="328">
        <v>206</v>
      </c>
    </row>
    <row r="21" spans="1:13">
      <c r="A21" s="34"/>
      <c r="B21" s="34"/>
      <c r="C21" s="34"/>
      <c r="D21" s="34"/>
      <c r="E21" s="310" t="s">
        <v>111</v>
      </c>
      <c r="F21" s="311">
        <v>0.5</v>
      </c>
      <c r="G21" s="34"/>
      <c r="H21" s="310" t="s">
        <v>171</v>
      </c>
      <c r="I21" s="310">
        <v>25</v>
      </c>
      <c r="J21" s="34"/>
      <c r="K21" s="331" t="s">
        <v>92</v>
      </c>
      <c r="L21" s="332">
        <v>0</v>
      </c>
      <c r="M21" s="332">
        <v>0</v>
      </c>
    </row>
    <row r="22" spans="1:13">
      <c r="A22" s="34"/>
      <c r="B22" s="476" t="s">
        <v>145</v>
      </c>
      <c r="C22" s="477"/>
      <c r="D22" s="34"/>
      <c r="E22" s="312" t="s">
        <v>130</v>
      </c>
      <c r="F22" s="313">
        <f>SUM(F19:F21)</f>
        <v>1</v>
      </c>
      <c r="G22" s="34"/>
      <c r="H22" s="34"/>
      <c r="I22" s="34"/>
      <c r="J22" s="34"/>
      <c r="K22" s="34"/>
      <c r="L22" s="34"/>
      <c r="M22" s="34"/>
    </row>
    <row r="23" spans="1:13">
      <c r="A23" s="34"/>
      <c r="B23" s="326" t="s">
        <v>128</v>
      </c>
      <c r="C23" s="327" t="s">
        <v>129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4"/>
      <c r="B24" s="329">
        <v>0</v>
      </c>
      <c r="C24" s="330">
        <v>0</v>
      </c>
      <c r="D24" s="34"/>
      <c r="E24" s="322" t="s">
        <v>194</v>
      </c>
      <c r="F24" s="323"/>
      <c r="G24" s="34"/>
      <c r="H24" s="34"/>
      <c r="I24" s="34"/>
      <c r="J24" s="34"/>
      <c r="K24" s="34"/>
      <c r="L24" s="34"/>
      <c r="M24" s="34"/>
    </row>
    <row r="25" spans="1:13">
      <c r="A25" s="34"/>
      <c r="B25" s="34"/>
      <c r="C25" s="34"/>
      <c r="D25" s="34"/>
      <c r="E25" s="305" t="s">
        <v>164</v>
      </c>
      <c r="F25" s="305">
        <v>2</v>
      </c>
      <c r="G25" s="34"/>
      <c r="H25" s="34"/>
      <c r="I25" s="34"/>
      <c r="J25" s="34"/>
      <c r="K25" s="34"/>
      <c r="L25" s="34"/>
      <c r="M25" s="34"/>
    </row>
    <row r="26" spans="1:13">
      <c r="A26" s="34"/>
      <c r="B26" s="476" t="s">
        <v>146</v>
      </c>
      <c r="C26" s="477"/>
      <c r="D26" s="34"/>
      <c r="E26" s="308" t="s">
        <v>163</v>
      </c>
      <c r="F26" s="308">
        <v>2</v>
      </c>
      <c r="G26" s="34"/>
      <c r="H26" s="34"/>
      <c r="I26" s="34"/>
      <c r="J26" s="34"/>
      <c r="K26" s="34"/>
      <c r="L26" s="34"/>
      <c r="M26" s="34"/>
    </row>
    <row r="27" spans="1:13">
      <c r="A27" s="34"/>
      <c r="B27" s="326" t="s">
        <v>128</v>
      </c>
      <c r="C27" s="327" t="s">
        <v>129</v>
      </c>
      <c r="D27" s="34"/>
      <c r="E27" s="310" t="s">
        <v>165</v>
      </c>
      <c r="F27" s="310">
        <v>0.5</v>
      </c>
      <c r="G27" s="136"/>
      <c r="H27" s="34"/>
      <c r="I27" s="34"/>
      <c r="J27" s="34"/>
      <c r="K27" s="34"/>
      <c r="L27" s="34"/>
      <c r="M27" s="34"/>
    </row>
    <row r="28" spans="1:13">
      <c r="A28" s="34"/>
      <c r="B28" s="329">
        <v>0</v>
      </c>
      <c r="C28" s="330"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>
      <c r="A29" s="34"/>
      <c r="B29" s="34"/>
      <c r="C29" s="34"/>
      <c r="D29" s="34"/>
      <c r="E29" s="469" t="s">
        <v>195</v>
      </c>
      <c r="F29" s="469"/>
      <c r="G29" s="34"/>
      <c r="H29" s="34"/>
      <c r="I29" s="34"/>
      <c r="J29" s="34"/>
      <c r="K29" s="34"/>
      <c r="L29" s="34"/>
      <c r="M29" s="34"/>
    </row>
    <row r="30" spans="1:13">
      <c r="A30" s="34"/>
      <c r="B30" s="476" t="s">
        <v>147</v>
      </c>
      <c r="C30" s="477"/>
      <c r="D30" s="34"/>
      <c r="E30" s="326" t="s">
        <v>128</v>
      </c>
      <c r="F30" s="327" t="s">
        <v>129</v>
      </c>
      <c r="G30" s="34"/>
      <c r="H30" s="34"/>
      <c r="I30" s="34"/>
      <c r="J30" s="34"/>
      <c r="K30" s="34"/>
      <c r="L30" s="34"/>
      <c r="M30" s="34"/>
    </row>
    <row r="31" spans="1:13">
      <c r="A31" s="34"/>
      <c r="B31" s="326" t="s">
        <v>128</v>
      </c>
      <c r="C31" s="327" t="s">
        <v>129</v>
      </c>
      <c r="D31" s="34"/>
      <c r="E31" s="329">
        <v>0.3</v>
      </c>
      <c r="F31" s="330">
        <v>0.5</v>
      </c>
      <c r="G31" s="34"/>
      <c r="H31" s="34"/>
      <c r="I31" s="34"/>
      <c r="J31" s="34"/>
      <c r="K31" s="34"/>
      <c r="L31" s="34"/>
      <c r="M31" s="34"/>
    </row>
    <row r="32" spans="1:13">
      <c r="A32" s="34"/>
      <c r="B32" s="329">
        <v>0</v>
      </c>
      <c r="C32" s="330"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3">
      <c r="A33" s="34"/>
      <c r="B33" s="34"/>
      <c r="C33" s="34"/>
      <c r="D33" s="34"/>
      <c r="E33" s="469" t="s">
        <v>201</v>
      </c>
      <c r="F33" s="469"/>
      <c r="G33" s="34"/>
      <c r="H33" s="34"/>
      <c r="I33" s="34"/>
      <c r="J33" s="34"/>
      <c r="K33" s="34"/>
      <c r="L33" s="34"/>
      <c r="M33" s="34"/>
    </row>
    <row r="34" spans="1:13">
      <c r="A34" s="34"/>
      <c r="B34" s="476" t="s">
        <v>148</v>
      </c>
      <c r="C34" s="477"/>
      <c r="D34" s="34"/>
      <c r="E34" s="326" t="s">
        <v>128</v>
      </c>
      <c r="F34" s="327" t="s">
        <v>129</v>
      </c>
      <c r="G34" s="34"/>
      <c r="H34" s="34"/>
      <c r="I34" s="34"/>
      <c r="J34" s="34"/>
      <c r="K34" s="34"/>
      <c r="L34" s="34"/>
      <c r="M34" s="34"/>
    </row>
    <row r="35" spans="1:13">
      <c r="A35" s="34"/>
      <c r="B35" s="326" t="s">
        <v>128</v>
      </c>
      <c r="C35" s="327" t="s">
        <v>129</v>
      </c>
      <c r="D35" s="34"/>
      <c r="E35" s="329">
        <v>0.3</v>
      </c>
      <c r="F35" s="330">
        <v>0.6</v>
      </c>
      <c r="G35" s="34"/>
      <c r="H35" s="34"/>
      <c r="I35" s="34"/>
      <c r="J35" s="34"/>
      <c r="K35" s="34"/>
      <c r="L35" s="34"/>
      <c r="M35" s="34"/>
    </row>
    <row r="36" spans="1:13">
      <c r="A36" s="34"/>
      <c r="B36" s="329">
        <v>0</v>
      </c>
      <c r="C36" s="330"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>
      <c r="A38" s="34"/>
      <c r="B38" s="464" t="s">
        <v>149</v>
      </c>
      <c r="C38" s="465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>
      <c r="A39" s="34"/>
      <c r="B39" s="326" t="s">
        <v>128</v>
      </c>
      <c r="C39" s="327" t="s">
        <v>129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>
      <c r="A40" s="34"/>
      <c r="B40" s="329">
        <v>0</v>
      </c>
      <c r="C40" s="330">
        <v>0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</sheetData>
  <mergeCells count="19">
    <mergeCell ref="K14:M14"/>
    <mergeCell ref="E29:F29"/>
    <mergeCell ref="B18:C18"/>
    <mergeCell ref="B22:C22"/>
    <mergeCell ref="B26:C26"/>
    <mergeCell ref="B5:H5"/>
    <mergeCell ref="B38:C38"/>
    <mergeCell ref="B10:H10"/>
    <mergeCell ref="B11:H11"/>
    <mergeCell ref="E33:F33"/>
    <mergeCell ref="B7:H7"/>
    <mergeCell ref="B8:H8"/>
    <mergeCell ref="B9:G9"/>
    <mergeCell ref="B12:H12"/>
    <mergeCell ref="B34:C34"/>
    <mergeCell ref="E16:F16"/>
    <mergeCell ref="H16:I16"/>
    <mergeCell ref="B30:C30"/>
    <mergeCell ref="B14:H1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J51"/>
  <sheetViews>
    <sheetView showGridLines="0" topLeftCell="A34" workbookViewId="0"/>
  </sheetViews>
  <sheetFormatPr defaultColWidth="8.85546875" defaultRowHeight="12.75"/>
  <cols>
    <col min="1" max="1" width="2.7109375" style="1" customWidth="1"/>
    <col min="2" max="2" width="36.85546875" style="1" customWidth="1"/>
    <col min="3" max="3" width="26.85546875" style="1" customWidth="1"/>
    <col min="4" max="4" width="7.42578125" style="8" customWidth="1"/>
    <col min="5" max="5" width="34.85546875" style="8" customWidth="1"/>
    <col min="6" max="6" width="26.85546875" style="1" bestFit="1" customWidth="1"/>
    <col min="7" max="7" width="9" style="1" customWidth="1"/>
    <col min="8" max="8" width="31.140625" style="1" customWidth="1"/>
    <col min="9" max="9" width="8.85546875" style="1"/>
    <col min="10" max="10" width="11.85546875" style="1" bestFit="1" customWidth="1"/>
    <col min="11" max="11" width="14.85546875" style="1" customWidth="1"/>
    <col min="12" max="12" width="16.42578125" style="1" customWidth="1"/>
    <col min="13" max="16384" width="8.85546875" style="1"/>
  </cols>
  <sheetData>
    <row r="1" spans="1:8" ht="13.5" thickBot="1">
      <c r="A1" s="10"/>
      <c r="B1" s="10"/>
      <c r="C1" s="10"/>
      <c r="D1" s="334"/>
      <c r="E1" s="334"/>
      <c r="F1" s="10"/>
      <c r="G1" s="10"/>
    </row>
    <row r="2" spans="1:8" ht="17.25" customHeight="1" thickBot="1">
      <c r="A2" s="10"/>
      <c r="B2" s="10"/>
      <c r="C2" s="277" t="s">
        <v>106</v>
      </c>
      <c r="D2" s="483" t="s">
        <v>205</v>
      </c>
      <c r="E2" s="484"/>
      <c r="F2" s="484"/>
      <c r="G2" s="10"/>
    </row>
    <row r="3" spans="1:8">
      <c r="A3" s="10"/>
      <c r="B3" s="10"/>
      <c r="C3" s="346" t="s">
        <v>168</v>
      </c>
      <c r="D3" s="347">
        <v>1</v>
      </c>
      <c r="E3" s="348" t="s">
        <v>170</v>
      </c>
      <c r="F3" s="349">
        <f>'Orçamento Geral'!F19</f>
        <v>4</v>
      </c>
      <c r="G3" s="10"/>
    </row>
    <row r="4" spans="1:8">
      <c r="A4" s="10"/>
      <c r="B4" s="10"/>
      <c r="C4" s="348" t="s">
        <v>172</v>
      </c>
      <c r="D4" s="350">
        <f>('Cálculo de Módulos Plastwall'!D16)</f>
        <v>4.2699999999999996</v>
      </c>
      <c r="E4" s="9" t="s">
        <v>169</v>
      </c>
      <c r="F4" s="349">
        <f>Premissas!I19</f>
        <v>2</v>
      </c>
      <c r="G4" s="10"/>
    </row>
    <row r="5" spans="1:8">
      <c r="A5" s="10"/>
      <c r="B5" s="10"/>
      <c r="C5" s="348" t="s">
        <v>174</v>
      </c>
      <c r="D5" s="350">
        <f>'Cálculo de Módulos Plastwall'!E16</f>
        <v>3.3</v>
      </c>
      <c r="E5" s="351"/>
      <c r="F5" s="348"/>
      <c r="G5" s="10"/>
    </row>
    <row r="6" spans="1:8">
      <c r="A6" s="10"/>
      <c r="B6" s="10"/>
      <c r="C6" s="348" t="s">
        <v>175</v>
      </c>
      <c r="D6" s="350">
        <f>Premissas!B24</f>
        <v>0</v>
      </c>
      <c r="E6" s="352"/>
      <c r="F6" s="334"/>
      <c r="G6" s="10"/>
      <c r="H6" s="276"/>
    </row>
    <row r="7" spans="1:8">
      <c r="A7" s="10"/>
      <c r="B7" s="10"/>
      <c r="C7" s="353" t="s">
        <v>173</v>
      </c>
      <c r="D7" s="354">
        <f>Premissas!C24</f>
        <v>0</v>
      </c>
      <c r="E7" s="343"/>
      <c r="F7" s="344"/>
      <c r="G7" s="10"/>
    </row>
    <row r="8" spans="1:8" ht="13.5" thickBot="1">
      <c r="A8" s="10"/>
      <c r="B8" s="10"/>
      <c r="C8" s="348"/>
      <c r="D8" s="352"/>
      <c r="E8" s="334"/>
      <c r="F8" s="10"/>
      <c r="G8" s="10"/>
    </row>
    <row r="9" spans="1:8" ht="13.5" thickBot="1">
      <c r="A9" s="10"/>
      <c r="B9" s="485" t="s">
        <v>105</v>
      </c>
      <c r="C9" s="486"/>
      <c r="D9" s="10"/>
      <c r="E9" s="485" t="s">
        <v>108</v>
      </c>
      <c r="F9" s="486"/>
      <c r="G9" s="10"/>
    </row>
    <row r="10" spans="1:8" s="9" customFormat="1" ht="19.899999999999999" customHeight="1" thickBot="1">
      <c r="B10" s="277" t="s">
        <v>50</v>
      </c>
      <c r="C10" s="278" t="s">
        <v>51</v>
      </c>
      <c r="E10" s="277" t="s">
        <v>50</v>
      </c>
      <c r="F10" s="278" t="s">
        <v>51</v>
      </c>
    </row>
    <row r="11" spans="1:8" s="9" customFormat="1">
      <c r="B11" s="355" t="s">
        <v>36</v>
      </c>
      <c r="C11" s="356">
        <f>('Orçamento Geral'!L7)</f>
        <v>3588.3120000000004</v>
      </c>
      <c r="E11" s="355" t="s">
        <v>36</v>
      </c>
      <c r="F11" s="356">
        <f>'Orçamento Geral'!L7</f>
        <v>3588.3120000000004</v>
      </c>
    </row>
    <row r="12" spans="1:8" s="9" customFormat="1">
      <c r="B12" s="355" t="s">
        <v>85</v>
      </c>
      <c r="C12" s="356">
        <f>'Orçamento Geral'!L8</f>
        <v>545.6880000000001</v>
      </c>
      <c r="E12" s="355" t="s">
        <v>85</v>
      </c>
      <c r="F12" s="356">
        <f>C12</f>
        <v>545.6880000000001</v>
      </c>
    </row>
    <row r="13" spans="1:8" s="9" customFormat="1">
      <c r="B13" s="355" t="s">
        <v>76</v>
      </c>
      <c r="C13" s="356">
        <f>'Orçamento Geral'!L9</f>
        <v>409.26599999999996</v>
      </c>
      <c r="E13" s="355" t="s">
        <v>76</v>
      </c>
      <c r="F13" s="356">
        <f>C13</f>
        <v>409.26599999999996</v>
      </c>
    </row>
    <row r="14" spans="1:8" s="9" customFormat="1" ht="18.75" customHeight="1">
      <c r="B14" s="355" t="s">
        <v>104</v>
      </c>
      <c r="C14" s="356">
        <f>'Orçamento Geral'!L14</f>
        <v>1765.2868999999998</v>
      </c>
      <c r="E14" s="355" t="s">
        <v>104</v>
      </c>
      <c r="F14" s="356">
        <f>C14</f>
        <v>1765.2868999999998</v>
      </c>
    </row>
    <row r="15" spans="1:8" s="9" customFormat="1">
      <c r="B15" s="355" t="s">
        <v>40</v>
      </c>
      <c r="C15" s="356">
        <f>'Orçamento Geral'!L21</f>
        <v>1841.5592000000001</v>
      </c>
      <c r="E15" s="355" t="s">
        <v>40</v>
      </c>
      <c r="F15" s="356">
        <f>C15</f>
        <v>1841.5592000000001</v>
      </c>
    </row>
    <row r="16" spans="1:8" s="9" customFormat="1">
      <c r="B16" s="355" t="s">
        <v>78</v>
      </c>
      <c r="C16" s="356">
        <f>'Orçamento Plantas'!M8</f>
        <v>6539.9880000000003</v>
      </c>
      <c r="E16" s="355" t="s">
        <v>78</v>
      </c>
      <c r="F16" s="356">
        <f>'Orçamento Plantas'!M19</f>
        <v>3617.25</v>
      </c>
    </row>
    <row r="17" spans="2:7" s="9" customFormat="1">
      <c r="B17" s="357" t="str">
        <f>'Orçamento Geral'!B11</f>
        <v>Calhas</v>
      </c>
      <c r="C17" s="356">
        <f>'Orçamento Geral'!L11</f>
        <v>0</v>
      </c>
      <c r="E17" s="357" t="s">
        <v>100</v>
      </c>
      <c r="F17" s="356">
        <f>'Orçamento Geral'!O11</f>
        <v>0</v>
      </c>
    </row>
    <row r="18" spans="2:7" s="9" customFormat="1">
      <c r="B18" s="357" t="str">
        <f>'Orçamento Geral'!B15</f>
        <v>Andaimes</v>
      </c>
      <c r="C18" s="356">
        <f>'Orçamento Geral'!L15</f>
        <v>0</v>
      </c>
      <c r="E18" s="357" t="s">
        <v>74</v>
      </c>
      <c r="F18" s="356">
        <f>'Orçamento Geral'!O15</f>
        <v>0</v>
      </c>
    </row>
    <row r="19" spans="2:7" s="9" customFormat="1" ht="13.5" thickBot="1">
      <c r="B19" s="357" t="str">
        <f>'Orçamento Geral'!B17</f>
        <v>Croqui + ART</v>
      </c>
      <c r="C19" s="358">
        <f>'Orçamento Geral'!L17</f>
        <v>537.42000000000007</v>
      </c>
      <c r="E19" s="357" t="str">
        <f>B19</f>
        <v>Croqui + ART</v>
      </c>
      <c r="F19" s="358">
        <f>C19</f>
        <v>537.42000000000007</v>
      </c>
    </row>
    <row r="20" spans="2:7" s="9" customFormat="1" ht="19.899999999999999" customHeight="1" thickBot="1">
      <c r="B20" s="359" t="s">
        <v>52</v>
      </c>
      <c r="C20" s="360">
        <f>SUM(C11:C19)</f>
        <v>15227.5201</v>
      </c>
      <c r="E20" s="359" t="s">
        <v>52</v>
      </c>
      <c r="F20" s="361">
        <f>SUM(F11:F19)</f>
        <v>12304.7821</v>
      </c>
    </row>
    <row r="21" spans="2:7" s="9" customFormat="1">
      <c r="B21" s="355" t="s">
        <v>36</v>
      </c>
      <c r="C21" s="362">
        <f>'Cálculo de Módulos Plastwall'!C6</f>
        <v>84</v>
      </c>
      <c r="E21" s="355" t="s">
        <v>36</v>
      </c>
      <c r="F21" s="362">
        <f>C21</f>
        <v>84</v>
      </c>
    </row>
    <row r="22" spans="2:7" s="9" customFormat="1">
      <c r="B22" s="355" t="s">
        <v>115</v>
      </c>
      <c r="C22" s="362">
        <f>'Orçamento Geral'!F8</f>
        <v>22</v>
      </c>
      <c r="E22" s="355" t="s">
        <v>85</v>
      </c>
      <c r="F22" s="362">
        <f>C22</f>
        <v>22</v>
      </c>
    </row>
    <row r="23" spans="2:7" s="9" customFormat="1">
      <c r="B23" s="355" t="s">
        <v>116</v>
      </c>
      <c r="C23" s="362">
        <f>'Orçamento Geral'!F9</f>
        <v>9</v>
      </c>
      <c r="E23" s="355" t="s">
        <v>116</v>
      </c>
      <c r="F23" s="362">
        <f>C23</f>
        <v>9</v>
      </c>
    </row>
    <row r="24" spans="2:7" s="9" customFormat="1">
      <c r="B24" s="355" t="s">
        <v>110</v>
      </c>
      <c r="C24" s="362">
        <f>'Orçamento Plantas'!F6</f>
        <v>168</v>
      </c>
      <c r="E24" s="355" t="s">
        <v>110</v>
      </c>
      <c r="F24" s="362">
        <f>'Orçamento Plantas'!F17</f>
        <v>84</v>
      </c>
    </row>
    <row r="25" spans="2:7" s="9" customFormat="1">
      <c r="B25" s="355" t="s">
        <v>111</v>
      </c>
      <c r="C25" s="362">
        <v>0</v>
      </c>
      <c r="E25" s="355" t="s">
        <v>111</v>
      </c>
      <c r="F25" s="362">
        <f>'Orçamento Plantas'!F16</f>
        <v>21</v>
      </c>
    </row>
    <row r="26" spans="2:7" s="9" customFormat="1">
      <c r="B26" s="355" t="s">
        <v>112</v>
      </c>
      <c r="C26" s="362">
        <f>'Orçamento Plantas'!F7</f>
        <v>42</v>
      </c>
      <c r="E26" s="355" t="s">
        <v>112</v>
      </c>
      <c r="F26" s="362">
        <f>'Orçamento Plantas'!F18</f>
        <v>21</v>
      </c>
    </row>
    <row r="27" spans="2:7" s="10" customFormat="1">
      <c r="B27" s="355" t="s">
        <v>89</v>
      </c>
      <c r="C27" s="363">
        <f>C20/(D4*D5)</f>
        <v>1080.6557448016465</v>
      </c>
      <c r="E27" s="355" t="s">
        <v>89</v>
      </c>
      <c r="F27" s="363">
        <f>F20/(D4*D5)</f>
        <v>873.23696685827849</v>
      </c>
    </row>
    <row r="28" spans="2:7" s="10" customFormat="1" ht="13.5" thickBot="1">
      <c r="B28" s="364" t="s">
        <v>88</v>
      </c>
      <c r="C28" s="365">
        <f>'Orçamento Geral'!M23+'Orçamento Plantas'!N8</f>
        <v>3405.1350000000007</v>
      </c>
      <c r="E28" s="364" t="s">
        <v>88</v>
      </c>
      <c r="F28" s="365">
        <f>'Orçamento Geral'!M23+'Orçamento Plantas'!N19</f>
        <v>2768.8350000000005</v>
      </c>
    </row>
    <row r="29" spans="2:7" s="10" customFormat="1" ht="4.5" customHeight="1" thickBot="1">
      <c r="C29" s="12"/>
      <c r="D29" s="54"/>
      <c r="E29" s="50"/>
      <c r="F29" s="12"/>
      <c r="G29" s="54"/>
    </row>
    <row r="30" spans="2:7" s="9" customFormat="1" ht="19.899999999999999" customHeight="1" thickBot="1">
      <c r="B30" s="485" t="s">
        <v>109</v>
      </c>
      <c r="C30" s="486"/>
      <c r="E30" s="485" t="s">
        <v>107</v>
      </c>
      <c r="F30" s="486"/>
    </row>
    <row r="31" spans="2:7" s="9" customFormat="1" ht="19.899999999999999" customHeight="1" thickBot="1">
      <c r="B31" s="277" t="s">
        <v>50</v>
      </c>
      <c r="C31" s="278" t="s">
        <v>51</v>
      </c>
      <c r="E31" s="277" t="s">
        <v>50</v>
      </c>
      <c r="F31" s="278" t="s">
        <v>51</v>
      </c>
    </row>
    <row r="32" spans="2:7" s="9" customFormat="1">
      <c r="B32" s="355" t="str">
        <f t="shared" ref="B32:B40" si="0">B11</f>
        <v>Módulos</v>
      </c>
      <c r="C32" s="356">
        <f>'Orçamento Geral'!L27</f>
        <v>1495.1300000000003</v>
      </c>
      <c r="E32" s="355" t="s">
        <v>36</v>
      </c>
      <c r="F32" s="356">
        <f>C32</f>
        <v>1495.1300000000003</v>
      </c>
    </row>
    <row r="33" spans="1:10" s="9" customFormat="1">
      <c r="B33" s="355" t="str">
        <f t="shared" si="0"/>
        <v xml:space="preserve">Substrato </v>
      </c>
      <c r="C33" s="356">
        <f>'Orçamento Geral'!L28</f>
        <v>223.23600000000005</v>
      </c>
      <c r="E33" s="355" t="s">
        <v>85</v>
      </c>
      <c r="F33" s="356">
        <f>C33</f>
        <v>223.23600000000005</v>
      </c>
    </row>
    <row r="34" spans="1:10" s="9" customFormat="1">
      <c r="B34" s="355" t="str">
        <f t="shared" si="0"/>
        <v>MacDrain</v>
      </c>
      <c r="C34" s="356">
        <f>'Orçamento Geral'!L29</f>
        <v>181.89600000000002</v>
      </c>
      <c r="E34" s="355" t="s">
        <v>76</v>
      </c>
      <c r="F34" s="356">
        <f>C34</f>
        <v>181.89600000000002</v>
      </c>
    </row>
    <row r="35" spans="1:10" s="10" customFormat="1">
      <c r="B35" s="355" t="str">
        <f t="shared" si="0"/>
        <v>Sistema de Irrigação (materiais)</v>
      </c>
      <c r="C35" s="358">
        <f>'Orçamento Geral'!L34</f>
        <v>1765.2868999999998</v>
      </c>
      <c r="E35" s="355" t="s">
        <v>104</v>
      </c>
      <c r="F35" s="356">
        <f>C35</f>
        <v>1765.2868999999998</v>
      </c>
      <c r="J35" s="9"/>
    </row>
    <row r="36" spans="1:10">
      <c r="A36" s="10"/>
      <c r="B36" s="355" t="str">
        <f t="shared" si="0"/>
        <v>Mão de Obra</v>
      </c>
      <c r="C36" s="358">
        <f>'Orçamento Geral'!L41</f>
        <v>861.93900000000008</v>
      </c>
      <c r="D36" s="10"/>
      <c r="E36" s="355" t="s">
        <v>40</v>
      </c>
      <c r="F36" s="356">
        <f>C36</f>
        <v>861.93900000000008</v>
      </c>
      <c r="G36" s="10"/>
      <c r="J36" s="9"/>
    </row>
    <row r="37" spans="1:10">
      <c r="A37" s="10"/>
      <c r="B37" s="355" t="str">
        <f t="shared" si="0"/>
        <v>Plantas</v>
      </c>
      <c r="C37" s="358">
        <f>'Orçamento Plantas'!M13</f>
        <v>2733.9520000000002</v>
      </c>
      <c r="D37" s="10"/>
      <c r="E37" s="355" t="s">
        <v>78</v>
      </c>
      <c r="F37" s="356">
        <f>'Orçamento Plantas'!M25</f>
        <v>1511.3215</v>
      </c>
      <c r="G37" s="10"/>
      <c r="J37" s="9"/>
    </row>
    <row r="38" spans="1:10">
      <c r="A38" s="10"/>
      <c r="B38" s="355" t="str">
        <f t="shared" si="0"/>
        <v>Calhas</v>
      </c>
      <c r="C38" s="358">
        <f>'Orçamento Geral'!L11</f>
        <v>0</v>
      </c>
      <c r="D38" s="10"/>
      <c r="E38" s="357" t="s">
        <v>100</v>
      </c>
      <c r="F38" s="356">
        <f>'Orçamento Geral'!O27</f>
        <v>0</v>
      </c>
      <c r="G38" s="10"/>
      <c r="J38" s="9"/>
    </row>
    <row r="39" spans="1:10">
      <c r="A39" s="10"/>
      <c r="B39" s="355" t="str">
        <f t="shared" si="0"/>
        <v>Andaimes</v>
      </c>
      <c r="C39" s="358">
        <f>'Orçamento Geral'!L15</f>
        <v>0</v>
      </c>
      <c r="D39" s="10"/>
      <c r="E39" s="357" t="s">
        <v>74</v>
      </c>
      <c r="F39" s="356">
        <f>'Orçamento Geral'!O31</f>
        <v>0</v>
      </c>
      <c r="G39" s="10"/>
      <c r="J39" s="9"/>
    </row>
    <row r="40" spans="1:10" ht="13.5" thickBot="1">
      <c r="A40" s="10"/>
      <c r="B40" s="355" t="str">
        <f t="shared" si="0"/>
        <v>Croqui + ART</v>
      </c>
      <c r="C40" s="358">
        <f>'Orçamento Geral'!L17</f>
        <v>537.42000000000007</v>
      </c>
      <c r="D40" s="10"/>
      <c r="E40" s="366" t="str">
        <f>B40</f>
        <v>Croqui + ART</v>
      </c>
      <c r="F40" s="358">
        <f>C40</f>
        <v>537.42000000000007</v>
      </c>
      <c r="G40" s="10"/>
    </row>
    <row r="41" spans="1:10" ht="13.5" thickBot="1">
      <c r="A41" s="10"/>
      <c r="B41" s="359" t="s">
        <v>52</v>
      </c>
      <c r="C41" s="361">
        <f>SUM(C32:C40)</f>
        <v>7798.8599000000004</v>
      </c>
      <c r="D41" s="10"/>
      <c r="E41" s="359" t="s">
        <v>52</v>
      </c>
      <c r="F41" s="361">
        <f>SUM(F32:F40)</f>
        <v>6576.2294000000002</v>
      </c>
      <c r="G41" s="10"/>
    </row>
    <row r="42" spans="1:10">
      <c r="A42" s="10"/>
      <c r="B42" s="355" t="s">
        <v>36</v>
      </c>
      <c r="C42" s="367">
        <f>'Dashboard Mod. Espaçado'!C6</f>
        <v>35</v>
      </c>
      <c r="D42" s="10"/>
      <c r="E42" s="355" t="s">
        <v>36</v>
      </c>
      <c r="F42" s="367">
        <f>C42</f>
        <v>35</v>
      </c>
      <c r="G42" s="10"/>
    </row>
    <row r="43" spans="1:10">
      <c r="A43" s="10"/>
      <c r="B43" s="355" t="s">
        <v>85</v>
      </c>
      <c r="C43" s="367">
        <f>'Orçamento Geral'!F28</f>
        <v>9</v>
      </c>
      <c r="D43" s="10"/>
      <c r="E43" s="355" t="s">
        <v>85</v>
      </c>
      <c r="F43" s="367">
        <f>C43</f>
        <v>9</v>
      </c>
      <c r="G43" s="10"/>
    </row>
    <row r="44" spans="1:10">
      <c r="A44" s="10"/>
      <c r="B44" s="355" t="s">
        <v>76</v>
      </c>
      <c r="C44" s="367">
        <f>'Orçamento Geral'!F29</f>
        <v>4</v>
      </c>
      <c r="D44" s="10"/>
      <c r="E44" s="355" t="s">
        <v>76</v>
      </c>
      <c r="F44" s="367">
        <f>C44</f>
        <v>4</v>
      </c>
      <c r="G44" s="10"/>
    </row>
    <row r="45" spans="1:10">
      <c r="A45" s="10"/>
      <c r="B45" s="355" t="s">
        <v>110</v>
      </c>
      <c r="C45" s="367">
        <f>'Orçamento Plantas'!F11</f>
        <v>70</v>
      </c>
      <c r="D45" s="10"/>
      <c r="E45" s="355" t="s">
        <v>110</v>
      </c>
      <c r="F45" s="368">
        <f>'Orçamento Plantas'!F23</f>
        <v>35</v>
      </c>
      <c r="G45" s="10"/>
    </row>
    <row r="46" spans="1:10">
      <c r="A46" s="10"/>
      <c r="B46" s="355" t="s">
        <v>111</v>
      </c>
      <c r="C46" s="367">
        <v>0</v>
      </c>
      <c r="D46" s="10"/>
      <c r="E46" s="355" t="s">
        <v>111</v>
      </c>
      <c r="F46" s="368">
        <f>'Orçamento Plantas'!F22</f>
        <v>8.75</v>
      </c>
      <c r="G46" s="10"/>
    </row>
    <row r="47" spans="1:10">
      <c r="A47" s="10"/>
      <c r="B47" s="355" t="s">
        <v>112</v>
      </c>
      <c r="C47" s="367">
        <f>'Orçamento Plantas'!F12</f>
        <v>17.5</v>
      </c>
      <c r="D47" s="10"/>
      <c r="E47" s="355" t="s">
        <v>112</v>
      </c>
      <c r="F47" s="368">
        <f>'Orçamento Plantas'!F24</f>
        <v>8.75</v>
      </c>
      <c r="G47" s="10"/>
    </row>
    <row r="48" spans="1:10">
      <c r="A48" s="10"/>
      <c r="B48" s="355" t="s">
        <v>89</v>
      </c>
      <c r="C48" s="358">
        <f>($C$41/($D$4*$D$5))</f>
        <v>553.46390603931604</v>
      </c>
      <c r="D48" s="10"/>
      <c r="E48" s="355" t="s">
        <v>89</v>
      </c>
      <c r="F48" s="369">
        <f>(F41/(D4*D5))</f>
        <v>466.69714001845159</v>
      </c>
      <c r="G48" s="10"/>
    </row>
    <row r="49" spans="1:7" ht="13.5" thickBot="1">
      <c r="A49" s="10"/>
      <c r="B49" s="364" t="s">
        <v>88</v>
      </c>
      <c r="C49" s="370">
        <f>'Orçamento Geral'!M43+'Orçamento Plantas'!N13</f>
        <v>1787.8650000000005</v>
      </c>
      <c r="D49" s="10"/>
      <c r="E49" s="364" t="s">
        <v>88</v>
      </c>
      <c r="F49" s="371">
        <f>'Orçamento Plantas'!N25+'Orçamento Geral'!M43</f>
        <v>1521.6900000000005</v>
      </c>
      <c r="G49" s="10"/>
    </row>
    <row r="50" spans="1:7">
      <c r="A50" s="10"/>
      <c r="B50" s="10"/>
      <c r="C50" s="10"/>
      <c r="D50" s="334"/>
      <c r="E50" s="334"/>
      <c r="F50" s="10"/>
      <c r="G50" s="10"/>
    </row>
    <row r="51" spans="1:7">
      <c r="A51" s="10"/>
      <c r="B51" s="10"/>
      <c r="C51" s="10"/>
      <c r="D51" s="334"/>
      <c r="E51" s="334"/>
      <c r="F51" s="10"/>
      <c r="G51" s="10"/>
    </row>
  </sheetData>
  <mergeCells count="5">
    <mergeCell ref="D2:F2"/>
    <mergeCell ref="B9:C9"/>
    <mergeCell ref="B30:C30"/>
    <mergeCell ref="E9:F9"/>
    <mergeCell ref="E30:F3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</sheetPr>
  <dimension ref="A1:CJ64"/>
  <sheetViews>
    <sheetView workbookViewId="0">
      <selection activeCell="D19" sqref="D19:K19"/>
    </sheetView>
  </sheetViews>
  <sheetFormatPr defaultColWidth="8.85546875" defaultRowHeight="14.25"/>
  <cols>
    <col min="1" max="1" width="2.7109375" style="14" customWidth="1"/>
    <col min="2" max="2" width="4.28515625" style="13" customWidth="1"/>
    <col min="3" max="70" width="3.28515625" style="31" customWidth="1"/>
    <col min="71" max="88" width="8.85546875" style="14"/>
    <col min="89" max="16384" width="8.85546875" style="31"/>
  </cols>
  <sheetData>
    <row r="1" spans="2:72" s="14" customFormat="1">
      <c r="B1" s="13"/>
    </row>
    <row r="2" spans="2:72" s="14" customFormat="1">
      <c r="B2" s="13"/>
    </row>
    <row r="3" spans="2:72" s="14" customFormat="1">
      <c r="B3" s="13"/>
    </row>
    <row r="4" spans="2:72" s="14" customFormat="1">
      <c r="B4" s="13"/>
    </row>
    <row r="5" spans="2:72" ht="19.899999999999999" customHeight="1">
      <c r="B5" s="13">
        <v>1</v>
      </c>
      <c r="C5" s="296">
        <v>2</v>
      </c>
      <c r="D5" s="296">
        <v>2</v>
      </c>
      <c r="E5" s="296">
        <v>2</v>
      </c>
      <c r="F5" s="296">
        <v>2</v>
      </c>
      <c r="G5" s="296">
        <v>2</v>
      </c>
      <c r="H5" s="296">
        <v>2</v>
      </c>
      <c r="I5" s="296">
        <v>2</v>
      </c>
      <c r="J5" s="296">
        <v>2</v>
      </c>
      <c r="K5" s="296">
        <v>2</v>
      </c>
      <c r="L5" s="296">
        <v>2</v>
      </c>
      <c r="M5" s="296">
        <v>2</v>
      </c>
      <c r="N5" s="296">
        <v>3</v>
      </c>
      <c r="O5" s="296">
        <v>3</v>
      </c>
      <c r="P5" s="296">
        <v>3</v>
      </c>
      <c r="Q5" s="296">
        <v>3</v>
      </c>
      <c r="R5" s="296">
        <v>3</v>
      </c>
      <c r="S5" s="296">
        <v>3</v>
      </c>
      <c r="T5" s="296">
        <v>4</v>
      </c>
      <c r="U5" s="296">
        <v>4</v>
      </c>
      <c r="V5" s="296">
        <v>5</v>
      </c>
      <c r="W5" s="296">
        <v>5</v>
      </c>
      <c r="X5" s="296">
        <v>5</v>
      </c>
      <c r="Y5" s="296">
        <v>5</v>
      </c>
      <c r="Z5" s="296">
        <v>5</v>
      </c>
      <c r="AA5" s="296">
        <v>6</v>
      </c>
      <c r="AB5" s="296">
        <v>6</v>
      </c>
      <c r="AC5" s="296">
        <v>6</v>
      </c>
      <c r="AD5" s="296">
        <v>6</v>
      </c>
      <c r="AE5" s="296">
        <v>6</v>
      </c>
      <c r="AF5" s="296">
        <v>6</v>
      </c>
      <c r="AG5" s="296">
        <v>6</v>
      </c>
      <c r="AH5" s="296">
        <v>6</v>
      </c>
      <c r="AI5" s="296">
        <v>7</v>
      </c>
      <c r="AJ5" s="296">
        <v>7</v>
      </c>
      <c r="AK5" s="296">
        <v>7</v>
      </c>
      <c r="AL5" s="296">
        <v>7</v>
      </c>
      <c r="AM5" s="296">
        <v>7</v>
      </c>
      <c r="AN5" s="296">
        <v>9</v>
      </c>
      <c r="AO5" s="296">
        <v>9</v>
      </c>
      <c r="AP5" s="296">
        <v>9</v>
      </c>
      <c r="AQ5" s="296">
        <v>9</v>
      </c>
      <c r="AR5" s="296">
        <v>9</v>
      </c>
      <c r="AS5" s="296">
        <v>9</v>
      </c>
      <c r="AT5" s="296">
        <v>10</v>
      </c>
      <c r="AU5" s="296">
        <v>10</v>
      </c>
      <c r="AV5" s="296">
        <v>10</v>
      </c>
      <c r="AW5" s="296">
        <v>10</v>
      </c>
      <c r="AX5" s="296">
        <v>10</v>
      </c>
      <c r="AY5" s="296">
        <v>10</v>
      </c>
      <c r="AZ5" s="296">
        <v>10</v>
      </c>
      <c r="BA5" s="296">
        <v>10</v>
      </c>
      <c r="BB5" s="296">
        <v>10</v>
      </c>
      <c r="BC5" s="296">
        <v>10</v>
      </c>
      <c r="BD5" s="296">
        <v>11</v>
      </c>
      <c r="BE5" s="296">
        <v>11</v>
      </c>
      <c r="BF5" s="296">
        <v>11</v>
      </c>
      <c r="BG5" s="296">
        <v>11</v>
      </c>
      <c r="BH5" s="296">
        <v>11</v>
      </c>
      <c r="BI5" s="296">
        <v>11</v>
      </c>
      <c r="BJ5" s="296">
        <v>11</v>
      </c>
      <c r="BK5" s="296">
        <v>11</v>
      </c>
      <c r="BL5" s="296">
        <v>11</v>
      </c>
      <c r="BM5" s="296">
        <v>11</v>
      </c>
      <c r="BN5" s="296">
        <v>11</v>
      </c>
      <c r="BO5" s="296">
        <v>7</v>
      </c>
      <c r="BP5" s="296">
        <v>7</v>
      </c>
      <c r="BQ5" s="296">
        <v>7</v>
      </c>
      <c r="BR5" s="296">
        <v>7</v>
      </c>
      <c r="BS5" s="15"/>
      <c r="BT5" s="15"/>
    </row>
    <row r="6" spans="2:72" ht="19.899999999999999" customHeight="1">
      <c r="B6" s="13">
        <v>2</v>
      </c>
      <c r="C6" s="296">
        <v>2</v>
      </c>
      <c r="D6" s="296">
        <v>2</v>
      </c>
      <c r="E6" s="296">
        <v>2</v>
      </c>
      <c r="F6" s="296">
        <v>2</v>
      </c>
      <c r="G6" s="296">
        <v>2</v>
      </c>
      <c r="H6" s="296">
        <v>2</v>
      </c>
      <c r="I6" s="296">
        <v>2</v>
      </c>
      <c r="J6" s="296">
        <v>2</v>
      </c>
      <c r="K6" s="296">
        <v>2</v>
      </c>
      <c r="L6" s="296">
        <v>3</v>
      </c>
      <c r="M6" s="296">
        <v>3</v>
      </c>
      <c r="N6" s="296">
        <v>3</v>
      </c>
      <c r="O6" s="296">
        <v>3</v>
      </c>
      <c r="P6" s="296">
        <v>3</v>
      </c>
      <c r="Q6" s="296">
        <v>3</v>
      </c>
      <c r="R6" s="296">
        <v>3</v>
      </c>
      <c r="S6" s="296">
        <v>4</v>
      </c>
      <c r="T6" s="296">
        <v>4</v>
      </c>
      <c r="U6" s="296">
        <v>5</v>
      </c>
      <c r="V6" s="296">
        <v>5</v>
      </c>
      <c r="W6" s="296">
        <v>5</v>
      </c>
      <c r="X6" s="296">
        <v>5</v>
      </c>
      <c r="Y6" s="296">
        <v>5</v>
      </c>
      <c r="Z6" s="296">
        <v>6</v>
      </c>
      <c r="AA6" s="296">
        <v>6</v>
      </c>
      <c r="AB6" s="296">
        <v>6</v>
      </c>
      <c r="AC6" s="296">
        <v>6</v>
      </c>
      <c r="AD6" s="296">
        <v>6</v>
      </c>
      <c r="AE6" s="296">
        <v>6</v>
      </c>
      <c r="AF6" s="296">
        <v>6</v>
      </c>
      <c r="AG6" s="296">
        <v>7</v>
      </c>
      <c r="AH6" s="296">
        <v>7</v>
      </c>
      <c r="AI6" s="296">
        <v>7</v>
      </c>
      <c r="AJ6" s="296">
        <v>7</v>
      </c>
      <c r="AK6" s="296">
        <v>7</v>
      </c>
      <c r="AL6" s="296">
        <v>7</v>
      </c>
      <c r="AM6" s="296">
        <v>9</v>
      </c>
      <c r="AN6" s="296">
        <v>9</v>
      </c>
      <c r="AO6" s="296">
        <v>9</v>
      </c>
      <c r="AP6" s="296">
        <v>9</v>
      </c>
      <c r="AQ6" s="296">
        <v>9</v>
      </c>
      <c r="AR6" s="296">
        <v>9</v>
      </c>
      <c r="AS6" s="296">
        <v>9</v>
      </c>
      <c r="AT6" s="296">
        <v>10</v>
      </c>
      <c r="AU6" s="296">
        <v>10</v>
      </c>
      <c r="AV6" s="296">
        <v>10</v>
      </c>
      <c r="AW6" s="296">
        <v>10</v>
      </c>
      <c r="AX6" s="296">
        <v>10</v>
      </c>
      <c r="AY6" s="296">
        <v>10</v>
      </c>
      <c r="AZ6" s="296">
        <v>10</v>
      </c>
      <c r="BA6" s="296">
        <v>10</v>
      </c>
      <c r="BB6" s="296">
        <v>10</v>
      </c>
      <c r="BC6" s="296">
        <v>11</v>
      </c>
      <c r="BD6" s="296">
        <v>11</v>
      </c>
      <c r="BE6" s="296">
        <v>11</v>
      </c>
      <c r="BF6" s="296">
        <v>11</v>
      </c>
      <c r="BG6" s="296">
        <v>11</v>
      </c>
      <c r="BH6" s="296">
        <v>11</v>
      </c>
      <c r="BI6" s="296">
        <v>11</v>
      </c>
      <c r="BJ6" s="296">
        <v>11</v>
      </c>
      <c r="BK6" s="296">
        <v>11</v>
      </c>
      <c r="BL6" s="296">
        <v>7</v>
      </c>
      <c r="BM6" s="296">
        <v>7</v>
      </c>
      <c r="BN6" s="296">
        <v>7</v>
      </c>
      <c r="BO6" s="296">
        <v>7</v>
      </c>
      <c r="BP6" s="296">
        <v>7</v>
      </c>
      <c r="BQ6" s="296">
        <v>7</v>
      </c>
      <c r="BR6" s="296">
        <v>7</v>
      </c>
      <c r="BS6" s="15"/>
      <c r="BT6" s="15"/>
    </row>
    <row r="7" spans="2:72" ht="19.899999999999999" customHeight="1">
      <c r="B7" s="13">
        <v>3</v>
      </c>
      <c r="C7" s="296">
        <v>2</v>
      </c>
      <c r="D7" s="296">
        <v>2</v>
      </c>
      <c r="E7" s="296">
        <v>2</v>
      </c>
      <c r="F7" s="296">
        <v>2</v>
      </c>
      <c r="G7" s="296">
        <v>2</v>
      </c>
      <c r="H7" s="296">
        <v>2</v>
      </c>
      <c r="I7" s="296">
        <v>2</v>
      </c>
      <c r="J7" s="296">
        <v>3</v>
      </c>
      <c r="K7" s="296">
        <v>3</v>
      </c>
      <c r="L7" s="296">
        <v>3</v>
      </c>
      <c r="M7" s="296">
        <v>3</v>
      </c>
      <c r="N7" s="296">
        <v>3</v>
      </c>
      <c r="O7" s="296">
        <v>3</v>
      </c>
      <c r="P7" s="296">
        <v>3</v>
      </c>
      <c r="Q7" s="296">
        <v>4</v>
      </c>
      <c r="R7" s="296">
        <v>4</v>
      </c>
      <c r="S7" s="296">
        <v>4</v>
      </c>
      <c r="T7" s="296">
        <v>4</v>
      </c>
      <c r="U7" s="296">
        <v>5</v>
      </c>
      <c r="V7" s="296">
        <v>5</v>
      </c>
      <c r="W7" s="296">
        <v>5</v>
      </c>
      <c r="X7" s="296">
        <v>6</v>
      </c>
      <c r="Y7" s="296">
        <v>6</v>
      </c>
      <c r="Z7" s="296">
        <v>6</v>
      </c>
      <c r="AA7" s="296">
        <v>6</v>
      </c>
      <c r="AB7" s="296">
        <v>6</v>
      </c>
      <c r="AC7" s="296">
        <v>6</v>
      </c>
      <c r="AD7" s="296">
        <v>6</v>
      </c>
      <c r="AE7" s="296">
        <v>7</v>
      </c>
      <c r="AF7" s="296">
        <v>7</v>
      </c>
      <c r="AG7" s="296">
        <v>7</v>
      </c>
      <c r="AH7" s="296">
        <v>7</v>
      </c>
      <c r="AI7" s="296">
        <v>7</v>
      </c>
      <c r="AJ7" s="296">
        <v>7</v>
      </c>
      <c r="AK7" s="296">
        <v>7</v>
      </c>
      <c r="AL7" s="296">
        <v>7</v>
      </c>
      <c r="AM7" s="296">
        <v>9</v>
      </c>
      <c r="AN7" s="296">
        <v>9</v>
      </c>
      <c r="AO7" s="296">
        <v>9</v>
      </c>
      <c r="AP7" s="296">
        <v>9</v>
      </c>
      <c r="AQ7" s="296">
        <v>9</v>
      </c>
      <c r="AR7" s="296">
        <v>9</v>
      </c>
      <c r="AS7" s="296">
        <v>10</v>
      </c>
      <c r="AT7" s="296">
        <v>10</v>
      </c>
      <c r="AU7" s="296">
        <v>10</v>
      </c>
      <c r="AV7" s="296">
        <v>10</v>
      </c>
      <c r="AW7" s="296">
        <v>10</v>
      </c>
      <c r="AX7" s="296">
        <v>10</v>
      </c>
      <c r="AY7" s="296">
        <v>10</v>
      </c>
      <c r="AZ7" s="296">
        <v>10</v>
      </c>
      <c r="BA7" s="296">
        <v>10</v>
      </c>
      <c r="BB7" s="296">
        <v>10</v>
      </c>
      <c r="BC7" s="296">
        <v>11</v>
      </c>
      <c r="BD7" s="296">
        <v>11</v>
      </c>
      <c r="BE7" s="296">
        <v>11</v>
      </c>
      <c r="BF7" s="296">
        <v>11</v>
      </c>
      <c r="BG7" s="296">
        <v>11</v>
      </c>
      <c r="BH7" s="296">
        <v>11</v>
      </c>
      <c r="BI7" s="296">
        <v>11</v>
      </c>
      <c r="BJ7" s="296">
        <v>7</v>
      </c>
      <c r="BK7" s="296">
        <v>7</v>
      </c>
      <c r="BL7" s="296">
        <v>7</v>
      </c>
      <c r="BM7" s="296">
        <v>7</v>
      </c>
      <c r="BN7" s="296">
        <v>7</v>
      </c>
      <c r="BO7" s="296">
        <v>7</v>
      </c>
      <c r="BP7" s="296">
        <v>7</v>
      </c>
      <c r="BQ7" s="296">
        <v>7</v>
      </c>
      <c r="BR7" s="296">
        <v>7</v>
      </c>
      <c r="BS7" s="15"/>
      <c r="BT7" s="15"/>
    </row>
    <row r="8" spans="2:72" ht="19.899999999999999" customHeight="1">
      <c r="B8" s="13">
        <v>4</v>
      </c>
      <c r="C8" s="296">
        <v>2</v>
      </c>
      <c r="D8" s="296">
        <v>2</v>
      </c>
      <c r="E8" s="296">
        <v>2</v>
      </c>
      <c r="F8" s="296">
        <v>2</v>
      </c>
      <c r="G8" s="296">
        <v>2</v>
      </c>
      <c r="H8" s="296">
        <v>3</v>
      </c>
      <c r="I8" s="296">
        <v>3</v>
      </c>
      <c r="J8" s="296">
        <v>3</v>
      </c>
      <c r="K8" s="296">
        <v>3</v>
      </c>
      <c r="L8" s="296">
        <v>3</v>
      </c>
      <c r="M8" s="296">
        <v>4</v>
      </c>
      <c r="N8" s="296">
        <v>4</v>
      </c>
      <c r="O8" s="296">
        <v>4</v>
      </c>
      <c r="P8" s="296">
        <v>4</v>
      </c>
      <c r="Q8" s="296">
        <v>4</v>
      </c>
      <c r="R8" s="296">
        <v>4</v>
      </c>
      <c r="S8" s="296">
        <v>5</v>
      </c>
      <c r="T8" s="296">
        <v>5</v>
      </c>
      <c r="U8" s="296">
        <v>5</v>
      </c>
      <c r="V8" s="296">
        <v>5</v>
      </c>
      <c r="W8" s="296">
        <v>5</v>
      </c>
      <c r="X8" s="296">
        <v>6</v>
      </c>
      <c r="Y8" s="296">
        <v>6</v>
      </c>
      <c r="Z8" s="296">
        <v>6</v>
      </c>
      <c r="AA8" s="296">
        <v>6</v>
      </c>
      <c r="AB8" s="296">
        <v>7</v>
      </c>
      <c r="AC8" s="296">
        <v>7</v>
      </c>
      <c r="AD8" s="296">
        <v>7</v>
      </c>
      <c r="AE8" s="296">
        <v>7</v>
      </c>
      <c r="AF8" s="296">
        <v>7</v>
      </c>
      <c r="AG8" s="296">
        <v>7</v>
      </c>
      <c r="AH8" s="296">
        <v>7</v>
      </c>
      <c r="AI8" s="296">
        <v>7</v>
      </c>
      <c r="AJ8" s="296">
        <v>7</v>
      </c>
      <c r="AK8" s="296">
        <v>9</v>
      </c>
      <c r="AL8" s="296">
        <v>9</v>
      </c>
      <c r="AM8" s="296">
        <v>9</v>
      </c>
      <c r="AN8" s="296">
        <v>9</v>
      </c>
      <c r="AO8" s="296">
        <v>9</v>
      </c>
      <c r="AP8" s="296">
        <v>9</v>
      </c>
      <c r="AQ8" s="296">
        <v>9</v>
      </c>
      <c r="AR8" s="296">
        <v>9</v>
      </c>
      <c r="AS8" s="296">
        <v>10</v>
      </c>
      <c r="AT8" s="296">
        <v>10</v>
      </c>
      <c r="AU8" s="296">
        <v>10</v>
      </c>
      <c r="AV8" s="296">
        <v>10</v>
      </c>
      <c r="AW8" s="296">
        <v>10</v>
      </c>
      <c r="AX8" s="296">
        <v>10</v>
      </c>
      <c r="AY8" s="296">
        <v>10</v>
      </c>
      <c r="AZ8" s="296">
        <v>10</v>
      </c>
      <c r="BA8" s="296">
        <v>10</v>
      </c>
      <c r="BB8" s="296">
        <v>11</v>
      </c>
      <c r="BC8" s="296">
        <v>11</v>
      </c>
      <c r="BD8" s="296">
        <v>11</v>
      </c>
      <c r="BE8" s="296">
        <v>11</v>
      </c>
      <c r="BF8" s="296">
        <v>11</v>
      </c>
      <c r="BG8" s="296">
        <v>11</v>
      </c>
      <c r="BH8" s="296">
        <v>7</v>
      </c>
      <c r="BI8" s="296">
        <v>7</v>
      </c>
      <c r="BJ8" s="296">
        <v>7</v>
      </c>
      <c r="BK8" s="296">
        <v>7</v>
      </c>
      <c r="BL8" s="296">
        <v>7</v>
      </c>
      <c r="BM8" s="296">
        <v>7</v>
      </c>
      <c r="BN8" s="296">
        <v>7</v>
      </c>
      <c r="BO8" s="296">
        <v>7</v>
      </c>
      <c r="BP8" s="296">
        <v>7</v>
      </c>
      <c r="BQ8" s="296">
        <v>7</v>
      </c>
      <c r="BR8" s="296">
        <v>6</v>
      </c>
      <c r="BS8" s="15"/>
      <c r="BT8" s="15"/>
    </row>
    <row r="9" spans="2:72" ht="19.899999999999999" customHeight="1">
      <c r="B9" s="13">
        <v>5</v>
      </c>
      <c r="C9" s="296">
        <v>1</v>
      </c>
      <c r="D9" s="296">
        <v>2</v>
      </c>
      <c r="E9" s="296">
        <v>2</v>
      </c>
      <c r="F9" s="296">
        <v>3</v>
      </c>
      <c r="G9" s="296">
        <v>3</v>
      </c>
      <c r="H9" s="296">
        <v>3</v>
      </c>
      <c r="I9" s="296">
        <v>3</v>
      </c>
      <c r="J9" s="296">
        <v>3</v>
      </c>
      <c r="K9" s="296">
        <v>4</v>
      </c>
      <c r="L9" s="296">
        <v>4</v>
      </c>
      <c r="M9" s="296">
        <v>4</v>
      </c>
      <c r="N9" s="296">
        <v>4</v>
      </c>
      <c r="O9" s="296">
        <v>4</v>
      </c>
      <c r="P9" s="296">
        <v>4</v>
      </c>
      <c r="Q9" s="296">
        <v>5</v>
      </c>
      <c r="R9" s="296">
        <v>5</v>
      </c>
      <c r="S9" s="296">
        <v>5</v>
      </c>
      <c r="T9" s="296">
        <v>5</v>
      </c>
      <c r="U9" s="296">
        <v>5</v>
      </c>
      <c r="V9" s="296">
        <v>5</v>
      </c>
      <c r="W9" s="296">
        <v>6</v>
      </c>
      <c r="X9" s="296">
        <v>6</v>
      </c>
      <c r="Y9" s="296">
        <v>6</v>
      </c>
      <c r="Z9" s="296">
        <v>6</v>
      </c>
      <c r="AA9" s="296">
        <v>7</v>
      </c>
      <c r="AB9" s="296">
        <v>7</v>
      </c>
      <c r="AC9" s="296">
        <v>7</v>
      </c>
      <c r="AD9" s="296">
        <v>7</v>
      </c>
      <c r="AE9" s="296">
        <v>7</v>
      </c>
      <c r="AF9" s="296">
        <v>7</v>
      </c>
      <c r="AG9" s="296">
        <v>7</v>
      </c>
      <c r="AH9" s="296">
        <v>7</v>
      </c>
      <c r="AI9" s="296">
        <v>9</v>
      </c>
      <c r="AJ9" s="296">
        <v>9</v>
      </c>
      <c r="AK9" s="296">
        <v>9</v>
      </c>
      <c r="AL9" s="296">
        <v>9</v>
      </c>
      <c r="AM9" s="296">
        <v>9</v>
      </c>
      <c r="AN9" s="296">
        <v>9</v>
      </c>
      <c r="AO9" s="296">
        <v>9</v>
      </c>
      <c r="AP9" s="296">
        <v>9</v>
      </c>
      <c r="AQ9" s="296">
        <v>9</v>
      </c>
      <c r="AR9" s="296">
        <v>10</v>
      </c>
      <c r="AS9" s="296">
        <v>10</v>
      </c>
      <c r="AT9" s="296">
        <v>10</v>
      </c>
      <c r="AU9" s="296">
        <v>10</v>
      </c>
      <c r="AV9" s="296">
        <v>10</v>
      </c>
      <c r="AW9" s="296">
        <v>10</v>
      </c>
      <c r="AX9" s="296">
        <v>10</v>
      </c>
      <c r="AY9" s="296">
        <v>10</v>
      </c>
      <c r="AZ9" s="296">
        <v>11</v>
      </c>
      <c r="BA9" s="296">
        <v>11</v>
      </c>
      <c r="BB9" s="296">
        <v>11</v>
      </c>
      <c r="BC9" s="296">
        <v>11</v>
      </c>
      <c r="BD9" s="296">
        <v>7</v>
      </c>
      <c r="BE9" s="296">
        <v>7</v>
      </c>
      <c r="BF9" s="296">
        <v>7</v>
      </c>
      <c r="BG9" s="296">
        <v>7</v>
      </c>
      <c r="BH9" s="296">
        <v>7</v>
      </c>
      <c r="BI9" s="296">
        <v>7</v>
      </c>
      <c r="BJ9" s="296">
        <v>7</v>
      </c>
      <c r="BK9" s="296">
        <v>6</v>
      </c>
      <c r="BL9" s="296">
        <v>6</v>
      </c>
      <c r="BM9" s="296">
        <v>6</v>
      </c>
      <c r="BN9" s="296">
        <v>6</v>
      </c>
      <c r="BO9" s="296">
        <v>6</v>
      </c>
      <c r="BP9" s="296">
        <v>6</v>
      </c>
      <c r="BQ9" s="296">
        <v>6</v>
      </c>
      <c r="BR9" s="296">
        <v>6</v>
      </c>
      <c r="BS9" s="15"/>
      <c r="BT9" s="15"/>
    </row>
    <row r="10" spans="2:72" ht="19.899999999999999" customHeight="1">
      <c r="B10" s="13">
        <v>6</v>
      </c>
      <c r="C10" s="296">
        <v>1</v>
      </c>
      <c r="D10" s="296">
        <v>1</v>
      </c>
      <c r="E10" s="296">
        <v>3</v>
      </c>
      <c r="F10" s="296">
        <v>3</v>
      </c>
      <c r="G10" s="296">
        <v>3</v>
      </c>
      <c r="H10" s="296">
        <v>3</v>
      </c>
      <c r="I10" s="296">
        <v>4</v>
      </c>
      <c r="J10" s="296">
        <v>4</v>
      </c>
      <c r="K10" s="296">
        <v>4</v>
      </c>
      <c r="L10" s="296">
        <v>4</v>
      </c>
      <c r="M10" s="296">
        <v>4</v>
      </c>
      <c r="N10" s="296">
        <v>4</v>
      </c>
      <c r="O10" s="296">
        <v>4</v>
      </c>
      <c r="P10" s="296">
        <v>5</v>
      </c>
      <c r="Q10" s="296">
        <v>5</v>
      </c>
      <c r="R10" s="296">
        <v>5</v>
      </c>
      <c r="S10" s="296">
        <v>5</v>
      </c>
      <c r="T10" s="296">
        <v>5</v>
      </c>
      <c r="U10" s="296">
        <v>6</v>
      </c>
      <c r="V10" s="296">
        <v>6</v>
      </c>
      <c r="W10" s="296">
        <v>6</v>
      </c>
      <c r="X10" s="296">
        <v>6</v>
      </c>
      <c r="Y10" s="296">
        <v>7</v>
      </c>
      <c r="Z10" s="296">
        <v>7</v>
      </c>
      <c r="AA10" s="296">
        <v>7</v>
      </c>
      <c r="AB10" s="296">
        <v>7</v>
      </c>
      <c r="AC10" s="296">
        <v>7</v>
      </c>
      <c r="AD10" s="296">
        <v>7</v>
      </c>
      <c r="AE10" s="296">
        <v>7</v>
      </c>
      <c r="AF10" s="296">
        <v>7</v>
      </c>
      <c r="AG10" s="296">
        <v>9</v>
      </c>
      <c r="AH10" s="296">
        <v>9</v>
      </c>
      <c r="AI10" s="296">
        <v>9</v>
      </c>
      <c r="AJ10" s="296">
        <v>9</v>
      </c>
      <c r="AK10" s="296">
        <v>9</v>
      </c>
      <c r="AL10" s="296">
        <v>9</v>
      </c>
      <c r="AM10" s="296">
        <v>9</v>
      </c>
      <c r="AN10" s="296">
        <v>9</v>
      </c>
      <c r="AO10" s="296">
        <v>9</v>
      </c>
      <c r="AP10" s="296">
        <v>9</v>
      </c>
      <c r="AQ10" s="296">
        <v>10</v>
      </c>
      <c r="AR10" s="296">
        <v>10</v>
      </c>
      <c r="AS10" s="296">
        <v>10</v>
      </c>
      <c r="AT10" s="296">
        <v>10</v>
      </c>
      <c r="AU10" s="296">
        <v>10</v>
      </c>
      <c r="AV10" s="296">
        <v>10</v>
      </c>
      <c r="AW10" s="296">
        <v>10</v>
      </c>
      <c r="AX10" s="296">
        <v>11</v>
      </c>
      <c r="AY10" s="296">
        <v>11</v>
      </c>
      <c r="AZ10" s="296">
        <v>11</v>
      </c>
      <c r="BA10" s="296">
        <v>11</v>
      </c>
      <c r="BB10" s="296">
        <v>7</v>
      </c>
      <c r="BC10" s="296">
        <v>7</v>
      </c>
      <c r="BD10" s="296">
        <v>7</v>
      </c>
      <c r="BE10" s="296">
        <v>7</v>
      </c>
      <c r="BF10" s="296">
        <v>7</v>
      </c>
      <c r="BG10" s="296">
        <v>7</v>
      </c>
      <c r="BH10" s="296">
        <v>7</v>
      </c>
      <c r="BI10" s="296">
        <v>6</v>
      </c>
      <c r="BJ10" s="296">
        <v>6</v>
      </c>
      <c r="BK10" s="296">
        <v>6</v>
      </c>
      <c r="BL10" s="296">
        <v>6</v>
      </c>
      <c r="BM10" s="296">
        <v>6</v>
      </c>
      <c r="BN10" s="296">
        <v>6</v>
      </c>
      <c r="BO10" s="296">
        <v>6</v>
      </c>
      <c r="BP10" s="296">
        <v>6</v>
      </c>
      <c r="BQ10" s="296">
        <v>6</v>
      </c>
      <c r="BR10" s="296">
        <v>6</v>
      </c>
      <c r="BS10" s="15"/>
      <c r="BT10" s="15"/>
    </row>
    <row r="11" spans="2:72" ht="19.899999999999999" customHeight="1">
      <c r="B11" s="13">
        <v>7</v>
      </c>
      <c r="C11" s="296">
        <v>1</v>
      </c>
      <c r="D11" s="296">
        <v>1</v>
      </c>
      <c r="E11" s="296">
        <v>1</v>
      </c>
      <c r="F11" s="296">
        <v>3</v>
      </c>
      <c r="G11" s="296">
        <v>3</v>
      </c>
      <c r="H11" s="296">
        <v>4</v>
      </c>
      <c r="I11" s="296">
        <v>4</v>
      </c>
      <c r="J11" s="296">
        <v>4</v>
      </c>
      <c r="K11" s="296">
        <v>4</v>
      </c>
      <c r="L11" s="296">
        <v>4</v>
      </c>
      <c r="M11" s="296">
        <v>4</v>
      </c>
      <c r="N11" s="296">
        <v>5</v>
      </c>
      <c r="O11" s="296">
        <v>5</v>
      </c>
      <c r="P11" s="296">
        <v>5</v>
      </c>
      <c r="Q11" s="296">
        <v>6</v>
      </c>
      <c r="R11" s="296">
        <v>6</v>
      </c>
      <c r="S11" s="296">
        <v>6</v>
      </c>
      <c r="T11" s="296">
        <v>6</v>
      </c>
      <c r="U11" s="296">
        <v>6</v>
      </c>
      <c r="V11" s="296">
        <v>8</v>
      </c>
      <c r="W11" s="296">
        <v>8</v>
      </c>
      <c r="X11" s="296">
        <v>8</v>
      </c>
      <c r="Y11" s="296">
        <v>7</v>
      </c>
      <c r="Z11" s="296">
        <v>7</v>
      </c>
      <c r="AA11" s="296">
        <v>7</v>
      </c>
      <c r="AB11" s="296">
        <v>7</v>
      </c>
      <c r="AC11" s="296">
        <v>7</v>
      </c>
      <c r="AD11" s="296">
        <v>7</v>
      </c>
      <c r="AE11" s="296">
        <v>9</v>
      </c>
      <c r="AF11" s="296">
        <v>9</v>
      </c>
      <c r="AG11" s="296">
        <v>9</v>
      </c>
      <c r="AH11" s="296">
        <v>9</v>
      </c>
      <c r="AI11" s="296">
        <v>9</v>
      </c>
      <c r="AJ11" s="296">
        <v>9</v>
      </c>
      <c r="AK11" s="296">
        <v>9</v>
      </c>
      <c r="AL11" s="296">
        <v>9</v>
      </c>
      <c r="AM11" s="296">
        <v>9</v>
      </c>
      <c r="AN11" s="296">
        <v>9</v>
      </c>
      <c r="AO11" s="296">
        <v>9</v>
      </c>
      <c r="AP11" s="296">
        <v>10</v>
      </c>
      <c r="AQ11" s="296">
        <v>10</v>
      </c>
      <c r="AR11" s="296">
        <v>10</v>
      </c>
      <c r="AS11" s="296">
        <v>10</v>
      </c>
      <c r="AT11" s="296">
        <v>10</v>
      </c>
      <c r="AU11" s="296">
        <v>11</v>
      </c>
      <c r="AV11" s="296">
        <v>11</v>
      </c>
      <c r="AW11" s="296">
        <v>11</v>
      </c>
      <c r="AX11" s="296">
        <v>11</v>
      </c>
      <c r="AY11" s="296">
        <v>12</v>
      </c>
      <c r="AZ11" s="296">
        <v>12</v>
      </c>
      <c r="BA11" s="296">
        <v>12</v>
      </c>
      <c r="BB11" s="296">
        <v>12</v>
      </c>
      <c r="BC11" s="296">
        <v>12</v>
      </c>
      <c r="BD11" s="296">
        <v>12</v>
      </c>
      <c r="BE11" s="296">
        <v>12</v>
      </c>
      <c r="BF11" s="296">
        <v>13</v>
      </c>
      <c r="BG11" s="296">
        <v>13</v>
      </c>
      <c r="BH11" s="296">
        <v>13</v>
      </c>
      <c r="BI11" s="296">
        <v>6</v>
      </c>
      <c r="BJ11" s="296">
        <v>6</v>
      </c>
      <c r="BK11" s="296">
        <v>6</v>
      </c>
      <c r="BL11" s="296">
        <v>6</v>
      </c>
      <c r="BM11" s="296">
        <v>6</v>
      </c>
      <c r="BN11" s="296">
        <v>6</v>
      </c>
      <c r="BO11" s="296">
        <v>6</v>
      </c>
      <c r="BP11" s="296">
        <v>6</v>
      </c>
      <c r="BQ11" s="296">
        <v>6</v>
      </c>
      <c r="BR11" s="296">
        <v>6</v>
      </c>
      <c r="BS11" s="15"/>
      <c r="BT11" s="15"/>
    </row>
    <row r="12" spans="2:72" ht="19.899999999999999" customHeight="1">
      <c r="B12" s="13">
        <v>8</v>
      </c>
      <c r="C12" s="296">
        <v>1</v>
      </c>
      <c r="D12" s="296">
        <v>1</v>
      </c>
      <c r="E12" s="296">
        <v>1</v>
      </c>
      <c r="F12" s="296">
        <v>1</v>
      </c>
      <c r="G12" s="296">
        <v>1</v>
      </c>
      <c r="H12" s="296">
        <v>4</v>
      </c>
      <c r="I12" s="296">
        <v>4</v>
      </c>
      <c r="J12" s="296">
        <v>4</v>
      </c>
      <c r="K12" s="296">
        <v>4</v>
      </c>
      <c r="L12" s="296">
        <v>6</v>
      </c>
      <c r="M12" s="296">
        <v>6</v>
      </c>
      <c r="N12" s="296">
        <v>6</v>
      </c>
      <c r="O12" s="296">
        <v>6</v>
      </c>
      <c r="P12" s="296">
        <v>6</v>
      </c>
      <c r="Q12" s="296">
        <v>6</v>
      </c>
      <c r="R12" s="296">
        <v>8</v>
      </c>
      <c r="S12" s="296">
        <v>8</v>
      </c>
      <c r="T12" s="296">
        <v>8</v>
      </c>
      <c r="U12" s="296">
        <v>8</v>
      </c>
      <c r="V12" s="296">
        <v>8</v>
      </c>
      <c r="W12" s="296">
        <v>8</v>
      </c>
      <c r="X12" s="296">
        <v>8</v>
      </c>
      <c r="Y12" s="296">
        <v>8</v>
      </c>
      <c r="Z12" s="296">
        <v>7</v>
      </c>
      <c r="AA12" s="296">
        <v>7</v>
      </c>
      <c r="AB12" s="296">
        <v>7</v>
      </c>
      <c r="AC12" s="296">
        <v>9</v>
      </c>
      <c r="AD12" s="296">
        <v>9</v>
      </c>
      <c r="AE12" s="296">
        <v>9</v>
      </c>
      <c r="AF12" s="296">
        <v>9</v>
      </c>
      <c r="AG12" s="296">
        <v>9</v>
      </c>
      <c r="AH12" s="296">
        <v>9</v>
      </c>
      <c r="AI12" s="296">
        <v>9</v>
      </c>
      <c r="AJ12" s="296">
        <v>9</v>
      </c>
      <c r="AK12" s="296">
        <v>9</v>
      </c>
      <c r="AL12" s="296">
        <v>9</v>
      </c>
      <c r="AM12" s="296">
        <v>9</v>
      </c>
      <c r="AN12" s="296">
        <v>9</v>
      </c>
      <c r="AO12" s="296">
        <v>10</v>
      </c>
      <c r="AP12" s="296">
        <v>10</v>
      </c>
      <c r="AQ12" s="296">
        <v>10</v>
      </c>
      <c r="AR12" s="296">
        <v>11</v>
      </c>
      <c r="AS12" s="296">
        <v>11</v>
      </c>
      <c r="AT12" s="296">
        <v>11</v>
      </c>
      <c r="AU12" s="296">
        <v>11</v>
      </c>
      <c r="AV12" s="296">
        <v>12</v>
      </c>
      <c r="AW12" s="296">
        <v>12</v>
      </c>
      <c r="AX12" s="296">
        <v>12</v>
      </c>
      <c r="AY12" s="296">
        <v>12</v>
      </c>
      <c r="AZ12" s="296">
        <v>12</v>
      </c>
      <c r="BA12" s="296">
        <v>12</v>
      </c>
      <c r="BB12" s="296">
        <v>12</v>
      </c>
      <c r="BC12" s="296">
        <v>12</v>
      </c>
      <c r="BD12" s="296">
        <v>12</v>
      </c>
      <c r="BE12" s="296">
        <v>13</v>
      </c>
      <c r="BF12" s="296">
        <v>13</v>
      </c>
      <c r="BG12" s="296">
        <v>13</v>
      </c>
      <c r="BH12" s="296">
        <v>13</v>
      </c>
      <c r="BI12" s="296">
        <v>13</v>
      </c>
      <c r="BJ12" s="296">
        <v>13</v>
      </c>
      <c r="BK12" s="296">
        <v>13</v>
      </c>
      <c r="BL12" s="296">
        <v>6</v>
      </c>
      <c r="BM12" s="296">
        <v>6</v>
      </c>
      <c r="BN12" s="296">
        <v>6</v>
      </c>
      <c r="BO12" s="296">
        <v>6</v>
      </c>
      <c r="BP12" s="296">
        <v>6</v>
      </c>
      <c r="BQ12" s="296">
        <v>6</v>
      </c>
      <c r="BR12" s="296">
        <v>6</v>
      </c>
      <c r="BS12" s="15"/>
      <c r="BT12" s="15"/>
    </row>
    <row r="13" spans="2:72" ht="19.899999999999999" customHeight="1">
      <c r="B13" s="13">
        <v>9</v>
      </c>
      <c r="C13" s="296">
        <v>1</v>
      </c>
      <c r="D13" s="296">
        <v>1</v>
      </c>
      <c r="E13" s="296">
        <v>1</v>
      </c>
      <c r="F13" s="296">
        <v>1</v>
      </c>
      <c r="G13" s="296">
        <v>1</v>
      </c>
      <c r="H13" s="296">
        <v>1</v>
      </c>
      <c r="I13" s="296">
        <v>6</v>
      </c>
      <c r="J13" s="296">
        <v>6</v>
      </c>
      <c r="K13" s="296">
        <v>6</v>
      </c>
      <c r="L13" s="296">
        <v>6</v>
      </c>
      <c r="M13" s="296">
        <v>8</v>
      </c>
      <c r="N13" s="296">
        <v>8</v>
      </c>
      <c r="O13" s="296">
        <v>8</v>
      </c>
      <c r="P13" s="296">
        <v>8</v>
      </c>
      <c r="Q13" s="296">
        <v>8</v>
      </c>
      <c r="R13" s="296">
        <v>8</v>
      </c>
      <c r="S13" s="296">
        <v>8</v>
      </c>
      <c r="T13" s="296">
        <v>8</v>
      </c>
      <c r="U13" s="296">
        <v>8</v>
      </c>
      <c r="V13" s="296">
        <v>8</v>
      </c>
      <c r="W13" s="296">
        <v>8</v>
      </c>
      <c r="X13" s="296">
        <v>8</v>
      </c>
      <c r="Y13" s="296">
        <v>8</v>
      </c>
      <c r="Z13" s="296">
        <v>8</v>
      </c>
      <c r="AA13" s="296">
        <v>8</v>
      </c>
      <c r="AB13" s="296">
        <v>8</v>
      </c>
      <c r="AC13" s="296">
        <v>9</v>
      </c>
      <c r="AD13" s="296">
        <v>9</v>
      </c>
      <c r="AE13" s="296">
        <v>9</v>
      </c>
      <c r="AF13" s="296">
        <v>9</v>
      </c>
      <c r="AG13" s="296">
        <v>9</v>
      </c>
      <c r="AH13" s="296">
        <v>9</v>
      </c>
      <c r="AI13" s="296">
        <v>9</v>
      </c>
      <c r="AJ13" s="296">
        <v>9</v>
      </c>
      <c r="AK13" s="296">
        <v>9</v>
      </c>
      <c r="AL13" s="296">
        <v>9</v>
      </c>
      <c r="AM13" s="296">
        <v>10</v>
      </c>
      <c r="AN13" s="296">
        <v>10</v>
      </c>
      <c r="AO13" s="296">
        <v>10</v>
      </c>
      <c r="AP13" s="296">
        <v>11</v>
      </c>
      <c r="AQ13" s="296">
        <v>11</v>
      </c>
      <c r="AR13" s="296">
        <v>11</v>
      </c>
      <c r="AS13" s="296">
        <v>12</v>
      </c>
      <c r="AT13" s="296">
        <v>12</v>
      </c>
      <c r="AU13" s="296">
        <v>12</v>
      </c>
      <c r="AV13" s="296">
        <v>12</v>
      </c>
      <c r="AW13" s="296">
        <v>12</v>
      </c>
      <c r="AX13" s="296">
        <v>12</v>
      </c>
      <c r="AY13" s="296">
        <v>12</v>
      </c>
      <c r="AZ13" s="296">
        <v>12</v>
      </c>
      <c r="BA13" s="296">
        <v>12</v>
      </c>
      <c r="BB13" s="296">
        <v>12</v>
      </c>
      <c r="BC13" s="296">
        <v>13</v>
      </c>
      <c r="BD13" s="296">
        <v>13</v>
      </c>
      <c r="BE13" s="296">
        <v>13</v>
      </c>
      <c r="BF13" s="296">
        <v>13</v>
      </c>
      <c r="BG13" s="296">
        <v>13</v>
      </c>
      <c r="BH13" s="296">
        <v>13</v>
      </c>
      <c r="BI13" s="296">
        <v>13</v>
      </c>
      <c r="BJ13" s="296">
        <v>13</v>
      </c>
      <c r="BK13" s="296">
        <v>13</v>
      </c>
      <c r="BL13" s="296">
        <v>13</v>
      </c>
      <c r="BM13" s="296">
        <v>13</v>
      </c>
      <c r="BN13" s="296">
        <v>13</v>
      </c>
      <c r="BO13" s="296">
        <v>13</v>
      </c>
      <c r="BP13" s="296">
        <v>6</v>
      </c>
      <c r="BQ13" s="296">
        <v>6</v>
      </c>
      <c r="BR13" s="296">
        <v>6</v>
      </c>
      <c r="BS13" s="15"/>
      <c r="BT13" s="15"/>
    </row>
    <row r="14" spans="2:72" ht="19.899999999999999" customHeight="1">
      <c r="B14" s="13">
        <v>10</v>
      </c>
      <c r="C14" s="296">
        <v>1</v>
      </c>
      <c r="D14" s="296">
        <v>1</v>
      </c>
      <c r="E14" s="296">
        <v>1</v>
      </c>
      <c r="F14" s="296">
        <v>1</v>
      </c>
      <c r="G14" s="296">
        <v>1</v>
      </c>
      <c r="H14" s="296">
        <v>1</v>
      </c>
      <c r="I14" s="296">
        <v>1</v>
      </c>
      <c r="J14" s="296">
        <v>1</v>
      </c>
      <c r="K14" s="296">
        <v>8</v>
      </c>
      <c r="L14" s="296">
        <v>8</v>
      </c>
      <c r="M14" s="296">
        <v>8</v>
      </c>
      <c r="N14" s="296">
        <v>8</v>
      </c>
      <c r="O14" s="296">
        <v>8</v>
      </c>
      <c r="P14" s="296">
        <v>8</v>
      </c>
      <c r="Q14" s="296">
        <v>8</v>
      </c>
      <c r="R14" s="296">
        <v>8</v>
      </c>
      <c r="S14" s="296">
        <v>8</v>
      </c>
      <c r="T14" s="296">
        <v>8</v>
      </c>
      <c r="U14" s="296">
        <v>8</v>
      </c>
      <c r="V14" s="296">
        <v>8</v>
      </c>
      <c r="W14" s="296">
        <v>8</v>
      </c>
      <c r="X14" s="296">
        <v>8</v>
      </c>
      <c r="Y14" s="296">
        <v>8</v>
      </c>
      <c r="Z14" s="296">
        <v>8</v>
      </c>
      <c r="AA14" s="296">
        <v>8</v>
      </c>
      <c r="AB14" s="296">
        <v>8</v>
      </c>
      <c r="AC14" s="296">
        <v>8</v>
      </c>
      <c r="AD14" s="296">
        <v>8</v>
      </c>
      <c r="AE14" s="296">
        <v>9</v>
      </c>
      <c r="AF14" s="296">
        <v>9</v>
      </c>
      <c r="AG14" s="296">
        <v>9</v>
      </c>
      <c r="AH14" s="296">
        <v>9</v>
      </c>
      <c r="AI14" s="296">
        <v>9</v>
      </c>
      <c r="AJ14" s="296">
        <v>9</v>
      </c>
      <c r="AK14" s="296">
        <v>10</v>
      </c>
      <c r="AL14" s="296">
        <v>10</v>
      </c>
      <c r="AM14" s="296">
        <v>10</v>
      </c>
      <c r="AN14" s="296">
        <v>10</v>
      </c>
      <c r="AO14" s="296">
        <v>11</v>
      </c>
      <c r="AP14" s="296">
        <v>11</v>
      </c>
      <c r="AQ14" s="296">
        <v>12</v>
      </c>
      <c r="AR14" s="296">
        <v>12</v>
      </c>
      <c r="AS14" s="296">
        <v>12</v>
      </c>
      <c r="AT14" s="296">
        <v>12</v>
      </c>
      <c r="AU14" s="296">
        <v>12</v>
      </c>
      <c r="AV14" s="296">
        <v>12</v>
      </c>
      <c r="AW14" s="296">
        <v>12</v>
      </c>
      <c r="AX14" s="296">
        <v>12</v>
      </c>
      <c r="AY14" s="296">
        <v>12</v>
      </c>
      <c r="AZ14" s="296">
        <v>12</v>
      </c>
      <c r="BA14" s="296">
        <v>13</v>
      </c>
      <c r="BB14" s="296">
        <v>13</v>
      </c>
      <c r="BC14" s="296">
        <v>13</v>
      </c>
      <c r="BD14" s="296">
        <v>13</v>
      </c>
      <c r="BE14" s="296">
        <v>13</v>
      </c>
      <c r="BF14" s="296">
        <v>13</v>
      </c>
      <c r="BG14" s="296">
        <v>13</v>
      </c>
      <c r="BH14" s="296">
        <v>13</v>
      </c>
      <c r="BI14" s="296">
        <v>13</v>
      </c>
      <c r="BJ14" s="296">
        <v>13</v>
      </c>
      <c r="BK14" s="296">
        <v>13</v>
      </c>
      <c r="BL14" s="296">
        <v>13</v>
      </c>
      <c r="BM14" s="296">
        <v>13</v>
      </c>
      <c r="BN14" s="296">
        <v>13</v>
      </c>
      <c r="BO14" s="296">
        <v>13</v>
      </c>
      <c r="BP14" s="296">
        <v>13</v>
      </c>
      <c r="BQ14" s="296">
        <v>13</v>
      </c>
      <c r="BR14" s="296">
        <v>6</v>
      </c>
      <c r="BS14" s="15"/>
      <c r="BT14" s="15"/>
    </row>
    <row r="15" spans="2:72" s="18" customFormat="1">
      <c r="B15" s="16"/>
      <c r="C15" s="17">
        <v>1</v>
      </c>
      <c r="D15" s="17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  <c r="AC15" s="17">
        <v>27</v>
      </c>
      <c r="AD15" s="17">
        <v>28</v>
      </c>
      <c r="AE15" s="17">
        <v>29</v>
      </c>
      <c r="AF15" s="17">
        <v>30</v>
      </c>
      <c r="AG15" s="17">
        <v>31</v>
      </c>
      <c r="AH15" s="17">
        <v>32</v>
      </c>
      <c r="AI15" s="17">
        <v>33</v>
      </c>
      <c r="AJ15" s="17">
        <v>34</v>
      </c>
      <c r="AK15" s="17">
        <v>35</v>
      </c>
      <c r="AL15" s="17">
        <v>36</v>
      </c>
      <c r="AM15" s="17">
        <v>37</v>
      </c>
      <c r="AN15" s="17">
        <v>38</v>
      </c>
      <c r="AO15" s="17">
        <v>39</v>
      </c>
      <c r="AP15" s="17">
        <v>40</v>
      </c>
      <c r="AQ15" s="17">
        <v>41</v>
      </c>
      <c r="AR15" s="17">
        <v>42</v>
      </c>
      <c r="AS15" s="17">
        <v>43</v>
      </c>
      <c r="AT15" s="17">
        <v>44</v>
      </c>
      <c r="AU15" s="17">
        <v>45</v>
      </c>
      <c r="AV15" s="17">
        <v>46</v>
      </c>
      <c r="AW15" s="17">
        <v>47</v>
      </c>
      <c r="AX15" s="17">
        <v>48</v>
      </c>
      <c r="AY15" s="17">
        <v>49</v>
      </c>
      <c r="AZ15" s="17">
        <v>50</v>
      </c>
      <c r="BA15" s="17">
        <v>51</v>
      </c>
      <c r="BB15" s="17">
        <v>52</v>
      </c>
      <c r="BC15" s="17">
        <v>53</v>
      </c>
      <c r="BD15" s="17">
        <v>54</v>
      </c>
      <c r="BE15" s="17">
        <v>55</v>
      </c>
      <c r="BF15" s="17">
        <v>56</v>
      </c>
      <c r="BG15" s="17">
        <v>57</v>
      </c>
      <c r="BH15" s="17">
        <v>58</v>
      </c>
      <c r="BI15" s="17">
        <v>59</v>
      </c>
      <c r="BJ15" s="17">
        <v>60</v>
      </c>
      <c r="BK15" s="17">
        <v>61</v>
      </c>
      <c r="BL15" s="17">
        <v>62</v>
      </c>
      <c r="BM15" s="17">
        <v>63</v>
      </c>
      <c r="BN15" s="17">
        <v>64</v>
      </c>
      <c r="BO15" s="17">
        <v>65</v>
      </c>
      <c r="BP15" s="17">
        <v>66</v>
      </c>
      <c r="BQ15" s="17">
        <v>67</v>
      </c>
      <c r="BR15" s="17">
        <v>68</v>
      </c>
      <c r="BS15" s="17"/>
      <c r="BT15" s="17"/>
    </row>
    <row r="16" spans="2:72" s="14" customFormat="1">
      <c r="B16" s="13"/>
    </row>
    <row r="17" spans="2:83" s="14" customFormat="1" ht="15" thickBot="1">
      <c r="B17" s="13"/>
    </row>
    <row r="18" spans="2:83" s="14" customForma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</row>
    <row r="19" spans="2:83" s="14" customFormat="1">
      <c r="B19" s="22"/>
      <c r="C19" s="295">
        <v>1</v>
      </c>
      <c r="D19" s="487" t="s">
        <v>68</v>
      </c>
      <c r="E19" s="487"/>
      <c r="F19" s="487"/>
      <c r="G19" s="487"/>
      <c r="H19" s="487"/>
      <c r="I19" s="487"/>
      <c r="J19" s="487"/>
      <c r="K19" s="487"/>
      <c r="L19" s="23">
        <f>COUNTIF(C5:BR14,1)</f>
        <v>25</v>
      </c>
      <c r="M19" s="23"/>
      <c r="N19" s="23">
        <f>L19-M19</f>
        <v>25</v>
      </c>
      <c r="O19" s="24"/>
    </row>
    <row r="20" spans="2:83" s="14" customFormat="1">
      <c r="B20" s="22"/>
      <c r="C20" s="295">
        <v>2</v>
      </c>
      <c r="D20" s="487" t="s">
        <v>60</v>
      </c>
      <c r="E20" s="487"/>
      <c r="F20" s="487"/>
      <c r="G20" s="487"/>
      <c r="H20" s="487"/>
      <c r="I20" s="487"/>
      <c r="J20" s="487"/>
      <c r="K20" s="487"/>
      <c r="L20" s="23">
        <f>COUNTIF(C5:BR14,2)</f>
        <v>34</v>
      </c>
      <c r="M20" s="23"/>
      <c r="N20" s="23">
        <f t="shared" ref="N20:N32" si="0">L20-M20</f>
        <v>34</v>
      </c>
      <c r="O20" s="24"/>
    </row>
    <row r="21" spans="2:83" s="14" customFormat="1">
      <c r="B21" s="22"/>
      <c r="C21" s="295">
        <v>3</v>
      </c>
      <c r="D21" s="487" t="s">
        <v>7</v>
      </c>
      <c r="E21" s="487"/>
      <c r="F21" s="487"/>
      <c r="G21" s="487"/>
      <c r="H21" s="487"/>
      <c r="I21" s="487"/>
      <c r="J21" s="487"/>
      <c r="K21" s="487"/>
      <c r="L21" s="23">
        <f>COUNTIF(C5:BR14,3)</f>
        <v>36</v>
      </c>
      <c r="M21" s="23"/>
      <c r="N21" s="23">
        <f t="shared" si="0"/>
        <v>36</v>
      </c>
      <c r="O21" s="24"/>
    </row>
    <row r="22" spans="2:83" s="14" customFormat="1">
      <c r="B22" s="22"/>
      <c r="C22" s="295">
        <v>4</v>
      </c>
      <c r="D22" s="487" t="s">
        <v>69</v>
      </c>
      <c r="E22" s="487"/>
      <c r="F22" s="487"/>
      <c r="G22" s="487"/>
      <c r="H22" s="487"/>
      <c r="I22" s="487"/>
      <c r="J22" s="487"/>
      <c r="K22" s="487"/>
      <c r="L22" s="23">
        <f>COUNTIF(C5:BR14,4)</f>
        <v>37</v>
      </c>
      <c r="M22" s="23"/>
      <c r="N22" s="23">
        <f t="shared" si="0"/>
        <v>37</v>
      </c>
      <c r="O22" s="24"/>
      <c r="BX22" s="25"/>
      <c r="BY22" s="25"/>
      <c r="BZ22" s="25"/>
      <c r="CA22" s="25"/>
      <c r="CB22" s="25"/>
      <c r="CC22" s="25"/>
      <c r="CD22" s="25"/>
      <c r="CE22" s="25"/>
    </row>
    <row r="23" spans="2:83" s="14" customFormat="1">
      <c r="B23" s="22"/>
      <c r="C23" s="295">
        <v>5</v>
      </c>
      <c r="D23" s="487" t="s">
        <v>62</v>
      </c>
      <c r="E23" s="487"/>
      <c r="F23" s="487"/>
      <c r="G23" s="487"/>
      <c r="H23" s="487"/>
      <c r="I23" s="487"/>
      <c r="J23" s="487"/>
      <c r="K23" s="487"/>
      <c r="L23" s="23">
        <f>COUNTIF(C5:BR14,5)</f>
        <v>32</v>
      </c>
      <c r="M23" s="23"/>
      <c r="N23" s="23">
        <f t="shared" si="0"/>
        <v>32</v>
      </c>
      <c r="O23" s="24"/>
      <c r="BX23" s="25"/>
      <c r="BY23" s="25"/>
      <c r="BZ23" s="25"/>
      <c r="CA23" s="25"/>
      <c r="CB23" s="25"/>
      <c r="CC23" s="25"/>
      <c r="CD23" s="25"/>
      <c r="CE23" s="25"/>
    </row>
    <row r="24" spans="2:83" s="14" customFormat="1">
      <c r="B24" s="22"/>
      <c r="C24" s="295">
        <v>6</v>
      </c>
      <c r="D24" s="487" t="s">
        <v>61</v>
      </c>
      <c r="E24" s="487"/>
      <c r="F24" s="487"/>
      <c r="G24" s="487"/>
      <c r="H24" s="487"/>
      <c r="I24" s="487"/>
      <c r="J24" s="487"/>
      <c r="K24" s="487"/>
      <c r="L24" s="23">
        <f>COUNTIF(C5:BR14,6)</f>
        <v>89</v>
      </c>
      <c r="M24" s="23">
        <v>31</v>
      </c>
      <c r="N24" s="23">
        <f t="shared" si="0"/>
        <v>58</v>
      </c>
      <c r="O24" s="24"/>
      <c r="BX24" s="25"/>
      <c r="BY24" s="25"/>
      <c r="BZ24" s="25"/>
      <c r="CA24" s="25"/>
      <c r="CB24" s="25"/>
      <c r="CC24" s="25"/>
      <c r="CD24" s="25"/>
      <c r="CE24" s="25"/>
    </row>
    <row r="25" spans="2:83" s="14" customFormat="1">
      <c r="B25" s="22"/>
      <c r="C25" s="295">
        <v>7</v>
      </c>
      <c r="D25" s="487" t="s">
        <v>67</v>
      </c>
      <c r="E25" s="487"/>
      <c r="F25" s="487"/>
      <c r="G25" s="487"/>
      <c r="H25" s="487"/>
      <c r="I25" s="487"/>
      <c r="J25" s="487"/>
      <c r="K25" s="487"/>
      <c r="L25" s="23">
        <f>COUNTIF(C5:BR14,7)</f>
        <v>97</v>
      </c>
      <c r="M25" s="23">
        <v>42</v>
      </c>
      <c r="N25" s="23">
        <f t="shared" si="0"/>
        <v>55</v>
      </c>
      <c r="O25" s="24"/>
      <c r="BX25" s="25"/>
      <c r="BY25" s="25"/>
      <c r="BZ25" s="25"/>
      <c r="CA25" s="25"/>
      <c r="CB25" s="25"/>
      <c r="CC25" s="25"/>
      <c r="CD25" s="25"/>
      <c r="CE25" s="25"/>
    </row>
    <row r="26" spans="2:83" s="14" customFormat="1">
      <c r="B26" s="22"/>
      <c r="C26" s="295">
        <v>8</v>
      </c>
      <c r="D26" s="487" t="s">
        <v>65</v>
      </c>
      <c r="E26" s="487"/>
      <c r="F26" s="487"/>
      <c r="G26" s="487"/>
      <c r="H26" s="487"/>
      <c r="I26" s="487"/>
      <c r="J26" s="487"/>
      <c r="K26" s="487"/>
      <c r="L26" s="23">
        <f>COUNTIF(C5:BR14,8)</f>
        <v>47</v>
      </c>
      <c r="M26" s="23"/>
      <c r="N26" s="23">
        <f t="shared" si="0"/>
        <v>47</v>
      </c>
      <c r="O26" s="24"/>
      <c r="BX26" s="25"/>
      <c r="BY26" s="25"/>
      <c r="BZ26" s="25"/>
      <c r="CA26" s="25"/>
      <c r="CB26" s="25"/>
      <c r="CC26" s="25"/>
      <c r="CD26" s="25"/>
      <c r="CE26" s="25"/>
    </row>
    <row r="27" spans="2:83" s="14" customFormat="1">
      <c r="B27" s="22"/>
      <c r="C27" s="295">
        <v>9</v>
      </c>
      <c r="D27" s="487" t="s">
        <v>34</v>
      </c>
      <c r="E27" s="487"/>
      <c r="F27" s="487"/>
      <c r="G27" s="487"/>
      <c r="H27" s="487"/>
      <c r="I27" s="487"/>
      <c r="J27" s="487"/>
      <c r="K27" s="487"/>
      <c r="L27" s="23">
        <f>COUNTIF(C5:BR14,9)</f>
        <v>85</v>
      </c>
      <c r="M27" s="23"/>
      <c r="N27" s="23">
        <f t="shared" si="0"/>
        <v>85</v>
      </c>
      <c r="O27" s="24"/>
      <c r="BX27" s="25"/>
      <c r="BY27" s="25"/>
      <c r="BZ27" s="25"/>
      <c r="CA27" s="25"/>
      <c r="CB27" s="25"/>
      <c r="CC27" s="25"/>
      <c r="CD27" s="25"/>
      <c r="CE27" s="25"/>
    </row>
    <row r="28" spans="2:83" s="14" customFormat="1">
      <c r="B28" s="22"/>
      <c r="C28" s="295">
        <v>10</v>
      </c>
      <c r="D28" s="487" t="s">
        <v>63</v>
      </c>
      <c r="E28" s="487"/>
      <c r="F28" s="487"/>
      <c r="G28" s="487"/>
      <c r="H28" s="487"/>
      <c r="I28" s="487"/>
      <c r="J28" s="487"/>
      <c r="K28" s="487"/>
      <c r="L28" s="23">
        <f>COUNTIF(C5:BR14,10)</f>
        <v>68</v>
      </c>
      <c r="M28" s="23"/>
      <c r="N28" s="23">
        <f t="shared" si="0"/>
        <v>68</v>
      </c>
      <c r="O28" s="24"/>
      <c r="BX28" s="25"/>
      <c r="BY28" s="25"/>
      <c r="BZ28" s="25"/>
      <c r="CA28" s="25"/>
      <c r="CB28" s="25"/>
      <c r="CC28" s="25"/>
      <c r="CD28" s="25"/>
      <c r="CE28" s="25"/>
    </row>
    <row r="29" spans="2:83" s="14" customFormat="1">
      <c r="B29" s="22"/>
      <c r="C29" s="295">
        <v>11</v>
      </c>
      <c r="D29" s="487" t="s">
        <v>64</v>
      </c>
      <c r="E29" s="487"/>
      <c r="F29" s="487"/>
      <c r="G29" s="487"/>
      <c r="H29" s="487"/>
      <c r="I29" s="487"/>
      <c r="J29" s="487"/>
      <c r="K29" s="487"/>
      <c r="L29" s="23">
        <f>COUNTIF(C5:BR14,11)</f>
        <v>54</v>
      </c>
      <c r="M29" s="23">
        <v>35</v>
      </c>
      <c r="N29" s="23">
        <f t="shared" si="0"/>
        <v>19</v>
      </c>
      <c r="O29" s="24"/>
      <c r="BX29" s="25"/>
      <c r="BY29" s="25"/>
      <c r="BZ29" s="25"/>
      <c r="CA29" s="25"/>
      <c r="CB29" s="25"/>
      <c r="CC29" s="25"/>
      <c r="CD29" s="25"/>
      <c r="CE29" s="25"/>
    </row>
    <row r="30" spans="2:83" s="14" customFormat="1">
      <c r="B30" s="22"/>
      <c r="C30" s="295">
        <v>12</v>
      </c>
      <c r="D30" s="487" t="s">
        <v>8</v>
      </c>
      <c r="E30" s="487"/>
      <c r="F30" s="487"/>
      <c r="G30" s="487"/>
      <c r="H30" s="487"/>
      <c r="I30" s="487"/>
      <c r="J30" s="487"/>
      <c r="K30" s="487"/>
      <c r="L30" s="23">
        <f>COUNTIF(C5:BR14,12)</f>
        <v>36</v>
      </c>
      <c r="M30" s="23"/>
      <c r="N30" s="23">
        <f t="shared" si="0"/>
        <v>36</v>
      </c>
      <c r="O30" s="24"/>
      <c r="BX30" s="25"/>
      <c r="BY30" s="25"/>
      <c r="BZ30" s="25"/>
      <c r="CA30" s="25"/>
      <c r="CB30" s="25"/>
      <c r="CC30" s="25"/>
      <c r="CD30" s="25"/>
      <c r="CE30" s="25"/>
    </row>
    <row r="31" spans="2:83" s="14" customFormat="1">
      <c r="B31" s="22"/>
      <c r="C31" s="295">
        <v>13</v>
      </c>
      <c r="D31" s="487" t="s">
        <v>70</v>
      </c>
      <c r="E31" s="487"/>
      <c r="F31" s="487"/>
      <c r="G31" s="487"/>
      <c r="H31" s="487"/>
      <c r="I31" s="487"/>
      <c r="J31" s="487"/>
      <c r="K31" s="487"/>
      <c r="L31" s="23">
        <f>COUNTIF(C5:BR14,13)</f>
        <v>40</v>
      </c>
      <c r="M31" s="23"/>
      <c r="N31" s="23">
        <f t="shared" si="0"/>
        <v>40</v>
      </c>
      <c r="O31" s="24"/>
      <c r="BX31" s="25"/>
      <c r="BY31" s="25"/>
      <c r="BZ31" s="25"/>
      <c r="CA31" s="25"/>
      <c r="CB31" s="25"/>
      <c r="CC31" s="25"/>
      <c r="CD31" s="25"/>
      <c r="CE31" s="25"/>
    </row>
    <row r="32" spans="2:83" s="14" customFormat="1">
      <c r="B32" s="22"/>
      <c r="C32" s="295">
        <v>14</v>
      </c>
      <c r="D32" s="487" t="s">
        <v>66</v>
      </c>
      <c r="E32" s="487"/>
      <c r="F32" s="487"/>
      <c r="G32" s="487"/>
      <c r="H32" s="487"/>
      <c r="I32" s="487"/>
      <c r="J32" s="487"/>
      <c r="K32" s="487"/>
      <c r="L32" s="23">
        <f>COUNTIF(C5:BR14,14)</f>
        <v>0</v>
      </c>
      <c r="M32" s="23"/>
      <c r="N32" s="23">
        <f t="shared" si="0"/>
        <v>0</v>
      </c>
      <c r="O32" s="24"/>
      <c r="BX32" s="25"/>
      <c r="BY32" s="25"/>
      <c r="BZ32" s="25"/>
      <c r="CA32" s="25"/>
      <c r="CB32" s="25"/>
      <c r="CC32" s="25"/>
      <c r="CD32" s="25"/>
      <c r="CE32" s="25"/>
    </row>
    <row r="33" spans="2:83" s="14" customFormat="1">
      <c r="B33" s="22"/>
      <c r="C33" s="23"/>
      <c r="D33" s="25"/>
      <c r="E33" s="25"/>
      <c r="F33" s="25"/>
      <c r="G33" s="25"/>
      <c r="H33" s="25"/>
      <c r="I33" s="25"/>
      <c r="J33" s="25"/>
      <c r="K33" s="25"/>
      <c r="L33" s="487">
        <f>SUM(L19:L32)</f>
        <v>680</v>
      </c>
      <c r="M33" s="487"/>
      <c r="N33" s="487">
        <f>SUM(N19:N32)</f>
        <v>572</v>
      </c>
      <c r="O33" s="488"/>
      <c r="BX33" s="25"/>
      <c r="BY33" s="25"/>
      <c r="BZ33" s="25"/>
      <c r="CA33" s="25"/>
      <c r="CB33" s="25"/>
      <c r="CC33" s="25"/>
      <c r="CD33" s="25"/>
      <c r="CE33" s="25"/>
    </row>
    <row r="34" spans="2:83" s="14" customFormat="1" ht="15" thickBot="1">
      <c r="B34" s="26"/>
      <c r="C34" s="27"/>
      <c r="D34" s="28"/>
      <c r="E34" s="28"/>
      <c r="F34" s="28"/>
      <c r="G34" s="28"/>
      <c r="H34" s="28"/>
      <c r="I34" s="28"/>
      <c r="J34" s="28"/>
      <c r="K34" s="28"/>
      <c r="L34" s="27"/>
      <c r="M34" s="27"/>
      <c r="N34" s="27"/>
      <c r="O34" s="29"/>
      <c r="BX34" s="25"/>
      <c r="BY34" s="25"/>
      <c r="BZ34" s="25"/>
      <c r="CA34" s="25"/>
      <c r="CB34" s="25"/>
      <c r="CC34" s="25"/>
      <c r="CD34" s="25"/>
      <c r="CE34" s="25"/>
    </row>
    <row r="35" spans="2:83" s="14" customFormat="1">
      <c r="B35" s="13"/>
      <c r="D35" s="30"/>
      <c r="E35" s="30"/>
      <c r="F35" s="30"/>
      <c r="G35" s="30"/>
      <c r="H35" s="30"/>
      <c r="I35" s="30"/>
      <c r="J35" s="30"/>
      <c r="K35" s="30"/>
      <c r="BX35" s="25"/>
      <c r="BY35" s="25"/>
      <c r="BZ35" s="25"/>
      <c r="CA35" s="25"/>
      <c r="CB35" s="25"/>
      <c r="CC35" s="25"/>
      <c r="CD35" s="25"/>
      <c r="CE35" s="25"/>
    </row>
    <row r="36" spans="2:83" s="14" customFormat="1">
      <c r="B36" s="13"/>
      <c r="D36" s="30"/>
      <c r="E36" s="30"/>
      <c r="F36" s="30"/>
      <c r="G36" s="30"/>
      <c r="H36" s="30"/>
      <c r="I36" s="30"/>
      <c r="J36" s="30"/>
      <c r="K36" s="30"/>
    </row>
    <row r="37" spans="2:83" s="14" customFormat="1">
      <c r="B37" s="13"/>
      <c r="D37" s="30"/>
      <c r="E37" s="30"/>
      <c r="F37" s="30"/>
      <c r="G37" s="30"/>
      <c r="H37" s="30"/>
      <c r="I37" s="30"/>
      <c r="J37" s="30"/>
      <c r="K37" s="30"/>
    </row>
    <row r="38" spans="2:83" s="14" customFormat="1">
      <c r="B38" s="13"/>
      <c r="D38" s="30"/>
      <c r="E38" s="30"/>
      <c r="F38" s="30"/>
      <c r="G38" s="30"/>
      <c r="H38" s="30"/>
      <c r="I38" s="30"/>
      <c r="J38" s="30"/>
      <c r="K38" s="30"/>
    </row>
    <row r="39" spans="2:83" s="14" customFormat="1">
      <c r="B39" s="13"/>
      <c r="D39" s="30"/>
      <c r="E39" s="30"/>
      <c r="F39" s="30"/>
      <c r="G39" s="30"/>
      <c r="H39" s="30"/>
      <c r="I39" s="30"/>
      <c r="J39" s="30"/>
      <c r="K39" s="30"/>
    </row>
    <row r="40" spans="2:83" s="14" customFormat="1">
      <c r="B40" s="13"/>
    </row>
    <row r="41" spans="2:83" s="14" customFormat="1">
      <c r="B41" s="13"/>
    </row>
    <row r="42" spans="2:83" s="14" customFormat="1">
      <c r="B42" s="13"/>
    </row>
    <row r="43" spans="2:83" s="14" customFormat="1">
      <c r="B43" s="13"/>
    </row>
    <row r="44" spans="2:83" s="14" customFormat="1">
      <c r="B44" s="13"/>
    </row>
    <row r="45" spans="2:83" s="14" customFormat="1">
      <c r="B45" s="13"/>
    </row>
    <row r="46" spans="2:83" s="14" customFormat="1">
      <c r="B46" s="13"/>
    </row>
    <row r="47" spans="2:83" s="14" customFormat="1">
      <c r="B47" s="13"/>
    </row>
    <row r="48" spans="2:83" s="14" customFormat="1">
      <c r="B48" s="13"/>
    </row>
    <row r="49" spans="2:2" s="14" customFormat="1">
      <c r="B49" s="13"/>
    </row>
    <row r="50" spans="2:2" s="14" customFormat="1">
      <c r="B50" s="13"/>
    </row>
    <row r="51" spans="2:2" s="14" customFormat="1">
      <c r="B51" s="13"/>
    </row>
    <row r="52" spans="2:2" s="14" customFormat="1">
      <c r="B52" s="13"/>
    </row>
    <row r="53" spans="2:2" s="14" customFormat="1">
      <c r="B53" s="13"/>
    </row>
    <row r="54" spans="2:2" s="14" customFormat="1">
      <c r="B54" s="13"/>
    </row>
    <row r="55" spans="2:2" s="14" customFormat="1">
      <c r="B55" s="13"/>
    </row>
    <row r="56" spans="2:2" s="14" customFormat="1">
      <c r="B56" s="13"/>
    </row>
    <row r="57" spans="2:2" s="14" customFormat="1">
      <c r="B57" s="13"/>
    </row>
    <row r="58" spans="2:2" s="14" customFormat="1">
      <c r="B58" s="13"/>
    </row>
    <row r="59" spans="2:2" s="14" customFormat="1">
      <c r="B59" s="13"/>
    </row>
    <row r="60" spans="2:2" s="14" customFormat="1">
      <c r="B60" s="13"/>
    </row>
    <row r="61" spans="2:2" s="14" customFormat="1">
      <c r="B61" s="13"/>
    </row>
    <row r="62" spans="2:2" s="14" customFormat="1">
      <c r="B62" s="13"/>
    </row>
    <row r="63" spans="2:2" s="14" customFormat="1">
      <c r="B63" s="13"/>
    </row>
    <row r="64" spans="2:2" s="14" customFormat="1">
      <c r="B64" s="13"/>
    </row>
  </sheetData>
  <mergeCells count="16">
    <mergeCell ref="D24:K24"/>
    <mergeCell ref="D19:K19"/>
    <mergeCell ref="D20:K20"/>
    <mergeCell ref="D21:K21"/>
    <mergeCell ref="D22:K22"/>
    <mergeCell ref="D23:K23"/>
    <mergeCell ref="D31:K31"/>
    <mergeCell ref="D32:K32"/>
    <mergeCell ref="L33:M33"/>
    <mergeCell ref="N33:O33"/>
    <mergeCell ref="D25:K25"/>
    <mergeCell ref="D26:K26"/>
    <mergeCell ref="D27:K27"/>
    <mergeCell ref="D28:K28"/>
    <mergeCell ref="D29:K29"/>
    <mergeCell ref="D30:K30"/>
  </mergeCells>
  <conditionalFormatting sqref="A1:A14 A16:A1048576 C36:XFD1048576 C19:K32 C33:L33 C1:XFD14 M19:XFD21 N33 P33:BW33 M22:BW32 C34:BW35 CF22:XFD35 C16:XFD18">
    <cfRule type="cellIs" dxfId="27" priority="15" operator="equal">
      <formula>14</formula>
    </cfRule>
    <cfRule type="cellIs" dxfId="26" priority="16" operator="equal">
      <formula>13</formula>
    </cfRule>
    <cfRule type="cellIs" dxfId="25" priority="17" operator="equal">
      <formula>12</formula>
    </cfRule>
    <cfRule type="cellIs" dxfId="24" priority="18" operator="equal">
      <formula>11</formula>
    </cfRule>
    <cfRule type="cellIs" dxfId="23" priority="19" operator="equal">
      <formula>10</formula>
    </cfRule>
    <cfRule type="cellIs" dxfId="22" priority="20" operator="equal">
      <formula>9</formula>
    </cfRule>
    <cfRule type="cellIs" dxfId="21" priority="21" operator="equal">
      <formula>8</formula>
    </cfRule>
    <cfRule type="cellIs" dxfId="20" priority="22" operator="equal">
      <formula>7</formula>
    </cfRule>
    <cfRule type="cellIs" dxfId="19" priority="23" operator="equal">
      <formula>6</formula>
    </cfRule>
    <cfRule type="cellIs" dxfId="18" priority="24" operator="equal">
      <formula>5</formula>
    </cfRule>
    <cfRule type="cellIs" dxfId="17" priority="25" operator="equal">
      <formula>4</formula>
    </cfRule>
    <cfRule type="cellIs" dxfId="16" priority="26" operator="equal">
      <formula>3</formula>
    </cfRule>
    <cfRule type="cellIs" dxfId="15" priority="27" operator="equal">
      <formula>2</formula>
    </cfRule>
    <cfRule type="cellIs" dxfId="14" priority="28" operator="equal">
      <formula>1</formula>
    </cfRule>
  </conditionalFormatting>
  <conditionalFormatting sqref="BX22:CE35">
    <cfRule type="cellIs" dxfId="13" priority="1" operator="equal">
      <formula>14</formula>
    </cfRule>
    <cfRule type="cellIs" dxfId="12" priority="2" operator="equal">
      <formula>13</formula>
    </cfRule>
    <cfRule type="cellIs" dxfId="11" priority="3" operator="equal">
      <formula>12</formula>
    </cfRule>
    <cfRule type="cellIs" dxfId="10" priority="4" operator="equal">
      <formula>11</formula>
    </cfRule>
    <cfRule type="cellIs" dxfId="9" priority="5" operator="equal">
      <formula>10</formula>
    </cfRule>
    <cfRule type="cellIs" dxfId="8" priority="6" operator="equal">
      <formula>9</formula>
    </cfRule>
    <cfRule type="cellIs" dxfId="7" priority="7" operator="equal">
      <formula>8</formula>
    </cfRule>
    <cfRule type="cellIs" dxfId="6" priority="8" operator="equal">
      <formula>7</formula>
    </cfRule>
    <cfRule type="cellIs" dxfId="5" priority="9" operator="equal">
      <formula>6</formula>
    </cfRule>
    <cfRule type="cellIs" dxfId="4" priority="10" operator="equal">
      <formula>5</formula>
    </cfRule>
    <cfRule type="cellIs" dxfId="3" priority="11" operator="equal">
      <formula>4</formula>
    </cfRule>
    <cfRule type="cellIs" dxfId="2" priority="12" operator="equal">
      <formula>3</formula>
    </cfRule>
    <cfRule type="cellIs" dxfId="1" priority="13" operator="equal">
      <formula>2</formula>
    </cfRule>
    <cfRule type="cellIs" dxfId="0" priority="14" operator="equal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</sheetPr>
  <dimension ref="A4:IX99"/>
  <sheetViews>
    <sheetView showGridLines="0" topLeftCell="A25" workbookViewId="0">
      <selection activeCell="N14" sqref="N14"/>
    </sheetView>
  </sheetViews>
  <sheetFormatPr defaultColWidth="8.7109375" defaultRowHeight="18.75" customHeight="1"/>
  <cols>
    <col min="1" max="1" width="3.140625" style="93" customWidth="1"/>
    <col min="2" max="2" width="1" style="93" customWidth="1"/>
    <col min="3" max="3" width="1.140625" style="92" customWidth="1"/>
    <col min="4" max="5" width="15.7109375" style="92" customWidth="1"/>
    <col min="6" max="6" width="1.7109375" style="92" customWidth="1"/>
    <col min="7" max="8" width="15.7109375" style="92" customWidth="1"/>
    <col min="9" max="9" width="1.28515625" style="92" customWidth="1"/>
    <col min="10" max="10" width="1.140625" style="92" customWidth="1"/>
    <col min="11" max="11" width="1" style="92" customWidth="1"/>
    <col min="12" max="14" width="8.85546875" style="92" customWidth="1"/>
    <col min="15" max="15" width="3" style="92" customWidth="1"/>
    <col min="16" max="258" width="8.85546875" style="92" customWidth="1"/>
    <col min="259" max="16384" width="8.7109375" style="93"/>
  </cols>
  <sheetData>
    <row r="4" spans="1:18" ht="18.75" customHeight="1">
      <c r="C4" s="498" t="s">
        <v>151</v>
      </c>
      <c r="D4" s="499"/>
      <c r="E4" s="500"/>
      <c r="G4" s="498" t="s">
        <v>207</v>
      </c>
      <c r="H4" s="499"/>
      <c r="I4" s="500"/>
    </row>
    <row r="5" spans="1:18" ht="18.75" customHeight="1">
      <c r="C5" s="501"/>
      <c r="D5" s="502"/>
      <c r="E5" s="503"/>
      <c r="G5" s="501"/>
      <c r="H5" s="502"/>
      <c r="I5" s="503"/>
    </row>
    <row r="6" spans="1:18" ht="12.75">
      <c r="A6" s="34"/>
      <c r="B6" s="34"/>
      <c r="C6" s="504">
        <f>SUM(G23,G38,G53,G68,G83,G97)</f>
        <v>84</v>
      </c>
      <c r="D6" s="505"/>
      <c r="E6" s="506"/>
      <c r="G6" s="504">
        <f>D20+G35+G50+G65+G80+G94</f>
        <v>14</v>
      </c>
      <c r="H6" s="505"/>
      <c r="I6" s="506"/>
    </row>
    <row r="7" spans="1:18" ht="12.75" customHeight="1">
      <c r="A7" s="34"/>
      <c r="B7" s="34"/>
      <c r="C7" s="507"/>
      <c r="D7" s="508"/>
      <c r="E7" s="509"/>
      <c r="G7" s="507"/>
      <c r="H7" s="508"/>
      <c r="I7" s="509"/>
    </row>
    <row r="8" spans="1:18" ht="12.75" customHeight="1">
      <c r="A8" s="34"/>
      <c r="B8" s="34"/>
      <c r="C8" s="507"/>
      <c r="D8" s="508"/>
      <c r="E8" s="509"/>
      <c r="G8" s="507"/>
      <c r="H8" s="508"/>
      <c r="I8" s="509"/>
    </row>
    <row r="9" spans="1:18" ht="12.75">
      <c r="A9" s="34"/>
      <c r="B9" s="34"/>
      <c r="C9" s="510"/>
      <c r="D9" s="511"/>
      <c r="E9" s="512"/>
      <c r="G9" s="510"/>
      <c r="H9" s="511"/>
      <c r="I9" s="512"/>
    </row>
    <row r="10" spans="1:18" ht="5.0999999999999996" customHeight="1" thickBot="1">
      <c r="L10" s="34"/>
      <c r="M10"/>
      <c r="N10"/>
      <c r="O10"/>
      <c r="P10" s="93"/>
      <c r="Q10" s="93"/>
      <c r="R10" s="93"/>
    </row>
    <row r="11" spans="1:18" ht="6" customHeight="1">
      <c r="B11" s="123"/>
      <c r="C11" s="124"/>
      <c r="D11" s="124"/>
      <c r="E11" s="124"/>
      <c r="F11" s="124"/>
      <c r="G11" s="124"/>
      <c r="H11" s="124"/>
      <c r="I11" s="124"/>
      <c r="J11" s="125"/>
      <c r="L11" s="93"/>
      <c r="M11" s="93"/>
      <c r="N11" s="93"/>
      <c r="P11" s="93"/>
      <c r="Q11" s="93"/>
      <c r="R11" s="93"/>
    </row>
    <row r="12" spans="1:18" ht="18.75" customHeight="1">
      <c r="B12" s="126"/>
      <c r="C12" s="495" t="s">
        <v>131</v>
      </c>
      <c r="D12" s="496"/>
      <c r="E12" s="496"/>
      <c r="F12" s="496"/>
      <c r="G12" s="496"/>
      <c r="H12" s="496"/>
      <c r="I12" s="497"/>
      <c r="J12" s="372"/>
      <c r="K12" s="34"/>
      <c r="L12" s="93"/>
      <c r="M12" s="93"/>
      <c r="N12" s="93"/>
    </row>
    <row r="13" spans="1:18" ht="5.25" customHeight="1">
      <c r="B13" s="126"/>
      <c r="C13" s="108"/>
      <c r="D13" s="109"/>
      <c r="E13" s="109"/>
      <c r="F13" s="110"/>
      <c r="G13" s="110"/>
      <c r="H13" s="110"/>
      <c r="I13" s="373"/>
      <c r="J13" s="372"/>
      <c r="L13" s="93"/>
      <c r="M13" s="93"/>
      <c r="N13" s="93"/>
    </row>
    <row r="14" spans="1:18" ht="19.149999999999999" customHeight="1" thickBot="1">
      <c r="B14" s="126"/>
      <c r="C14" s="112"/>
      <c r="D14" s="489" t="s">
        <v>0</v>
      </c>
      <c r="E14" s="490"/>
      <c r="F14" s="97"/>
      <c r="G14" s="489" t="s">
        <v>136</v>
      </c>
      <c r="H14" s="490"/>
      <c r="I14" s="374"/>
      <c r="J14" s="372"/>
      <c r="L14" s="93"/>
      <c r="M14" s="93"/>
      <c r="N14" s="93"/>
      <c r="O14" s="93"/>
      <c r="P14"/>
      <c r="Q14"/>
    </row>
    <row r="15" spans="1:18" ht="19.149999999999999" customHeight="1">
      <c r="B15" s="126"/>
      <c r="C15" s="114"/>
      <c r="D15" s="429" t="s">
        <v>113</v>
      </c>
      <c r="E15" s="430" t="s">
        <v>114</v>
      </c>
      <c r="F15" s="100"/>
      <c r="G15" s="104" t="s">
        <v>113</v>
      </c>
      <c r="H15" s="105" t="s">
        <v>114</v>
      </c>
      <c r="I15" s="374"/>
      <c r="J15" s="372"/>
      <c r="L15" s="93"/>
      <c r="M15" s="93"/>
      <c r="N15" s="93"/>
      <c r="O15" s="93"/>
      <c r="P15"/>
      <c r="Q15"/>
    </row>
    <row r="16" spans="1:18" ht="19.149999999999999" customHeight="1" thickBot="1">
      <c r="B16" s="126"/>
      <c r="C16" s="114"/>
      <c r="D16" s="431">
        <v>4.2699999999999996</v>
      </c>
      <c r="E16" s="432">
        <v>3.3</v>
      </c>
      <c r="F16" s="133"/>
      <c r="G16" s="128">
        <f>Premissas!$E$31</f>
        <v>0.3</v>
      </c>
      <c r="H16" s="129">
        <f>Premissas!$F$31</f>
        <v>0.5</v>
      </c>
      <c r="I16" s="374"/>
      <c r="J16" s="372"/>
      <c r="L16" s="34"/>
      <c r="M16"/>
      <c r="N16" s="93"/>
      <c r="O16" s="93"/>
      <c r="P16"/>
      <c r="Q16"/>
    </row>
    <row r="17" spans="2:17" ht="3.75" customHeight="1">
      <c r="B17" s="126"/>
      <c r="C17" s="114"/>
      <c r="D17" s="101"/>
      <c r="E17" s="101"/>
      <c r="F17" s="115"/>
      <c r="G17" s="99"/>
      <c r="H17" s="99"/>
      <c r="I17" s="374"/>
      <c r="J17" s="372"/>
      <c r="L17" s="34"/>
      <c r="M17"/>
      <c r="N17"/>
      <c r="O17"/>
      <c r="P17"/>
      <c r="Q17"/>
    </row>
    <row r="18" spans="2:17" ht="19.149999999999999" customHeight="1">
      <c r="B18" s="126"/>
      <c r="C18" s="112"/>
      <c r="D18" s="489" t="s">
        <v>138</v>
      </c>
      <c r="E18" s="490"/>
      <c r="F18" s="98"/>
      <c r="G18" s="489" t="s">
        <v>137</v>
      </c>
      <c r="H18" s="490"/>
      <c r="I18" s="374"/>
      <c r="J18" s="372"/>
      <c r="L18" s="34"/>
      <c r="M18"/>
      <c r="N18"/>
      <c r="O18"/>
      <c r="P18"/>
      <c r="Q18"/>
    </row>
    <row r="19" spans="2:17" ht="19.149999999999999" customHeight="1">
      <c r="B19" s="126"/>
      <c r="C19" s="112"/>
      <c r="D19" s="104" t="s">
        <v>113</v>
      </c>
      <c r="E19" s="105" t="s">
        <v>114</v>
      </c>
      <c r="F19" s="98"/>
      <c r="G19" s="104" t="s">
        <v>113</v>
      </c>
      <c r="H19" s="105" t="s">
        <v>114</v>
      </c>
      <c r="I19" s="374"/>
      <c r="J19" s="372"/>
      <c r="L19" s="34"/>
      <c r="M19"/>
      <c r="N19"/>
      <c r="O19"/>
      <c r="P19"/>
      <c r="Q19"/>
    </row>
    <row r="20" spans="2:17" ht="19.149999999999999" customHeight="1">
      <c r="B20" s="126"/>
      <c r="C20" s="112"/>
      <c r="D20" s="128">
        <f>ROUNDDOWN(G20,0)</f>
        <v>14</v>
      </c>
      <c r="E20" s="129">
        <f>ROUNDDOWN(H20,0)</f>
        <v>6</v>
      </c>
      <c r="F20" s="130"/>
      <c r="G20" s="128">
        <f>D16/G16</f>
        <v>14.233333333333333</v>
      </c>
      <c r="H20" s="129">
        <f>E16/H16</f>
        <v>6.6</v>
      </c>
      <c r="I20" s="374"/>
      <c r="J20" s="372"/>
      <c r="L20" s="34"/>
      <c r="M20"/>
      <c r="N20"/>
      <c r="O20"/>
      <c r="P20"/>
      <c r="Q20"/>
    </row>
    <row r="21" spans="2:17" ht="5.25" customHeight="1">
      <c r="B21" s="126"/>
      <c r="C21" s="114"/>
      <c r="D21" s="99"/>
      <c r="E21" s="99"/>
      <c r="F21" s="115"/>
      <c r="G21" s="99"/>
      <c r="H21" s="99"/>
      <c r="I21" s="374"/>
      <c r="J21" s="372"/>
      <c r="L21" s="34"/>
      <c r="M21"/>
      <c r="N21"/>
      <c r="O21"/>
      <c r="P21"/>
      <c r="Q21"/>
    </row>
    <row r="22" spans="2:17" ht="19.149999999999999" customHeight="1">
      <c r="B22" s="126"/>
      <c r="C22" s="112"/>
      <c r="D22" s="489" t="s">
        <v>3</v>
      </c>
      <c r="E22" s="490"/>
      <c r="F22" s="98"/>
      <c r="G22" s="489" t="s">
        <v>139</v>
      </c>
      <c r="H22" s="490"/>
      <c r="I22" s="374"/>
      <c r="J22" s="372"/>
      <c r="L22" s="34"/>
      <c r="M22"/>
      <c r="N22"/>
      <c r="O22"/>
      <c r="P22"/>
      <c r="Q22"/>
    </row>
    <row r="23" spans="2:17" ht="19.149999999999999" customHeight="1">
      <c r="B23" s="126"/>
      <c r="C23" s="112"/>
      <c r="D23" s="104" t="s">
        <v>113</v>
      </c>
      <c r="E23" s="105" t="s">
        <v>114</v>
      </c>
      <c r="F23" s="98"/>
      <c r="G23" s="491">
        <f>D20*E20</f>
        <v>84</v>
      </c>
      <c r="H23" s="492"/>
      <c r="I23" s="374"/>
      <c r="J23" s="372"/>
      <c r="L23" s="34"/>
      <c r="M23"/>
      <c r="N23"/>
      <c r="O23"/>
      <c r="P23"/>
      <c r="Q23"/>
    </row>
    <row r="24" spans="2:17" ht="25.9" customHeight="1">
      <c r="B24" s="126"/>
      <c r="C24" s="112"/>
      <c r="D24" s="131">
        <f>D16-(D20*G16)</f>
        <v>6.9999999999999396E-2</v>
      </c>
      <c r="E24" s="132">
        <f>E16-(E20*H16)</f>
        <v>0.29999999999999982</v>
      </c>
      <c r="F24" s="98"/>
      <c r="G24" s="493"/>
      <c r="H24" s="494"/>
      <c r="I24" s="374"/>
      <c r="J24" s="372"/>
    </row>
    <row r="25" spans="2:17" ht="5.25" customHeight="1">
      <c r="B25" s="126"/>
      <c r="C25" s="116"/>
      <c r="D25" s="375"/>
      <c r="E25" s="375"/>
      <c r="F25" s="118"/>
      <c r="G25" s="119"/>
      <c r="H25" s="119"/>
      <c r="I25" s="376"/>
      <c r="J25" s="372"/>
      <c r="K25" s="34"/>
    </row>
    <row r="26" spans="2:17" ht="6" customHeight="1">
      <c r="B26" s="126"/>
      <c r="C26" s="121"/>
      <c r="D26" s="136"/>
      <c r="E26" s="136"/>
      <c r="F26" s="96"/>
      <c r="G26" s="96"/>
      <c r="H26" s="96"/>
      <c r="I26" s="136"/>
      <c r="J26" s="372"/>
      <c r="K26" s="34"/>
    </row>
    <row r="27" spans="2:17" ht="18.75" customHeight="1">
      <c r="B27" s="126"/>
      <c r="C27" s="495" t="s">
        <v>132</v>
      </c>
      <c r="D27" s="496"/>
      <c r="E27" s="496"/>
      <c r="F27" s="496"/>
      <c r="G27" s="496"/>
      <c r="H27" s="496"/>
      <c r="I27" s="497"/>
      <c r="J27" s="372"/>
      <c r="K27" s="34"/>
    </row>
    <row r="28" spans="2:17" ht="5.25" customHeight="1">
      <c r="B28" s="126"/>
      <c r="C28" s="108"/>
      <c r="D28" s="109"/>
      <c r="E28" s="109"/>
      <c r="F28" s="110"/>
      <c r="G28" s="110"/>
      <c r="H28" s="110"/>
      <c r="I28" s="373"/>
      <c r="J28" s="372"/>
      <c r="K28" s="34"/>
    </row>
    <row r="29" spans="2:17" ht="18.75" customHeight="1">
      <c r="B29" s="126"/>
      <c r="C29" s="112"/>
      <c r="D29" s="489" t="s">
        <v>0</v>
      </c>
      <c r="E29" s="490"/>
      <c r="F29" s="97"/>
      <c r="G29" s="489" t="s">
        <v>137</v>
      </c>
      <c r="H29" s="490"/>
      <c r="I29" s="374"/>
      <c r="J29" s="372"/>
    </row>
    <row r="30" spans="2:17" ht="18.75" customHeight="1">
      <c r="B30" s="126"/>
      <c r="C30" s="114"/>
      <c r="D30" s="104" t="s">
        <v>113</v>
      </c>
      <c r="E30" s="105" t="s">
        <v>114</v>
      </c>
      <c r="F30" s="100"/>
      <c r="G30" s="104" t="s">
        <v>113</v>
      </c>
      <c r="H30" s="105" t="s">
        <v>114</v>
      </c>
      <c r="I30" s="374"/>
      <c r="J30" s="372"/>
    </row>
    <row r="31" spans="2:17" ht="18.75" customHeight="1">
      <c r="B31" s="126"/>
      <c r="C31" s="114"/>
      <c r="D31" s="128">
        <f>Premissas!B24</f>
        <v>0</v>
      </c>
      <c r="E31" s="129">
        <f>Premissas!C24</f>
        <v>0</v>
      </c>
      <c r="F31" s="133"/>
      <c r="G31" s="128">
        <f>D31/D39</f>
        <v>0</v>
      </c>
      <c r="H31" s="129">
        <f>E31/E39</f>
        <v>0</v>
      </c>
      <c r="I31" s="374"/>
      <c r="J31" s="372"/>
    </row>
    <row r="32" spans="2:17" ht="3" customHeight="1">
      <c r="B32" s="126"/>
      <c r="C32" s="114"/>
      <c r="D32" s="101"/>
      <c r="E32" s="101"/>
      <c r="F32" s="115"/>
      <c r="G32" s="99"/>
      <c r="H32" s="99"/>
      <c r="I32" s="374"/>
      <c r="J32" s="372"/>
    </row>
    <row r="33" spans="2:18" ht="18.75" customHeight="1">
      <c r="B33" s="126"/>
      <c r="C33" s="112"/>
      <c r="D33" s="489" t="s">
        <v>3</v>
      </c>
      <c r="E33" s="490"/>
      <c r="F33" s="98"/>
      <c r="G33" s="489" t="s">
        <v>138</v>
      </c>
      <c r="H33" s="490"/>
      <c r="I33" s="374"/>
      <c r="J33" s="372"/>
    </row>
    <row r="34" spans="2:18" ht="18.75" customHeight="1">
      <c r="B34" s="126"/>
      <c r="C34" s="112"/>
      <c r="D34" s="104" t="s">
        <v>113</v>
      </c>
      <c r="E34" s="105" t="s">
        <v>114</v>
      </c>
      <c r="F34" s="98"/>
      <c r="G34" s="104" t="s">
        <v>113</v>
      </c>
      <c r="H34" s="105" t="s">
        <v>114</v>
      </c>
      <c r="I34" s="374"/>
      <c r="J34" s="372"/>
    </row>
    <row r="35" spans="2:18" ht="18.75" customHeight="1">
      <c r="B35" s="126"/>
      <c r="C35" s="112"/>
      <c r="D35" s="102">
        <f>D31-(G35*D39)</f>
        <v>0</v>
      </c>
      <c r="E35" s="103">
        <f>E31-(H35*E39)</f>
        <v>0</v>
      </c>
      <c r="F35" s="98"/>
      <c r="G35" s="106">
        <f>ROUNDDOWN(G31,0)</f>
        <v>0</v>
      </c>
      <c r="H35" s="107">
        <f>ROUNDDOWN(H31,0)</f>
        <v>0</v>
      </c>
      <c r="I35" s="374"/>
      <c r="J35" s="372"/>
    </row>
    <row r="36" spans="2:18" ht="3" customHeight="1">
      <c r="B36" s="126"/>
      <c r="C36" s="114"/>
      <c r="D36" s="99"/>
      <c r="E36" s="99"/>
      <c r="F36" s="115"/>
      <c r="G36" s="99"/>
      <c r="H36" s="99"/>
      <c r="I36" s="374"/>
      <c r="J36" s="372"/>
    </row>
    <row r="37" spans="2:18" ht="18.75" customHeight="1">
      <c r="B37" s="126"/>
      <c r="C37" s="112"/>
      <c r="D37" s="489" t="s">
        <v>140</v>
      </c>
      <c r="E37" s="490"/>
      <c r="F37" s="98"/>
      <c r="G37" s="489" t="s">
        <v>141</v>
      </c>
      <c r="H37" s="490"/>
      <c r="I37" s="374"/>
      <c r="J37" s="372"/>
    </row>
    <row r="38" spans="2:18" ht="18.75" customHeight="1">
      <c r="B38" s="126"/>
      <c r="C38" s="112"/>
      <c r="D38" s="104" t="s">
        <v>113</v>
      </c>
      <c r="E38" s="105" t="s">
        <v>114</v>
      </c>
      <c r="F38" s="98"/>
      <c r="G38" s="491">
        <f>G35*H35</f>
        <v>0</v>
      </c>
      <c r="H38" s="492"/>
      <c r="I38" s="374"/>
      <c r="J38" s="372"/>
    </row>
    <row r="39" spans="2:18" ht="18.75" customHeight="1">
      <c r="B39" s="126"/>
      <c r="C39" s="112"/>
      <c r="D39" s="128">
        <f>Premissas!$E$31</f>
        <v>0.3</v>
      </c>
      <c r="E39" s="129">
        <f>Premissas!$F$31</f>
        <v>0.5</v>
      </c>
      <c r="F39" s="98"/>
      <c r="G39" s="493"/>
      <c r="H39" s="494"/>
      <c r="I39" s="374"/>
      <c r="J39" s="372"/>
    </row>
    <row r="40" spans="2:18" ht="5.25" customHeight="1">
      <c r="B40" s="126"/>
      <c r="C40" s="116"/>
      <c r="D40" s="375"/>
      <c r="E40" s="375"/>
      <c r="F40" s="118"/>
      <c r="G40" s="119"/>
      <c r="H40" s="119"/>
      <c r="I40" s="376"/>
      <c r="J40" s="372"/>
    </row>
    <row r="41" spans="2:18" ht="5.0999999999999996" customHeight="1">
      <c r="B41" s="126"/>
      <c r="C41" s="136"/>
      <c r="D41" s="136"/>
      <c r="E41" s="136"/>
      <c r="F41" s="136"/>
      <c r="G41" s="136"/>
      <c r="H41" s="136"/>
      <c r="I41" s="136"/>
      <c r="J41" s="372"/>
      <c r="K41" s="34"/>
      <c r="L41" s="93"/>
      <c r="M41" s="93"/>
      <c r="N41" s="93"/>
      <c r="O41" s="93"/>
      <c r="P41" s="93"/>
      <c r="Q41" s="93"/>
      <c r="R41" s="93"/>
    </row>
    <row r="42" spans="2:18" ht="18.75" customHeight="1">
      <c r="B42" s="126"/>
      <c r="C42" s="495" t="s">
        <v>133</v>
      </c>
      <c r="D42" s="496"/>
      <c r="E42" s="496"/>
      <c r="F42" s="496"/>
      <c r="G42" s="496"/>
      <c r="H42" s="496"/>
      <c r="I42" s="497"/>
      <c r="J42" s="127"/>
      <c r="K42" s="34"/>
    </row>
    <row r="43" spans="2:18" ht="3.75" customHeight="1">
      <c r="B43" s="126"/>
      <c r="C43" s="108"/>
      <c r="D43" s="109"/>
      <c r="E43" s="109"/>
      <c r="F43" s="110"/>
      <c r="G43" s="110"/>
      <c r="H43" s="110"/>
      <c r="I43" s="373"/>
      <c r="J43" s="372"/>
      <c r="K43" s="34"/>
    </row>
    <row r="44" spans="2:18" ht="18.75" customHeight="1">
      <c r="B44" s="126"/>
      <c r="C44" s="112"/>
      <c r="D44" s="489" t="s">
        <v>0</v>
      </c>
      <c r="E44" s="490"/>
      <c r="F44" s="97"/>
      <c r="G44" s="489" t="s">
        <v>137</v>
      </c>
      <c r="H44" s="490"/>
      <c r="I44" s="374"/>
      <c r="J44" s="372"/>
      <c r="K44" s="34"/>
    </row>
    <row r="45" spans="2:18" ht="18.75" customHeight="1">
      <c r="B45" s="126"/>
      <c r="C45" s="114"/>
      <c r="D45" s="104" t="s">
        <v>113</v>
      </c>
      <c r="E45" s="105" t="s">
        <v>114</v>
      </c>
      <c r="F45" s="100"/>
      <c r="G45" s="104" t="s">
        <v>113</v>
      </c>
      <c r="H45" s="105" t="s">
        <v>114</v>
      </c>
      <c r="I45" s="374"/>
      <c r="J45" s="372"/>
      <c r="K45" s="34"/>
    </row>
    <row r="46" spans="2:18" ht="18.75" customHeight="1">
      <c r="B46" s="126"/>
      <c r="C46" s="114"/>
      <c r="D46" s="128">
        <f>Premissas!B28</f>
        <v>0</v>
      </c>
      <c r="E46" s="129">
        <f>Premissas!C28</f>
        <v>0</v>
      </c>
      <c r="F46" s="133"/>
      <c r="G46" s="128">
        <f>D46/D54</f>
        <v>0</v>
      </c>
      <c r="H46" s="129">
        <f>E46/E54</f>
        <v>0</v>
      </c>
      <c r="I46" s="374"/>
      <c r="J46" s="372"/>
      <c r="K46" s="34"/>
    </row>
    <row r="47" spans="2:18" ht="4.5" customHeight="1">
      <c r="B47" s="126"/>
      <c r="C47" s="114"/>
      <c r="D47" s="101"/>
      <c r="E47" s="101"/>
      <c r="F47" s="115"/>
      <c r="G47" s="99"/>
      <c r="H47" s="99"/>
      <c r="I47" s="374"/>
      <c r="J47" s="372"/>
      <c r="K47" s="34"/>
    </row>
    <row r="48" spans="2:18" ht="18.75" customHeight="1">
      <c r="B48" s="126"/>
      <c r="C48" s="112"/>
      <c r="D48" s="489" t="s">
        <v>3</v>
      </c>
      <c r="E48" s="490"/>
      <c r="F48" s="98"/>
      <c r="G48" s="489" t="s">
        <v>138</v>
      </c>
      <c r="H48" s="490"/>
      <c r="I48" s="374"/>
      <c r="J48" s="372"/>
      <c r="K48" s="34"/>
    </row>
    <row r="49" spans="2:11" ht="18.75" customHeight="1">
      <c r="B49" s="126"/>
      <c r="C49" s="112"/>
      <c r="D49" s="104" t="s">
        <v>113</v>
      </c>
      <c r="E49" s="105" t="s">
        <v>114</v>
      </c>
      <c r="F49" s="98"/>
      <c r="G49" s="104" t="s">
        <v>113</v>
      </c>
      <c r="H49" s="105" t="s">
        <v>114</v>
      </c>
      <c r="I49" s="374"/>
      <c r="J49" s="372"/>
      <c r="K49" s="34"/>
    </row>
    <row r="50" spans="2:11" ht="18.75" customHeight="1">
      <c r="B50" s="126"/>
      <c r="C50" s="112"/>
      <c r="D50" s="128">
        <f>D46-(G50*D54)</f>
        <v>0</v>
      </c>
      <c r="E50" s="129">
        <f>E46-(H50*E54)</f>
        <v>0</v>
      </c>
      <c r="F50" s="133"/>
      <c r="G50" s="128">
        <f>ROUNDDOWN(G46,0)</f>
        <v>0</v>
      </c>
      <c r="H50" s="129">
        <f>ROUNDDOWN(H46,0)</f>
        <v>0</v>
      </c>
      <c r="I50" s="374"/>
      <c r="J50" s="372"/>
      <c r="K50" s="34"/>
    </row>
    <row r="51" spans="2:11" ht="4.5" customHeight="1">
      <c r="B51" s="126"/>
      <c r="C51" s="114"/>
      <c r="D51" s="99"/>
      <c r="E51" s="99"/>
      <c r="F51" s="115"/>
      <c r="G51" s="99"/>
      <c r="H51" s="99"/>
      <c r="I51" s="374"/>
      <c r="J51" s="372"/>
      <c r="K51" s="34"/>
    </row>
    <row r="52" spans="2:11" ht="18.75" customHeight="1">
      <c r="B52" s="126"/>
      <c r="C52" s="112"/>
      <c r="D52" s="489" t="s">
        <v>140</v>
      </c>
      <c r="E52" s="490"/>
      <c r="F52" s="98"/>
      <c r="G52" s="489" t="s">
        <v>141</v>
      </c>
      <c r="H52" s="490"/>
      <c r="I52" s="374"/>
      <c r="J52" s="372"/>
      <c r="K52" s="34"/>
    </row>
    <row r="53" spans="2:11" ht="18.75" customHeight="1">
      <c r="B53" s="126"/>
      <c r="C53" s="112"/>
      <c r="D53" s="104" t="s">
        <v>113</v>
      </c>
      <c r="E53" s="105" t="s">
        <v>114</v>
      </c>
      <c r="F53" s="98"/>
      <c r="G53" s="491">
        <f>G50*H50</f>
        <v>0</v>
      </c>
      <c r="H53" s="492"/>
      <c r="I53" s="374"/>
      <c r="J53" s="372"/>
      <c r="K53" s="34"/>
    </row>
    <row r="54" spans="2:11" ht="18.75" customHeight="1">
      <c r="B54" s="126"/>
      <c r="C54" s="112"/>
      <c r="D54" s="128">
        <f>Premissas!$E$31</f>
        <v>0.3</v>
      </c>
      <c r="E54" s="129">
        <f>Premissas!$F$31</f>
        <v>0.5</v>
      </c>
      <c r="F54" s="98"/>
      <c r="G54" s="493"/>
      <c r="H54" s="494"/>
      <c r="I54" s="374"/>
      <c r="J54" s="372"/>
      <c r="K54" s="34"/>
    </row>
    <row r="55" spans="2:11" ht="4.5" customHeight="1">
      <c r="B55" s="126"/>
      <c r="C55" s="116"/>
      <c r="D55" s="375"/>
      <c r="E55" s="375"/>
      <c r="F55" s="118"/>
      <c r="G55" s="119"/>
      <c r="H55" s="119"/>
      <c r="I55" s="376"/>
      <c r="J55" s="372"/>
      <c r="K55" s="34"/>
    </row>
    <row r="56" spans="2:11" ht="5.0999999999999996" customHeight="1"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2:11" ht="18.75" customHeight="1">
      <c r="B57" s="34"/>
      <c r="C57" s="495" t="s">
        <v>192</v>
      </c>
      <c r="D57" s="496"/>
      <c r="E57" s="496"/>
      <c r="F57" s="496"/>
      <c r="G57" s="496"/>
      <c r="H57" s="496"/>
      <c r="I57" s="497"/>
      <c r="J57" s="34"/>
      <c r="K57" s="34"/>
    </row>
    <row r="58" spans="2:11" ht="5.0999999999999996" customHeight="1">
      <c r="C58" s="108"/>
      <c r="D58" s="109"/>
      <c r="E58" s="109"/>
      <c r="F58" s="110"/>
      <c r="G58" s="110"/>
      <c r="H58" s="110"/>
      <c r="I58" s="373"/>
    </row>
    <row r="59" spans="2:11" ht="18.75" customHeight="1">
      <c r="C59" s="112"/>
      <c r="D59" s="489" t="s">
        <v>0</v>
      </c>
      <c r="E59" s="490"/>
      <c r="F59" s="97"/>
      <c r="G59" s="489" t="s">
        <v>137</v>
      </c>
      <c r="H59" s="490"/>
      <c r="I59" s="374"/>
    </row>
    <row r="60" spans="2:11" ht="18.75" customHeight="1">
      <c r="C60" s="114"/>
      <c r="D60" s="104" t="s">
        <v>113</v>
      </c>
      <c r="E60" s="105" t="s">
        <v>114</v>
      </c>
      <c r="F60" s="100"/>
      <c r="G60" s="104" t="s">
        <v>113</v>
      </c>
      <c r="H60" s="105" t="s">
        <v>114</v>
      </c>
      <c r="I60" s="374"/>
    </row>
    <row r="61" spans="2:11" ht="18.75" customHeight="1">
      <c r="C61" s="114"/>
      <c r="D61" s="128">
        <f>Premissas!B32</f>
        <v>0</v>
      </c>
      <c r="E61" s="129">
        <f>Premissas!C32</f>
        <v>0</v>
      </c>
      <c r="F61" s="133"/>
      <c r="G61" s="128">
        <f>D61/D69</f>
        <v>0</v>
      </c>
      <c r="H61" s="129">
        <f>E61/E69</f>
        <v>0</v>
      </c>
      <c r="I61" s="374"/>
    </row>
    <row r="62" spans="2:11" ht="5.0999999999999996" customHeight="1">
      <c r="C62" s="114"/>
      <c r="D62" s="101"/>
      <c r="E62" s="101"/>
      <c r="F62" s="115"/>
      <c r="G62" s="99"/>
      <c r="H62" s="99"/>
      <c r="I62" s="374"/>
    </row>
    <row r="63" spans="2:11" ht="18.75" customHeight="1">
      <c r="C63" s="112"/>
      <c r="D63" s="489" t="s">
        <v>3</v>
      </c>
      <c r="E63" s="490"/>
      <c r="F63" s="98"/>
      <c r="G63" s="489" t="s">
        <v>138</v>
      </c>
      <c r="H63" s="490"/>
      <c r="I63" s="374"/>
    </row>
    <row r="64" spans="2:11" ht="18.75" customHeight="1">
      <c r="C64" s="112"/>
      <c r="D64" s="104" t="s">
        <v>113</v>
      </c>
      <c r="E64" s="105" t="s">
        <v>114</v>
      </c>
      <c r="F64" s="98"/>
      <c r="G64" s="104" t="s">
        <v>113</v>
      </c>
      <c r="H64" s="105" t="s">
        <v>114</v>
      </c>
      <c r="I64" s="374"/>
    </row>
    <row r="65" spans="3:9" ht="18.75" customHeight="1">
      <c r="C65" s="112"/>
      <c r="D65" s="128">
        <f>D61-(G65*D69)</f>
        <v>0</v>
      </c>
      <c r="E65" s="129">
        <f>E61-(H65*E69)</f>
        <v>0</v>
      </c>
      <c r="F65" s="133"/>
      <c r="G65" s="128">
        <f>ROUNDDOWN(G61,0)</f>
        <v>0</v>
      </c>
      <c r="H65" s="129">
        <f>ROUNDDOWN(H61,0)</f>
        <v>0</v>
      </c>
      <c r="I65" s="374"/>
    </row>
    <row r="66" spans="3:9" ht="5.0999999999999996" customHeight="1">
      <c r="C66" s="114"/>
      <c r="D66" s="99"/>
      <c r="E66" s="99"/>
      <c r="F66" s="115"/>
      <c r="G66" s="99"/>
      <c r="H66" s="99"/>
      <c r="I66" s="374"/>
    </row>
    <row r="67" spans="3:9" ht="18.75" customHeight="1">
      <c r="C67" s="112"/>
      <c r="D67" s="489" t="s">
        <v>140</v>
      </c>
      <c r="E67" s="490"/>
      <c r="F67" s="98"/>
      <c r="G67" s="489" t="s">
        <v>141</v>
      </c>
      <c r="H67" s="490"/>
      <c r="I67" s="374"/>
    </row>
    <row r="68" spans="3:9" ht="18.75" customHeight="1">
      <c r="C68" s="112"/>
      <c r="D68" s="104" t="s">
        <v>113</v>
      </c>
      <c r="E68" s="105" t="s">
        <v>114</v>
      </c>
      <c r="F68" s="98"/>
      <c r="G68" s="491">
        <f>G65*H65</f>
        <v>0</v>
      </c>
      <c r="H68" s="492"/>
      <c r="I68" s="374"/>
    </row>
    <row r="69" spans="3:9" ht="18.75" customHeight="1">
      <c r="C69" s="112"/>
      <c r="D69" s="128">
        <f>Premissas!$E$31</f>
        <v>0.3</v>
      </c>
      <c r="E69" s="129">
        <f>Premissas!$F$31</f>
        <v>0.5</v>
      </c>
      <c r="F69" s="98"/>
      <c r="G69" s="493"/>
      <c r="H69" s="494"/>
      <c r="I69" s="374"/>
    </row>
    <row r="70" spans="3:9" ht="5.0999999999999996" customHeight="1">
      <c r="C70" s="116"/>
      <c r="D70" s="375"/>
      <c r="E70" s="375"/>
      <c r="F70" s="118"/>
      <c r="G70" s="119"/>
      <c r="H70" s="119"/>
      <c r="I70" s="376"/>
    </row>
    <row r="71" spans="3:9" ht="5.0999999999999996" customHeight="1">
      <c r="C71" s="136"/>
      <c r="D71" s="136"/>
      <c r="E71" s="136"/>
      <c r="F71" s="136"/>
      <c r="G71" s="136"/>
      <c r="H71" s="136"/>
      <c r="I71" s="136"/>
    </row>
    <row r="72" spans="3:9" ht="18.75" customHeight="1">
      <c r="C72" s="495" t="s">
        <v>193</v>
      </c>
      <c r="D72" s="496"/>
      <c r="E72" s="496"/>
      <c r="F72" s="496"/>
      <c r="G72" s="496"/>
      <c r="H72" s="496"/>
      <c r="I72" s="497"/>
    </row>
    <row r="73" spans="3:9" ht="5.0999999999999996" customHeight="1">
      <c r="C73" s="108"/>
      <c r="D73" s="109"/>
      <c r="E73" s="109"/>
      <c r="F73" s="110"/>
      <c r="G73" s="110"/>
      <c r="H73" s="110"/>
      <c r="I73" s="373"/>
    </row>
    <row r="74" spans="3:9" ht="18.75" customHeight="1">
      <c r="C74" s="112"/>
      <c r="D74" s="489" t="s">
        <v>0</v>
      </c>
      <c r="E74" s="490"/>
      <c r="F74" s="97"/>
      <c r="G74" s="489" t="s">
        <v>137</v>
      </c>
      <c r="H74" s="490"/>
      <c r="I74" s="374"/>
    </row>
    <row r="75" spans="3:9" ht="18.75" customHeight="1">
      <c r="C75" s="114"/>
      <c r="D75" s="104" t="s">
        <v>113</v>
      </c>
      <c r="E75" s="105" t="s">
        <v>114</v>
      </c>
      <c r="F75" s="100"/>
      <c r="G75" s="104" t="s">
        <v>113</v>
      </c>
      <c r="H75" s="105" t="s">
        <v>114</v>
      </c>
      <c r="I75" s="374"/>
    </row>
    <row r="76" spans="3:9" ht="18.75" customHeight="1">
      <c r="C76" s="114"/>
      <c r="D76" s="128">
        <f>Premissas!B36</f>
        <v>0</v>
      </c>
      <c r="E76" s="129">
        <f>Premissas!C36</f>
        <v>0</v>
      </c>
      <c r="F76" s="133"/>
      <c r="G76" s="128">
        <f>D76/D84</f>
        <v>0</v>
      </c>
      <c r="H76" s="129">
        <f>E76/E84</f>
        <v>0</v>
      </c>
      <c r="I76" s="374"/>
    </row>
    <row r="77" spans="3:9" ht="5.0999999999999996" customHeight="1">
      <c r="C77" s="114"/>
      <c r="D77" s="101"/>
      <c r="E77" s="101"/>
      <c r="F77" s="115"/>
      <c r="G77" s="99"/>
      <c r="H77" s="99"/>
      <c r="I77" s="374"/>
    </row>
    <row r="78" spans="3:9" ht="18.75" customHeight="1">
      <c r="C78" s="112"/>
      <c r="D78" s="489" t="s">
        <v>3</v>
      </c>
      <c r="E78" s="490"/>
      <c r="F78" s="98"/>
      <c r="G78" s="489" t="s">
        <v>138</v>
      </c>
      <c r="H78" s="490"/>
      <c r="I78" s="374"/>
    </row>
    <row r="79" spans="3:9" ht="18.75" customHeight="1">
      <c r="C79" s="112"/>
      <c r="D79" s="104" t="s">
        <v>113</v>
      </c>
      <c r="E79" s="105" t="s">
        <v>114</v>
      </c>
      <c r="F79" s="98"/>
      <c r="G79" s="104" t="s">
        <v>113</v>
      </c>
      <c r="H79" s="105" t="s">
        <v>114</v>
      </c>
      <c r="I79" s="374"/>
    </row>
    <row r="80" spans="3:9" ht="18.75" customHeight="1">
      <c r="C80" s="112"/>
      <c r="D80" s="128">
        <f>D76-(G80*D84)</f>
        <v>0</v>
      </c>
      <c r="E80" s="129">
        <f>E76-(H80*E84)</f>
        <v>0</v>
      </c>
      <c r="F80" s="133"/>
      <c r="G80" s="128">
        <f>ROUNDDOWN(G76,0)</f>
        <v>0</v>
      </c>
      <c r="H80" s="129">
        <f>ROUNDDOWN(H76,0)</f>
        <v>0</v>
      </c>
      <c r="I80" s="374"/>
    </row>
    <row r="81" spans="3:9" ht="5.0999999999999996" customHeight="1">
      <c r="C81" s="114"/>
      <c r="D81" s="99"/>
      <c r="E81" s="99"/>
      <c r="F81" s="115"/>
      <c r="G81" s="99"/>
      <c r="H81" s="99"/>
      <c r="I81" s="374"/>
    </row>
    <row r="82" spans="3:9" ht="18.75" customHeight="1">
      <c r="C82" s="112"/>
      <c r="D82" s="489" t="s">
        <v>140</v>
      </c>
      <c r="E82" s="490"/>
      <c r="F82" s="98"/>
      <c r="G82" s="489" t="s">
        <v>141</v>
      </c>
      <c r="H82" s="490"/>
      <c r="I82" s="374"/>
    </row>
    <row r="83" spans="3:9" ht="18.75" customHeight="1">
      <c r="C83" s="112"/>
      <c r="D83" s="104" t="s">
        <v>113</v>
      </c>
      <c r="E83" s="105" t="s">
        <v>114</v>
      </c>
      <c r="F83" s="98"/>
      <c r="G83" s="491">
        <f>G80*H80</f>
        <v>0</v>
      </c>
      <c r="H83" s="492"/>
      <c r="I83" s="374"/>
    </row>
    <row r="84" spans="3:9" ht="18.75" customHeight="1">
      <c r="C84" s="112"/>
      <c r="D84" s="128">
        <f>Premissas!$E$31</f>
        <v>0.3</v>
      </c>
      <c r="E84" s="129">
        <f>Premissas!$F$31</f>
        <v>0.5</v>
      </c>
      <c r="F84" s="98"/>
      <c r="G84" s="493"/>
      <c r="H84" s="494"/>
      <c r="I84" s="374"/>
    </row>
    <row r="85" spans="3:9" ht="18.75" customHeight="1">
      <c r="C85" s="116"/>
      <c r="D85" s="375"/>
      <c r="E85" s="375"/>
      <c r="F85" s="118"/>
      <c r="G85" s="119"/>
      <c r="H85" s="119"/>
      <c r="I85" s="376"/>
    </row>
    <row r="86" spans="3:9" ht="18.75" customHeight="1">
      <c r="C86" s="495" t="s">
        <v>200</v>
      </c>
      <c r="D86" s="496"/>
      <c r="E86" s="496"/>
      <c r="F86" s="496"/>
      <c r="G86" s="496"/>
      <c r="H86" s="496"/>
      <c r="I86" s="497"/>
    </row>
    <row r="87" spans="3:9" ht="5.0999999999999996" customHeight="1">
      <c r="C87" s="108"/>
      <c r="D87" s="109"/>
      <c r="E87" s="109"/>
      <c r="F87" s="110"/>
      <c r="G87" s="110"/>
      <c r="H87" s="110"/>
      <c r="I87" s="373"/>
    </row>
    <row r="88" spans="3:9" ht="18.75" customHeight="1">
      <c r="C88" s="112"/>
      <c r="D88" s="489" t="s">
        <v>0</v>
      </c>
      <c r="E88" s="490"/>
      <c r="F88" s="97"/>
      <c r="G88" s="489" t="s">
        <v>137</v>
      </c>
      <c r="H88" s="490"/>
      <c r="I88" s="374"/>
    </row>
    <row r="89" spans="3:9" ht="18.75" customHeight="1">
      <c r="C89" s="114"/>
      <c r="D89" s="104" t="s">
        <v>113</v>
      </c>
      <c r="E89" s="105" t="s">
        <v>114</v>
      </c>
      <c r="F89" s="100"/>
      <c r="G89" s="104" t="s">
        <v>113</v>
      </c>
      <c r="H89" s="105" t="s">
        <v>114</v>
      </c>
      <c r="I89" s="374"/>
    </row>
    <row r="90" spans="3:9" ht="18.75" customHeight="1">
      <c r="C90" s="114"/>
      <c r="D90" s="128">
        <f>Premissas!B40</f>
        <v>0</v>
      </c>
      <c r="E90" s="129">
        <f>Premissas!C40</f>
        <v>0</v>
      </c>
      <c r="F90" s="133"/>
      <c r="G90" s="128">
        <f>D90/D98</f>
        <v>0</v>
      </c>
      <c r="H90" s="129">
        <f>E90/E98</f>
        <v>0</v>
      </c>
      <c r="I90" s="374"/>
    </row>
    <row r="91" spans="3:9" ht="5.0999999999999996" customHeight="1">
      <c r="C91" s="114"/>
      <c r="D91" s="101"/>
      <c r="E91" s="101"/>
      <c r="F91" s="115"/>
      <c r="G91" s="99"/>
      <c r="H91" s="99"/>
      <c r="I91" s="374"/>
    </row>
    <row r="92" spans="3:9" ht="18.75" customHeight="1">
      <c r="C92" s="112"/>
      <c r="D92" s="489" t="s">
        <v>3</v>
      </c>
      <c r="E92" s="490"/>
      <c r="F92" s="98"/>
      <c r="G92" s="489" t="s">
        <v>138</v>
      </c>
      <c r="H92" s="490"/>
      <c r="I92" s="374"/>
    </row>
    <row r="93" spans="3:9" ht="18.75" customHeight="1">
      <c r="C93" s="112"/>
      <c r="D93" s="104" t="s">
        <v>113</v>
      </c>
      <c r="E93" s="105" t="s">
        <v>114</v>
      </c>
      <c r="F93" s="98"/>
      <c r="G93" s="104" t="s">
        <v>113</v>
      </c>
      <c r="H93" s="105" t="s">
        <v>114</v>
      </c>
      <c r="I93" s="374"/>
    </row>
    <row r="94" spans="3:9" ht="18.75" customHeight="1">
      <c r="C94" s="112"/>
      <c r="D94" s="128">
        <f>D90-(G94*D98)</f>
        <v>0</v>
      </c>
      <c r="E94" s="129">
        <f>E90-(H94*E98)</f>
        <v>0</v>
      </c>
      <c r="F94" s="133"/>
      <c r="G94" s="128">
        <f>ROUNDDOWN(G90,0)</f>
        <v>0</v>
      </c>
      <c r="H94" s="129">
        <f>ROUNDDOWN(H90,0)</f>
        <v>0</v>
      </c>
      <c r="I94" s="374"/>
    </row>
    <row r="95" spans="3:9" ht="5.0999999999999996" customHeight="1">
      <c r="C95" s="114"/>
      <c r="D95" s="99"/>
      <c r="E95" s="99"/>
      <c r="F95" s="115"/>
      <c r="G95" s="99"/>
      <c r="H95" s="99"/>
      <c r="I95" s="374"/>
    </row>
    <row r="96" spans="3:9" ht="18.75" customHeight="1">
      <c r="C96" s="112"/>
      <c r="D96" s="489" t="s">
        <v>140</v>
      </c>
      <c r="E96" s="490"/>
      <c r="F96" s="98"/>
      <c r="G96" s="489" t="s">
        <v>141</v>
      </c>
      <c r="H96" s="490"/>
      <c r="I96" s="374"/>
    </row>
    <row r="97" spans="3:9" ht="18.75" customHeight="1">
      <c r="C97" s="112"/>
      <c r="D97" s="104" t="s">
        <v>113</v>
      </c>
      <c r="E97" s="105" t="s">
        <v>114</v>
      </c>
      <c r="F97" s="98"/>
      <c r="G97" s="491">
        <f>G94*H94</f>
        <v>0</v>
      </c>
      <c r="H97" s="492"/>
      <c r="I97" s="374"/>
    </row>
    <row r="98" spans="3:9" ht="18.75" customHeight="1">
      <c r="C98" s="112"/>
      <c r="D98" s="128">
        <f>Premissas!$E$31</f>
        <v>0.3</v>
      </c>
      <c r="E98" s="129">
        <f>Premissas!$F$31</f>
        <v>0.5</v>
      </c>
      <c r="F98" s="98"/>
      <c r="G98" s="493"/>
      <c r="H98" s="494"/>
      <c r="I98" s="374"/>
    </row>
    <row r="99" spans="3:9" ht="5.0999999999999996" customHeight="1">
      <c r="C99" s="116"/>
      <c r="D99" s="375"/>
      <c r="E99" s="375"/>
      <c r="F99" s="118"/>
      <c r="G99" s="119"/>
      <c r="H99" s="119"/>
      <c r="I99" s="376"/>
    </row>
  </sheetData>
  <mergeCells count="52">
    <mergeCell ref="G38:H39"/>
    <mergeCell ref="C42:I42"/>
    <mergeCell ref="D44:E44"/>
    <mergeCell ref="G44:H44"/>
    <mergeCell ref="D29:E29"/>
    <mergeCell ref="D33:E33"/>
    <mergeCell ref="C12:I12"/>
    <mergeCell ref="C4:E5"/>
    <mergeCell ref="C6:E9"/>
    <mergeCell ref="D37:E37"/>
    <mergeCell ref="G37:H37"/>
    <mergeCell ref="D22:E22"/>
    <mergeCell ref="G14:H14"/>
    <mergeCell ref="D14:E14"/>
    <mergeCell ref="D78:E78"/>
    <mergeCell ref="G78:H78"/>
    <mergeCell ref="G4:I5"/>
    <mergeCell ref="G6:I9"/>
    <mergeCell ref="D48:E48"/>
    <mergeCell ref="G48:H48"/>
    <mergeCell ref="D52:E52"/>
    <mergeCell ref="G52:H52"/>
    <mergeCell ref="G53:H54"/>
    <mergeCell ref="C27:I27"/>
    <mergeCell ref="G29:H29"/>
    <mergeCell ref="G33:H33"/>
    <mergeCell ref="D18:E18"/>
    <mergeCell ref="G18:H18"/>
    <mergeCell ref="G23:H24"/>
    <mergeCell ref="G22:H22"/>
    <mergeCell ref="D67:E67"/>
    <mergeCell ref="G67:H67"/>
    <mergeCell ref="G68:H69"/>
    <mergeCell ref="C72:I72"/>
    <mergeCell ref="D74:E74"/>
    <mergeCell ref="G74:H74"/>
    <mergeCell ref="C57:I57"/>
    <mergeCell ref="D59:E59"/>
    <mergeCell ref="G59:H59"/>
    <mergeCell ref="D63:E63"/>
    <mergeCell ref="G63:H63"/>
    <mergeCell ref="D82:E82"/>
    <mergeCell ref="G82:H82"/>
    <mergeCell ref="G83:H84"/>
    <mergeCell ref="C86:I86"/>
    <mergeCell ref="D88:E88"/>
    <mergeCell ref="G88:H88"/>
    <mergeCell ref="D92:E92"/>
    <mergeCell ref="G92:H92"/>
    <mergeCell ref="D96:E96"/>
    <mergeCell ref="G96:H96"/>
    <mergeCell ref="G97:H98"/>
  </mergeCells>
  <phoneticPr fontId="30" type="noConversion"/>
  <pageMargins left="0.51181100000000002" right="0.51181100000000002" top="0.78740200000000005" bottom="0.78740200000000005" header="0.31496099999999999" footer="0.31496099999999999"/>
  <pageSetup orientation="portrait" r:id="rId1"/>
  <headerFooter>
    <oddFooter>&amp;C&amp;"Helvetica Neue,Regular"&amp;12&amp;K000000&amp;P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A1:IZ98"/>
  <sheetViews>
    <sheetView showGridLines="0" workbookViewId="0">
      <selection activeCell="G13" sqref="G13:H13"/>
    </sheetView>
  </sheetViews>
  <sheetFormatPr defaultColWidth="8.7109375" defaultRowHeight="18.75" customHeight="1"/>
  <cols>
    <col min="1" max="1" width="2.7109375" style="33" customWidth="1"/>
    <col min="2" max="3" width="0.85546875" style="33" customWidth="1"/>
    <col min="4" max="5" width="15.7109375" style="33" customWidth="1"/>
    <col min="6" max="6" width="1.7109375" style="33" customWidth="1"/>
    <col min="7" max="8" width="15.7109375" style="33" customWidth="1"/>
    <col min="9" max="11" width="0.85546875" style="33" customWidth="1"/>
    <col min="12" max="12" width="8.85546875" style="33" customWidth="1"/>
    <col min="13" max="13" width="6.28515625" style="33" customWidth="1"/>
    <col min="14" max="14" width="8.85546875" style="33" customWidth="1"/>
    <col min="15" max="15" width="1.28515625" style="33" customWidth="1"/>
    <col min="16" max="258" width="8.85546875" style="33" customWidth="1"/>
    <col min="259" max="16384" width="8.7109375" style="34"/>
  </cols>
  <sheetData>
    <row r="1" spans="1:260" s="93" customFormat="1" ht="18.75" customHeight="1"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  <c r="IY1" s="92"/>
      <c r="IZ1" s="92"/>
    </row>
    <row r="2" spans="1:260" s="93" customFormat="1" ht="18.75" customHeight="1"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  <c r="IY2" s="92"/>
      <c r="IZ2" s="92"/>
    </row>
    <row r="3" spans="1:260" s="93" customFormat="1" ht="18.75" customHeight="1"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  <c r="IY3" s="92"/>
      <c r="IZ3" s="92"/>
    </row>
    <row r="4" spans="1:260" s="93" customFormat="1" ht="18.75" customHeight="1">
      <c r="B4"/>
      <c r="C4" s="498" t="s">
        <v>151</v>
      </c>
      <c r="D4" s="499"/>
      <c r="E4" s="500"/>
      <c r="G4" s="498" t="s">
        <v>150</v>
      </c>
      <c r="H4" s="499"/>
      <c r="I4" s="500"/>
      <c r="J4"/>
      <c r="K4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</row>
    <row r="5" spans="1:260" s="93" customFormat="1" ht="18.75" customHeight="1">
      <c r="B5"/>
      <c r="C5" s="501"/>
      <c r="D5" s="502"/>
      <c r="E5" s="503"/>
      <c r="G5" s="501"/>
      <c r="H5" s="502"/>
      <c r="I5" s="503"/>
      <c r="J5"/>
      <c r="K5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</row>
    <row r="6" spans="1:260" s="93" customFormat="1" ht="12" customHeight="1">
      <c r="A6" s="135"/>
      <c r="B6"/>
      <c r="C6" s="504">
        <f>SUM(D26,G41,G55,G69,G83,G96)</f>
        <v>35</v>
      </c>
      <c r="D6" s="505"/>
      <c r="E6" s="506"/>
      <c r="G6" s="504">
        <f>G23+G38+G52+G66+G80+G93</f>
        <v>7</v>
      </c>
      <c r="H6" s="505"/>
      <c r="I6" s="506"/>
      <c r="J6"/>
      <c r="K6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  <c r="IY6" s="92"/>
      <c r="IZ6" s="92"/>
    </row>
    <row r="7" spans="1:260" s="93" customFormat="1" ht="12.75" customHeight="1">
      <c r="A7" s="135"/>
      <c r="B7"/>
      <c r="C7" s="507"/>
      <c r="D7" s="508"/>
      <c r="E7" s="509"/>
      <c r="G7" s="507"/>
      <c r="H7" s="508"/>
      <c r="I7" s="509"/>
      <c r="J7"/>
      <c r="K7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  <c r="IY7" s="92"/>
      <c r="IZ7" s="92"/>
    </row>
    <row r="8" spans="1:260" s="93" customFormat="1" ht="12.75" customHeight="1">
      <c r="A8" s="135"/>
      <c r="B8"/>
      <c r="C8" s="507"/>
      <c r="D8" s="508"/>
      <c r="E8" s="509"/>
      <c r="G8" s="507"/>
      <c r="H8" s="508"/>
      <c r="I8" s="509"/>
      <c r="J8"/>
      <c r="K8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  <c r="IY8" s="92"/>
      <c r="IZ8" s="92"/>
    </row>
    <row r="9" spans="1:260" s="93" customFormat="1" ht="11.25" customHeight="1">
      <c r="A9" s="135"/>
      <c r="B9"/>
      <c r="C9" s="510"/>
      <c r="D9" s="511"/>
      <c r="E9" s="512"/>
      <c r="G9" s="510"/>
      <c r="H9" s="511"/>
      <c r="I9" s="512"/>
      <c r="J9"/>
      <c r="K9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  <c r="IY9" s="92"/>
      <c r="IZ9" s="92"/>
    </row>
    <row r="10" spans="1:260" s="93" customFormat="1" ht="5.0999999999999996" customHeight="1" thickBot="1">
      <c r="D10" s="134"/>
      <c r="E10" s="134"/>
      <c r="F10" s="134"/>
      <c r="G10" s="134"/>
      <c r="H10" s="134"/>
      <c r="I10" s="134"/>
      <c r="J10" s="134"/>
      <c r="K10" s="134"/>
      <c r="L10" s="134"/>
      <c r="M10" s="92"/>
      <c r="N10"/>
      <c r="O10"/>
      <c r="P10"/>
      <c r="Q10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  <c r="IY10" s="92"/>
      <c r="IZ10" s="92"/>
    </row>
    <row r="11" spans="1:260" s="93" customFormat="1" ht="5.0999999999999996" customHeight="1">
      <c r="A11" s="122"/>
      <c r="B11" s="152"/>
      <c r="C11" s="153"/>
      <c r="D11" s="154"/>
      <c r="E11" s="154"/>
      <c r="F11" s="154"/>
      <c r="G11" s="154"/>
      <c r="H11" s="154"/>
      <c r="I11" s="154"/>
      <c r="J11" s="155"/>
      <c r="K11" s="134"/>
      <c r="L11" s="134"/>
      <c r="M11" s="92"/>
      <c r="N11"/>
      <c r="O11"/>
      <c r="P11"/>
      <c r="Q11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  <c r="IY11" s="92"/>
      <c r="IZ11" s="92"/>
    </row>
    <row r="12" spans="1:260" ht="15" customHeight="1">
      <c r="A12" s="122"/>
      <c r="B12" s="156"/>
      <c r="C12" s="495" t="s">
        <v>131</v>
      </c>
      <c r="D12" s="496"/>
      <c r="E12" s="496"/>
      <c r="F12" s="496"/>
      <c r="G12" s="496"/>
      <c r="H12" s="496"/>
      <c r="I12" s="497"/>
      <c r="J12" s="157"/>
    </row>
    <row r="13" spans="1:260" ht="29.25" customHeight="1">
      <c r="A13" s="122"/>
      <c r="B13" s="158"/>
      <c r="C13" s="137"/>
      <c r="D13" s="525" t="s">
        <v>0</v>
      </c>
      <c r="E13" s="526"/>
      <c r="F13" s="138"/>
      <c r="G13" s="527" t="s">
        <v>127</v>
      </c>
      <c r="H13" s="528"/>
      <c r="I13" s="111"/>
      <c r="J13" s="157"/>
      <c r="L13" s="34"/>
      <c r="M13" s="34"/>
      <c r="N13" s="34"/>
    </row>
    <row r="14" spans="1:260" ht="19.149999999999999" customHeight="1">
      <c r="A14" s="122"/>
      <c r="B14" s="158"/>
      <c r="C14" s="139"/>
      <c r="D14" s="104" t="s">
        <v>113</v>
      </c>
      <c r="E14" s="105" t="s">
        <v>114</v>
      </c>
      <c r="F14" s="136"/>
      <c r="G14" s="104" t="s">
        <v>113</v>
      </c>
      <c r="H14" s="105" t="s">
        <v>114</v>
      </c>
      <c r="I14" s="113"/>
      <c r="J14" s="157"/>
      <c r="L14" s="34"/>
      <c r="M14" s="34"/>
      <c r="N14" s="34"/>
      <c r="O14"/>
    </row>
    <row r="15" spans="1:260" ht="19.149999999999999" customHeight="1">
      <c r="A15" s="122"/>
      <c r="B15" s="158"/>
      <c r="C15" s="139"/>
      <c r="D15" s="297">
        <f>Premissas!$B$20</f>
        <v>2.2999999999999998</v>
      </c>
      <c r="E15" s="298">
        <f>Premissas!$C$20</f>
        <v>3</v>
      </c>
      <c r="F15" s="299"/>
      <c r="G15" s="300">
        <f>Premissas!$E$35</f>
        <v>0.3</v>
      </c>
      <c r="H15" s="301">
        <f>Premissas!$F$35</f>
        <v>0.6</v>
      </c>
      <c r="I15" s="113"/>
      <c r="J15" s="157"/>
      <c r="L15" s="34"/>
      <c r="M15" s="34"/>
      <c r="N15" s="34"/>
      <c r="O15" s="34"/>
    </row>
    <row r="16" spans="1:260" ht="5.25" customHeight="1">
      <c r="A16" s="122"/>
      <c r="B16" s="158"/>
      <c r="C16" s="139"/>
      <c r="D16" s="37"/>
      <c r="E16" s="95"/>
      <c r="F16" s="136"/>
      <c r="G16" s="136"/>
      <c r="H16" s="136"/>
      <c r="I16" s="113"/>
      <c r="J16" s="157"/>
      <c r="L16" s="34"/>
      <c r="M16" s="34"/>
      <c r="N16" s="34"/>
      <c r="O16" s="34"/>
    </row>
    <row r="17" spans="1:20" ht="28.5" customHeight="1">
      <c r="A17" s="122"/>
      <c r="B17" s="158"/>
      <c r="C17" s="139"/>
      <c r="D17" s="489" t="s">
        <v>3</v>
      </c>
      <c r="E17" s="490"/>
      <c r="F17" s="136"/>
      <c r="G17" s="520" t="s">
        <v>1</v>
      </c>
      <c r="H17" s="521"/>
      <c r="I17" s="113"/>
      <c r="J17" s="157"/>
      <c r="L17" s="34"/>
      <c r="M17" s="34"/>
      <c r="N17" s="34"/>
      <c r="O17" s="34"/>
    </row>
    <row r="18" spans="1:20" ht="19.149999999999999" customHeight="1">
      <c r="A18" s="122"/>
      <c r="B18" s="158"/>
      <c r="C18" s="139"/>
      <c r="D18" s="104" t="s">
        <v>113</v>
      </c>
      <c r="E18" s="105" t="s">
        <v>114</v>
      </c>
      <c r="F18" s="136"/>
      <c r="G18" s="104" t="s">
        <v>113</v>
      </c>
      <c r="H18" s="105" t="s">
        <v>114</v>
      </c>
      <c r="I18" s="113"/>
      <c r="J18" s="157"/>
      <c r="L18" s="34"/>
      <c r="M18" s="34"/>
      <c r="N18" s="34"/>
      <c r="O18" s="34"/>
    </row>
    <row r="19" spans="1:20" ht="19.149999999999999" customHeight="1">
      <c r="A19" s="122"/>
      <c r="B19" s="158"/>
      <c r="C19" s="139"/>
      <c r="D19" s="128">
        <f>D15-(G23*G15)</f>
        <v>0.19999999999999973</v>
      </c>
      <c r="E19" s="129">
        <f>E15-(H23*H15)</f>
        <v>0</v>
      </c>
      <c r="F19" s="136"/>
      <c r="G19" s="128">
        <f>D15/G15</f>
        <v>7.6666666666666661</v>
      </c>
      <c r="H19" s="129">
        <f>E15/H15</f>
        <v>5</v>
      </c>
      <c r="I19" s="113"/>
      <c r="J19" s="157"/>
      <c r="L19" s="34"/>
      <c r="M19" s="34"/>
      <c r="N19" s="34"/>
      <c r="O19" s="34"/>
      <c r="P19" s="34"/>
      <c r="Q19" s="34"/>
      <c r="R19" s="34"/>
      <c r="S19" s="34"/>
      <c r="T19" s="34"/>
    </row>
    <row r="20" spans="1:20" ht="5.0999999999999996" customHeight="1">
      <c r="A20" s="122"/>
      <c r="B20" s="158"/>
      <c r="C20" s="139"/>
      <c r="D20" s="37"/>
      <c r="E20" s="95"/>
      <c r="F20" s="136"/>
      <c r="G20" s="37"/>
      <c r="H20" s="37"/>
      <c r="I20" s="113"/>
      <c r="J20" s="157"/>
      <c r="L20" s="34"/>
      <c r="M20" s="34"/>
      <c r="N20" s="34"/>
      <c r="O20" s="34"/>
      <c r="P20" s="34"/>
      <c r="Q20" s="34"/>
      <c r="R20" s="34"/>
      <c r="S20" s="34"/>
      <c r="T20" s="34"/>
    </row>
    <row r="21" spans="1:20" ht="19.149999999999999" customHeight="1">
      <c r="A21" s="122"/>
      <c r="B21" s="158"/>
      <c r="C21" s="139"/>
      <c r="D21" s="489" t="s">
        <v>126</v>
      </c>
      <c r="E21" s="490"/>
      <c r="F21" s="136"/>
      <c r="G21" s="489" t="s">
        <v>4</v>
      </c>
      <c r="H21" s="490"/>
      <c r="I21" s="113"/>
      <c r="J21" s="157"/>
      <c r="M21" s="34"/>
      <c r="N21" s="34"/>
      <c r="O21" s="34"/>
      <c r="P21" s="34"/>
      <c r="Q21" s="34"/>
    </row>
    <row r="22" spans="1:20" ht="19.149999999999999" customHeight="1">
      <c r="A22" s="122"/>
      <c r="B22" s="158"/>
      <c r="C22" s="139"/>
      <c r="D22" s="104" t="s">
        <v>113</v>
      </c>
      <c r="E22" s="105" t="s">
        <v>114</v>
      </c>
      <c r="F22" s="136"/>
      <c r="G22" s="104" t="s">
        <v>113</v>
      </c>
      <c r="H22" s="105" t="s">
        <v>114</v>
      </c>
      <c r="I22" s="113"/>
      <c r="J22" s="157"/>
      <c r="M22" s="34"/>
      <c r="N22" s="34"/>
      <c r="O22" s="34"/>
      <c r="P22" s="34"/>
      <c r="Q22" s="34"/>
    </row>
    <row r="23" spans="1:20" ht="14.25">
      <c r="A23" s="122"/>
      <c r="B23" s="158"/>
      <c r="C23" s="139"/>
      <c r="D23" s="128">
        <f>Premissas!$E$31</f>
        <v>0.3</v>
      </c>
      <c r="E23" s="129">
        <f>Premissas!$F$31</f>
        <v>0.5</v>
      </c>
      <c r="F23" s="136"/>
      <c r="G23" s="128">
        <f>ROUNDDOWN(G19,0)</f>
        <v>7</v>
      </c>
      <c r="H23" s="129">
        <f>ROUNDDOWN(H19,0)</f>
        <v>5</v>
      </c>
      <c r="I23" s="113"/>
      <c r="J23" s="157"/>
      <c r="M23" s="34"/>
      <c r="N23" s="34"/>
      <c r="O23" s="34"/>
      <c r="P23" s="34"/>
      <c r="Q23" s="34"/>
    </row>
    <row r="24" spans="1:20" ht="5.0999999999999996" customHeight="1">
      <c r="A24" s="122"/>
      <c r="B24" s="158"/>
      <c r="C24" s="140"/>
      <c r="D24" s="136"/>
      <c r="E24" s="136"/>
      <c r="F24" s="95"/>
      <c r="G24" s="37"/>
      <c r="H24" s="37"/>
      <c r="I24" s="113"/>
      <c r="J24" s="157"/>
      <c r="M24" s="34"/>
      <c r="N24" s="34"/>
      <c r="O24" s="34"/>
      <c r="P24" s="34"/>
      <c r="Q24" s="34"/>
    </row>
    <row r="25" spans="1:20" ht="25.9" customHeight="1">
      <c r="A25" s="94"/>
      <c r="B25" s="159"/>
      <c r="C25" s="140"/>
      <c r="D25" s="522" t="s">
        <v>6</v>
      </c>
      <c r="E25" s="523"/>
      <c r="F25" s="523"/>
      <c r="G25" s="523"/>
      <c r="H25" s="524"/>
      <c r="I25" s="113"/>
      <c r="J25" s="157"/>
      <c r="N25" s="34"/>
      <c r="O25" s="34"/>
      <c r="P25" s="34"/>
    </row>
    <row r="26" spans="1:20" ht="25.9" customHeight="1">
      <c r="A26" s="94"/>
      <c r="B26" s="159"/>
      <c r="C26" s="140"/>
      <c r="D26" s="529">
        <f>G23*H23</f>
        <v>35</v>
      </c>
      <c r="E26" s="530"/>
      <c r="F26" s="530"/>
      <c r="G26" s="530"/>
      <c r="H26" s="531"/>
      <c r="I26" s="113"/>
      <c r="J26" s="157"/>
    </row>
    <row r="27" spans="1:20" ht="15" customHeight="1">
      <c r="A27" s="122"/>
      <c r="B27" s="158"/>
      <c r="C27" s="140"/>
      <c r="D27" s="532"/>
      <c r="E27" s="533"/>
      <c r="F27" s="533"/>
      <c r="G27" s="533"/>
      <c r="H27" s="534"/>
      <c r="I27" s="113"/>
      <c r="J27" s="157"/>
    </row>
    <row r="28" spans="1:20" ht="5.0999999999999996" customHeight="1">
      <c r="A28" s="122"/>
      <c r="B28" s="160"/>
      <c r="C28" s="141"/>
      <c r="D28" s="141"/>
      <c r="E28" s="141"/>
      <c r="F28" s="141"/>
      <c r="G28" s="141"/>
      <c r="H28" s="141"/>
      <c r="I28" s="113"/>
      <c r="J28" s="157"/>
    </row>
    <row r="29" spans="1:20" ht="5.0999999999999996" customHeight="1">
      <c r="A29" s="122"/>
      <c r="B29" s="158"/>
      <c r="C29" s="122"/>
      <c r="D29" s="122"/>
      <c r="E29" s="122"/>
      <c r="F29" s="122"/>
      <c r="G29" s="122"/>
      <c r="H29" s="122"/>
      <c r="I29" s="122"/>
      <c r="J29" s="157"/>
      <c r="K29"/>
    </row>
    <row r="30" spans="1:20" ht="5.0999999999999996" customHeight="1">
      <c r="A30" s="122"/>
      <c r="B30" s="158"/>
      <c r="C30" s="122"/>
      <c r="D30" s="122"/>
      <c r="E30" s="122"/>
      <c r="F30" s="122"/>
      <c r="G30" s="122"/>
      <c r="H30" s="122"/>
      <c r="I30" s="122"/>
      <c r="J30" s="157"/>
      <c r="K30"/>
    </row>
    <row r="31" spans="1:20" ht="15" customHeight="1">
      <c r="A31" s="36"/>
      <c r="B31" s="156"/>
      <c r="C31" s="495" t="s">
        <v>132</v>
      </c>
      <c r="D31" s="496"/>
      <c r="E31" s="496"/>
      <c r="F31" s="496"/>
      <c r="G31" s="496"/>
      <c r="H31" s="496"/>
      <c r="I31" s="497"/>
      <c r="J31" s="157"/>
      <c r="K31"/>
      <c r="M31" s="34"/>
      <c r="N31" s="34"/>
      <c r="O31" s="34"/>
      <c r="P31" s="34"/>
      <c r="Q31" s="34"/>
      <c r="R31" s="34"/>
      <c r="S31" s="34"/>
    </row>
    <row r="32" spans="1:20" ht="18.75" customHeight="1">
      <c r="A32" s="122"/>
      <c r="B32" s="158"/>
      <c r="C32" s="142"/>
      <c r="D32" s="516" t="s">
        <v>0</v>
      </c>
      <c r="E32" s="517"/>
      <c r="F32" s="143"/>
      <c r="G32" s="518" t="s">
        <v>5</v>
      </c>
      <c r="H32" s="519"/>
      <c r="I32" s="144"/>
      <c r="J32" s="157"/>
      <c r="K32"/>
    </row>
    <row r="33" spans="1:19" ht="18.75" customHeight="1">
      <c r="A33" s="122"/>
      <c r="B33" s="158"/>
      <c r="C33" s="145"/>
      <c r="D33" s="104" t="s">
        <v>113</v>
      </c>
      <c r="E33" s="105" t="s">
        <v>114</v>
      </c>
      <c r="F33" s="35"/>
      <c r="G33" s="104" t="s">
        <v>113</v>
      </c>
      <c r="H33" s="105" t="s">
        <v>114</v>
      </c>
      <c r="I33" s="146"/>
      <c r="J33" s="157"/>
      <c r="K33"/>
    </row>
    <row r="34" spans="1:19" ht="18.75" customHeight="1">
      <c r="A34" s="122"/>
      <c r="B34" s="158"/>
      <c r="C34" s="145"/>
      <c r="D34" s="297">
        <f>Premissas!$B$24</f>
        <v>0</v>
      </c>
      <c r="E34" s="298">
        <f>Premissas!$C$24</f>
        <v>0</v>
      </c>
      <c r="F34" s="302"/>
      <c r="G34" s="300">
        <f>Premissas!$E$35</f>
        <v>0.3</v>
      </c>
      <c r="H34" s="301">
        <f>Premissas!$F$35</f>
        <v>0.6</v>
      </c>
      <c r="I34" s="146"/>
      <c r="J34" s="157"/>
      <c r="K34"/>
      <c r="N34" s="34"/>
      <c r="O34" s="34"/>
      <c r="P34"/>
    </row>
    <row r="35" spans="1:19" ht="5.0999999999999996" customHeight="1">
      <c r="A35" s="122"/>
      <c r="B35" s="158"/>
      <c r="C35" s="147"/>
      <c r="D35" s="37"/>
      <c r="E35" s="95"/>
      <c r="F35" s="95"/>
      <c r="G35" s="37"/>
      <c r="H35" s="37"/>
      <c r="I35" s="146"/>
      <c r="J35" s="157"/>
      <c r="K35"/>
      <c r="N35" s="34"/>
      <c r="O35" s="34"/>
      <c r="P35"/>
    </row>
    <row r="36" spans="1:19" ht="18.75" customHeight="1">
      <c r="A36" s="122"/>
      <c r="B36" s="158"/>
      <c r="C36" s="147"/>
      <c r="D36" s="489" t="s">
        <v>3</v>
      </c>
      <c r="E36" s="490"/>
      <c r="F36" s="35"/>
      <c r="G36" s="520" t="s">
        <v>4</v>
      </c>
      <c r="H36" s="521"/>
      <c r="I36" s="146"/>
      <c r="J36" s="157"/>
      <c r="K36"/>
      <c r="N36" s="34"/>
      <c r="O36" s="34"/>
      <c r="P36"/>
    </row>
    <row r="37" spans="1:19" ht="18.75" customHeight="1">
      <c r="A37" s="122"/>
      <c r="B37" s="158"/>
      <c r="C37" s="145"/>
      <c r="D37" s="104" t="s">
        <v>113</v>
      </c>
      <c r="E37" s="105" t="s">
        <v>114</v>
      </c>
      <c r="F37" s="35"/>
      <c r="G37" s="104" t="s">
        <v>113</v>
      </c>
      <c r="H37" s="105" t="s">
        <v>114</v>
      </c>
      <c r="I37" s="146"/>
      <c r="J37" s="157"/>
    </row>
    <row r="38" spans="1:19" ht="18.75" customHeight="1">
      <c r="A38" s="122"/>
      <c r="B38" s="158"/>
      <c r="C38" s="145"/>
      <c r="D38" s="128">
        <f>D34-(G38*G34)</f>
        <v>0</v>
      </c>
      <c r="E38" s="129">
        <f>E34-(H38*H34)</f>
        <v>0</v>
      </c>
      <c r="F38" s="35"/>
      <c r="G38" s="128">
        <f>ROUNDDOWN(D42,0)</f>
        <v>0</v>
      </c>
      <c r="H38" s="129">
        <f>ROUNDDOWN(E42,0)</f>
        <v>0</v>
      </c>
      <c r="I38" s="146"/>
      <c r="J38" s="157"/>
    </row>
    <row r="39" spans="1:19" ht="5.0999999999999996" customHeight="1">
      <c r="A39" s="122"/>
      <c r="B39" s="158"/>
      <c r="C39" s="147"/>
      <c r="D39" s="37"/>
      <c r="E39" s="95"/>
      <c r="F39" s="95"/>
      <c r="G39" s="37"/>
      <c r="H39" s="37"/>
      <c r="I39" s="146"/>
      <c r="J39" s="157"/>
    </row>
    <row r="40" spans="1:19" ht="18.75" customHeight="1">
      <c r="A40" s="122"/>
      <c r="B40" s="158"/>
      <c r="C40" s="145"/>
      <c r="D40" s="489" t="s">
        <v>1</v>
      </c>
      <c r="E40" s="490"/>
      <c r="F40" s="35"/>
      <c r="G40" s="489" t="s">
        <v>6</v>
      </c>
      <c r="H40" s="490"/>
      <c r="I40" s="146"/>
      <c r="J40" s="157"/>
    </row>
    <row r="41" spans="1:19" ht="18.75" customHeight="1">
      <c r="A41" s="122"/>
      <c r="B41" s="158"/>
      <c r="C41" s="145"/>
      <c r="D41" s="104" t="s">
        <v>113</v>
      </c>
      <c r="E41" s="105" t="s">
        <v>114</v>
      </c>
      <c r="F41" s="35"/>
      <c r="G41" s="491">
        <f>G38*H38</f>
        <v>0</v>
      </c>
      <c r="H41" s="492"/>
      <c r="I41" s="146"/>
      <c r="J41" s="157"/>
    </row>
    <row r="42" spans="1:19" ht="18.75" customHeight="1">
      <c r="A42" s="122"/>
      <c r="B42" s="158"/>
      <c r="C42" s="145"/>
      <c r="D42" s="128">
        <f>D34/G34</f>
        <v>0</v>
      </c>
      <c r="E42" s="129">
        <f>E34/H34</f>
        <v>0</v>
      </c>
      <c r="F42" s="35"/>
      <c r="G42" s="493"/>
      <c r="H42" s="494"/>
      <c r="I42" s="146"/>
      <c r="J42" s="157"/>
    </row>
    <row r="43" spans="1:19" ht="5.0999999999999996" customHeight="1">
      <c r="A43" s="122"/>
      <c r="B43" s="158"/>
      <c r="C43" s="148"/>
      <c r="D43" s="149"/>
      <c r="E43" s="149"/>
      <c r="F43" s="150"/>
      <c r="G43" s="149"/>
      <c r="H43" s="149"/>
      <c r="I43" s="151"/>
      <c r="J43" s="157"/>
    </row>
    <row r="44" spans="1:19" ht="5.0999999999999996" customHeight="1">
      <c r="A44" s="122"/>
      <c r="B44" s="158"/>
      <c r="C44" s="94"/>
      <c r="D44" s="95"/>
      <c r="E44" s="95"/>
      <c r="F44" s="95"/>
      <c r="G44" s="95"/>
      <c r="H44" s="95"/>
      <c r="I44" s="122"/>
      <c r="J44" s="157"/>
    </row>
    <row r="45" spans="1:19" ht="15" customHeight="1">
      <c r="A45" s="122"/>
      <c r="B45" s="156"/>
      <c r="C45" s="495" t="s">
        <v>133</v>
      </c>
      <c r="D45" s="496"/>
      <c r="E45" s="496"/>
      <c r="F45" s="496"/>
      <c r="G45" s="496"/>
      <c r="H45" s="496"/>
      <c r="I45" s="497"/>
      <c r="J45" s="157"/>
      <c r="K45"/>
      <c r="M45" s="34"/>
      <c r="N45" s="34"/>
      <c r="O45" s="34"/>
      <c r="P45" s="34"/>
      <c r="Q45" s="34"/>
      <c r="R45" s="34"/>
      <c r="S45" s="34"/>
    </row>
    <row r="46" spans="1:19" ht="18.75" customHeight="1">
      <c r="A46" s="36"/>
      <c r="B46" s="159"/>
      <c r="C46" s="142"/>
      <c r="D46" s="516" t="s">
        <v>0</v>
      </c>
      <c r="E46" s="517"/>
      <c r="F46" s="143"/>
      <c r="G46" s="518" t="s">
        <v>5</v>
      </c>
      <c r="H46" s="519"/>
      <c r="I46" s="144"/>
      <c r="J46" s="161"/>
    </row>
    <row r="47" spans="1:19" ht="18.75" customHeight="1">
      <c r="A47" s="36"/>
      <c r="B47" s="159"/>
      <c r="C47" s="145"/>
      <c r="D47" s="104" t="s">
        <v>113</v>
      </c>
      <c r="E47" s="105" t="s">
        <v>114</v>
      </c>
      <c r="F47" s="35"/>
      <c r="G47" s="104" t="s">
        <v>113</v>
      </c>
      <c r="H47" s="105" t="s">
        <v>114</v>
      </c>
      <c r="I47" s="146"/>
      <c r="J47" s="161"/>
    </row>
    <row r="48" spans="1:19" ht="18.75" customHeight="1">
      <c r="A48" s="36"/>
      <c r="B48" s="159"/>
      <c r="C48" s="145"/>
      <c r="D48" s="297">
        <f>Premissas!$B$28</f>
        <v>0</v>
      </c>
      <c r="E48" s="298">
        <f>Premissas!$C$28</f>
        <v>0</v>
      </c>
      <c r="F48" s="302"/>
      <c r="G48" s="300">
        <f>Premissas!$E$35</f>
        <v>0.3</v>
      </c>
      <c r="H48" s="301">
        <f>Premissas!$F$35</f>
        <v>0.6</v>
      </c>
      <c r="I48" s="146"/>
      <c r="J48" s="161"/>
    </row>
    <row r="49" spans="1:17" ht="5.0999999999999996" customHeight="1">
      <c r="A49" s="36"/>
      <c r="B49" s="159"/>
      <c r="C49" s="147"/>
      <c r="D49" s="37"/>
      <c r="E49" s="95"/>
      <c r="F49" s="95"/>
      <c r="G49" s="37"/>
      <c r="H49" s="37"/>
      <c r="I49" s="146"/>
      <c r="J49" s="161"/>
    </row>
    <row r="50" spans="1:17" ht="18.75" customHeight="1">
      <c r="A50" s="36"/>
      <c r="B50" s="159"/>
      <c r="C50" s="147"/>
      <c r="D50" s="489" t="s">
        <v>3</v>
      </c>
      <c r="E50" s="490"/>
      <c r="F50" s="35"/>
      <c r="G50" s="520" t="s">
        <v>4</v>
      </c>
      <c r="H50" s="521"/>
      <c r="I50" s="146"/>
      <c r="J50" s="161"/>
      <c r="P50" s="34"/>
      <c r="Q50" s="34"/>
    </row>
    <row r="51" spans="1:17" ht="18.75" customHeight="1">
      <c r="A51" s="36"/>
      <c r="B51" s="159"/>
      <c r="C51" s="145"/>
      <c r="D51" s="104" t="s">
        <v>113</v>
      </c>
      <c r="E51" s="105" t="s">
        <v>114</v>
      </c>
      <c r="F51" s="35"/>
      <c r="G51" s="104" t="s">
        <v>113</v>
      </c>
      <c r="H51" s="105" t="s">
        <v>114</v>
      </c>
      <c r="I51" s="146" t="s">
        <v>2</v>
      </c>
      <c r="J51" s="161"/>
      <c r="P51" s="34"/>
      <c r="Q51" s="34"/>
    </row>
    <row r="52" spans="1:17" ht="18.75" customHeight="1">
      <c r="A52" s="36"/>
      <c r="B52" s="159"/>
      <c r="C52" s="145"/>
      <c r="D52" s="128">
        <f>D48-(G52*G48)</f>
        <v>0</v>
      </c>
      <c r="E52" s="129">
        <f>E48-(H52*H48)</f>
        <v>0</v>
      </c>
      <c r="F52" s="35"/>
      <c r="G52" s="128">
        <f>ROUNDDOWN(D56,0)</f>
        <v>0</v>
      </c>
      <c r="H52" s="129">
        <f>ROUNDDOWN(E56,0)</f>
        <v>0</v>
      </c>
      <c r="I52" s="146">
        <f>G52*H52</f>
        <v>0</v>
      </c>
      <c r="J52" s="161"/>
      <c r="P52" s="34"/>
      <c r="Q52" s="34"/>
    </row>
    <row r="53" spans="1:17" ht="5.0999999999999996" customHeight="1">
      <c r="A53" s="36"/>
      <c r="B53" s="159"/>
      <c r="C53" s="147"/>
      <c r="D53" s="37"/>
      <c r="E53" s="95"/>
      <c r="F53" s="95"/>
      <c r="G53" s="37"/>
      <c r="H53" s="37"/>
      <c r="I53" s="146"/>
      <c r="J53" s="161"/>
    </row>
    <row r="54" spans="1:17" ht="18.75" customHeight="1">
      <c r="A54" s="36"/>
      <c r="B54" s="159"/>
      <c r="C54" s="145"/>
      <c r="D54" s="489" t="s">
        <v>1</v>
      </c>
      <c r="E54" s="490"/>
      <c r="F54" s="35"/>
      <c r="G54" s="489" t="s">
        <v>6</v>
      </c>
      <c r="H54" s="490"/>
      <c r="I54" s="146"/>
      <c r="J54" s="161"/>
      <c r="O54"/>
      <c r="P54"/>
      <c r="Q54"/>
    </row>
    <row r="55" spans="1:17" ht="18.75" customHeight="1">
      <c r="A55" s="36"/>
      <c r="B55" s="159"/>
      <c r="C55" s="145"/>
      <c r="D55" s="104" t="s">
        <v>113</v>
      </c>
      <c r="E55" s="105" t="s">
        <v>114</v>
      </c>
      <c r="F55" s="35"/>
      <c r="G55" s="491">
        <f>G52*H52</f>
        <v>0</v>
      </c>
      <c r="H55" s="492"/>
      <c r="I55" s="146"/>
      <c r="J55" s="161"/>
      <c r="N55" s="34"/>
      <c r="O55"/>
      <c r="P55"/>
      <c r="Q55"/>
    </row>
    <row r="56" spans="1:17" ht="18.75" customHeight="1">
      <c r="A56" s="36"/>
      <c r="B56" s="159"/>
      <c r="C56" s="145"/>
      <c r="D56" s="128">
        <f>D48/G48</f>
        <v>0</v>
      </c>
      <c r="E56" s="129">
        <f>E48/H48</f>
        <v>0</v>
      </c>
      <c r="F56" s="35"/>
      <c r="G56" s="493"/>
      <c r="H56" s="494"/>
      <c r="I56" s="146"/>
      <c r="J56" s="161"/>
      <c r="N56" s="34"/>
      <c r="O56"/>
      <c r="P56"/>
      <c r="Q56"/>
    </row>
    <row r="57" spans="1:17" ht="5.0999999999999996" customHeight="1">
      <c r="A57" s="36"/>
      <c r="B57" s="159"/>
      <c r="C57" s="148"/>
      <c r="D57" s="162"/>
      <c r="E57" s="162"/>
      <c r="F57" s="150"/>
      <c r="G57" s="163"/>
      <c r="H57" s="163"/>
      <c r="I57" s="151"/>
      <c r="J57" s="161"/>
      <c r="N57" s="34"/>
      <c r="O57"/>
      <c r="P57"/>
      <c r="Q57"/>
    </row>
    <row r="58" spans="1:17" ht="5.0999999999999996" customHeight="1">
      <c r="A58"/>
      <c r="B58"/>
      <c r="C58"/>
      <c r="D58"/>
      <c r="E58"/>
      <c r="F58"/>
      <c r="G58"/>
      <c r="H58"/>
      <c r="I58"/>
      <c r="J58"/>
      <c r="K58"/>
      <c r="L58"/>
      <c r="N58" s="34"/>
      <c r="O58"/>
      <c r="P58"/>
      <c r="Q58"/>
    </row>
    <row r="59" spans="1:17" ht="18.75" customHeight="1">
      <c r="A59"/>
      <c r="B59"/>
      <c r="C59" s="495" t="s">
        <v>192</v>
      </c>
      <c r="D59" s="496"/>
      <c r="E59" s="496"/>
      <c r="F59" s="496"/>
      <c r="G59" s="496"/>
      <c r="H59" s="496"/>
      <c r="I59" s="497"/>
      <c r="J59"/>
      <c r="K59"/>
      <c r="L59"/>
      <c r="O59"/>
      <c r="P59"/>
      <c r="Q59"/>
    </row>
    <row r="60" spans="1:17" ht="18.75" customHeight="1">
      <c r="C60" s="142"/>
      <c r="D60" s="516" t="s">
        <v>0</v>
      </c>
      <c r="E60" s="517"/>
      <c r="F60" s="143"/>
      <c r="G60" s="518" t="s">
        <v>5</v>
      </c>
      <c r="H60" s="519"/>
      <c r="I60" s="144"/>
    </row>
    <row r="61" spans="1:17" ht="18.75" customHeight="1">
      <c r="C61" s="145"/>
      <c r="D61" s="104" t="s">
        <v>113</v>
      </c>
      <c r="E61" s="105" t="s">
        <v>114</v>
      </c>
      <c r="F61" s="35"/>
      <c r="G61" s="104" t="s">
        <v>113</v>
      </c>
      <c r="H61" s="105" t="s">
        <v>114</v>
      </c>
      <c r="I61" s="146"/>
    </row>
    <row r="62" spans="1:17" ht="18.75" customHeight="1">
      <c r="C62" s="145"/>
      <c r="D62" s="297">
        <f>Premissas!$B$32</f>
        <v>0</v>
      </c>
      <c r="E62" s="298">
        <f>Premissas!$C$32</f>
        <v>0</v>
      </c>
      <c r="F62" s="35"/>
      <c r="G62" s="300">
        <f>Premissas!$E$35</f>
        <v>0.3</v>
      </c>
      <c r="H62" s="301">
        <f>Premissas!$F$35</f>
        <v>0.6</v>
      </c>
      <c r="I62" s="146"/>
    </row>
    <row r="63" spans="1:17" ht="5.0999999999999996" customHeight="1">
      <c r="C63" s="147"/>
      <c r="D63" s="37"/>
      <c r="E63" s="95"/>
      <c r="F63" s="95"/>
      <c r="G63" s="37"/>
      <c r="H63" s="37"/>
      <c r="I63" s="146"/>
    </row>
    <row r="64" spans="1:17" ht="18.75" customHeight="1">
      <c r="C64" s="147"/>
      <c r="D64" s="489" t="s">
        <v>3</v>
      </c>
      <c r="E64" s="490"/>
      <c r="F64" s="35"/>
      <c r="G64" s="520" t="s">
        <v>4</v>
      </c>
      <c r="H64" s="521"/>
      <c r="I64" s="146"/>
    </row>
    <row r="65" spans="3:9" ht="18.75" customHeight="1">
      <c r="C65" s="145"/>
      <c r="D65" s="104" t="s">
        <v>113</v>
      </c>
      <c r="E65" s="105" t="s">
        <v>114</v>
      </c>
      <c r="F65" s="35"/>
      <c r="G65" s="104" t="s">
        <v>113</v>
      </c>
      <c r="H65" s="105" t="s">
        <v>114</v>
      </c>
      <c r="I65" s="146"/>
    </row>
    <row r="66" spans="3:9" ht="18.75" customHeight="1">
      <c r="C66" s="145"/>
      <c r="D66" s="128">
        <f>D62-(G66*G62)</f>
        <v>0</v>
      </c>
      <c r="E66" s="129">
        <f>E62-(H66*H62)</f>
        <v>0</v>
      </c>
      <c r="F66" s="35"/>
      <c r="G66" s="128">
        <f>ROUNDDOWN(D70,0)</f>
        <v>0</v>
      </c>
      <c r="H66" s="129">
        <f>ROUNDDOWN(E70,0)</f>
        <v>0</v>
      </c>
      <c r="I66" s="146"/>
    </row>
    <row r="67" spans="3:9" ht="5.0999999999999996" customHeight="1">
      <c r="C67" s="147"/>
      <c r="D67" s="37"/>
      <c r="E67" s="95"/>
      <c r="F67" s="95"/>
      <c r="G67" s="37"/>
      <c r="H67" s="37"/>
      <c r="I67" s="146"/>
    </row>
    <row r="68" spans="3:9" ht="18.75" customHeight="1">
      <c r="C68" s="145"/>
      <c r="D68" s="489" t="s">
        <v>1</v>
      </c>
      <c r="E68" s="490"/>
      <c r="F68" s="35"/>
      <c r="G68" s="489" t="s">
        <v>6</v>
      </c>
      <c r="H68" s="490"/>
      <c r="I68" s="146"/>
    </row>
    <row r="69" spans="3:9" ht="18.75" customHeight="1">
      <c r="C69" s="145"/>
      <c r="D69" s="104" t="s">
        <v>113</v>
      </c>
      <c r="E69" s="105" t="s">
        <v>114</v>
      </c>
      <c r="F69" s="35"/>
      <c r="G69" s="491">
        <f>G66*H66</f>
        <v>0</v>
      </c>
      <c r="H69" s="492"/>
      <c r="I69" s="146"/>
    </row>
    <row r="70" spans="3:9" ht="18.75" customHeight="1">
      <c r="C70" s="145"/>
      <c r="D70" s="128">
        <f>D62/G62</f>
        <v>0</v>
      </c>
      <c r="E70" s="129">
        <f>E62/H62</f>
        <v>0</v>
      </c>
      <c r="F70" s="35"/>
      <c r="G70" s="493"/>
      <c r="H70" s="494"/>
      <c r="I70" s="146"/>
    </row>
    <row r="71" spans="3:9" ht="5.0999999999999996" customHeight="1">
      <c r="C71" s="148"/>
      <c r="D71" s="149"/>
      <c r="E71" s="149"/>
      <c r="F71" s="150"/>
      <c r="G71" s="149"/>
      <c r="H71" s="149"/>
      <c r="I71" s="151"/>
    </row>
    <row r="72" spans="3:9" ht="5.0999999999999996" customHeight="1">
      <c r="C72" s="94"/>
      <c r="D72" s="95"/>
      <c r="E72" s="95"/>
      <c r="F72" s="95"/>
      <c r="G72" s="95"/>
      <c r="H72" s="95"/>
      <c r="I72" s="122"/>
    </row>
    <row r="73" spans="3:9" ht="18.75" customHeight="1">
      <c r="C73" s="495" t="s">
        <v>193</v>
      </c>
      <c r="D73" s="496"/>
      <c r="E73" s="496"/>
      <c r="F73" s="496"/>
      <c r="G73" s="496"/>
      <c r="H73" s="496"/>
      <c r="I73" s="497"/>
    </row>
    <row r="74" spans="3:9" ht="18.75" customHeight="1">
      <c r="C74" s="142"/>
      <c r="D74" s="516" t="s">
        <v>0</v>
      </c>
      <c r="E74" s="517"/>
      <c r="F74" s="143"/>
      <c r="G74" s="518" t="s">
        <v>5</v>
      </c>
      <c r="H74" s="519"/>
      <c r="I74" s="144"/>
    </row>
    <row r="75" spans="3:9" ht="18.75" customHeight="1">
      <c r="C75" s="145"/>
      <c r="D75" s="104" t="s">
        <v>113</v>
      </c>
      <c r="E75" s="105" t="s">
        <v>114</v>
      </c>
      <c r="F75" s="35"/>
      <c r="G75" s="104" t="s">
        <v>113</v>
      </c>
      <c r="H75" s="105" t="s">
        <v>114</v>
      </c>
      <c r="I75" s="146"/>
    </row>
    <row r="76" spans="3:9" ht="18.75" customHeight="1">
      <c r="C76" s="145"/>
      <c r="D76" s="297">
        <f>Premissas!$B$36</f>
        <v>0</v>
      </c>
      <c r="E76" s="298">
        <f>Premissas!C36</f>
        <v>0</v>
      </c>
      <c r="F76" s="35"/>
      <c r="G76" s="300">
        <f>Premissas!$E$35</f>
        <v>0.3</v>
      </c>
      <c r="H76" s="301">
        <f>Premissas!$F$35</f>
        <v>0.6</v>
      </c>
      <c r="I76" s="146"/>
    </row>
    <row r="77" spans="3:9" ht="5.0999999999999996" customHeight="1">
      <c r="C77" s="147"/>
      <c r="D77" s="37"/>
      <c r="E77" s="95"/>
      <c r="F77" s="95"/>
      <c r="G77" s="37"/>
      <c r="H77" s="37"/>
      <c r="I77" s="146"/>
    </row>
    <row r="78" spans="3:9" ht="18.75" customHeight="1">
      <c r="C78" s="147"/>
      <c r="D78" s="489" t="s">
        <v>3</v>
      </c>
      <c r="E78" s="490"/>
      <c r="F78" s="35"/>
      <c r="G78" s="520" t="s">
        <v>4</v>
      </c>
      <c r="H78" s="521"/>
      <c r="I78" s="146"/>
    </row>
    <row r="79" spans="3:9" ht="18.75" customHeight="1">
      <c r="C79" s="145"/>
      <c r="D79" s="104" t="s">
        <v>113</v>
      </c>
      <c r="E79" s="105" t="s">
        <v>114</v>
      </c>
      <c r="F79" s="35"/>
      <c r="G79" s="104" t="s">
        <v>113</v>
      </c>
      <c r="H79" s="105" t="s">
        <v>114</v>
      </c>
      <c r="I79" s="146" t="s">
        <v>2</v>
      </c>
    </row>
    <row r="80" spans="3:9" ht="18.75" customHeight="1">
      <c r="C80" s="145"/>
      <c r="D80" s="128">
        <f>D76-(G80*G76)</f>
        <v>0</v>
      </c>
      <c r="E80" s="129">
        <f>E76-(H80*H76)</f>
        <v>0</v>
      </c>
      <c r="F80" s="35"/>
      <c r="G80" s="128">
        <f>ROUNDDOWN(D84,0)</f>
        <v>0</v>
      </c>
      <c r="H80" s="129">
        <f>ROUNDDOWN(E84,0)</f>
        <v>0</v>
      </c>
      <c r="I80" s="146">
        <f>G80*H80</f>
        <v>0</v>
      </c>
    </row>
    <row r="81" spans="3:9" ht="5.0999999999999996" customHeight="1">
      <c r="C81" s="147"/>
      <c r="D81" s="37"/>
      <c r="E81" s="95"/>
      <c r="F81" s="95"/>
      <c r="G81" s="37"/>
      <c r="H81" s="37"/>
      <c r="I81" s="146"/>
    </row>
    <row r="82" spans="3:9" ht="18.75" customHeight="1">
      <c r="C82" s="145"/>
      <c r="D82" s="489" t="s">
        <v>1</v>
      </c>
      <c r="E82" s="490"/>
      <c r="F82" s="35"/>
      <c r="G82" s="489" t="s">
        <v>6</v>
      </c>
      <c r="H82" s="490"/>
      <c r="I82" s="146"/>
    </row>
    <row r="83" spans="3:9" ht="18.75" customHeight="1">
      <c r="C83" s="145"/>
      <c r="D83" s="104" t="s">
        <v>113</v>
      </c>
      <c r="E83" s="105" t="s">
        <v>114</v>
      </c>
      <c r="F83" s="35"/>
      <c r="G83" s="491">
        <f>G80*H80</f>
        <v>0</v>
      </c>
      <c r="H83" s="492"/>
      <c r="I83" s="146"/>
    </row>
    <row r="84" spans="3:9" ht="18.75" customHeight="1">
      <c r="C84" s="145"/>
      <c r="D84" s="128">
        <f>D76/G76</f>
        <v>0</v>
      </c>
      <c r="E84" s="129">
        <f>E76/H76</f>
        <v>0</v>
      </c>
      <c r="F84" s="35"/>
      <c r="G84" s="493"/>
      <c r="H84" s="494"/>
      <c r="I84" s="146"/>
    </row>
    <row r="85" spans="3:9" ht="5.0999999999999996" customHeight="1">
      <c r="C85" s="148"/>
      <c r="D85" s="162"/>
      <c r="E85" s="162"/>
      <c r="F85" s="150"/>
      <c r="G85" s="163"/>
      <c r="H85" s="163"/>
      <c r="I85" s="151"/>
    </row>
    <row r="86" spans="3:9" ht="18.75" customHeight="1">
      <c r="C86" s="513" t="s">
        <v>200</v>
      </c>
      <c r="D86" s="514"/>
      <c r="E86" s="514"/>
      <c r="F86" s="514"/>
      <c r="G86" s="514"/>
      <c r="H86" s="514"/>
      <c r="I86" s="515"/>
    </row>
    <row r="87" spans="3:9" ht="18.75" customHeight="1">
      <c r="C87" s="112"/>
      <c r="D87" s="516" t="s">
        <v>0</v>
      </c>
      <c r="E87" s="517"/>
      <c r="F87" s="143"/>
      <c r="G87" s="518" t="s">
        <v>5</v>
      </c>
      <c r="H87" s="519"/>
      <c r="I87" s="113"/>
    </row>
    <row r="88" spans="3:9" ht="18.75" customHeight="1">
      <c r="C88" s="114"/>
      <c r="D88" s="104" t="s">
        <v>113</v>
      </c>
      <c r="E88" s="105" t="s">
        <v>114</v>
      </c>
      <c r="F88" s="35"/>
      <c r="G88" s="104" t="s">
        <v>113</v>
      </c>
      <c r="H88" s="105" t="s">
        <v>114</v>
      </c>
      <c r="I88" s="113"/>
    </row>
    <row r="89" spans="3:9" ht="18.75" customHeight="1">
      <c r="C89" s="114"/>
      <c r="D89" s="297">
        <f>Premissas!B40</f>
        <v>0</v>
      </c>
      <c r="E89" s="298">
        <f>Premissas!$C$40</f>
        <v>0</v>
      </c>
      <c r="F89" s="35"/>
      <c r="G89" s="300">
        <f>Premissas!$E$35</f>
        <v>0.3</v>
      </c>
      <c r="H89" s="301">
        <f>Premissas!$F$35</f>
        <v>0.6</v>
      </c>
      <c r="I89" s="113"/>
    </row>
    <row r="90" spans="3:9" ht="5.0999999999999996" customHeight="1">
      <c r="C90" s="114"/>
      <c r="D90" s="37"/>
      <c r="E90" s="95"/>
      <c r="F90" s="95"/>
      <c r="G90" s="37"/>
      <c r="H90" s="37"/>
      <c r="I90" s="113"/>
    </row>
    <row r="91" spans="3:9" ht="18.75" customHeight="1">
      <c r="C91" s="112"/>
      <c r="D91" s="489" t="s">
        <v>3</v>
      </c>
      <c r="E91" s="490"/>
      <c r="F91" s="35"/>
      <c r="G91" s="520" t="s">
        <v>4</v>
      </c>
      <c r="H91" s="521"/>
      <c r="I91" s="113"/>
    </row>
    <row r="92" spans="3:9" ht="18.75" customHeight="1">
      <c r="C92" s="112"/>
      <c r="D92" s="104" t="s">
        <v>113</v>
      </c>
      <c r="E92" s="105" t="s">
        <v>114</v>
      </c>
      <c r="F92" s="35"/>
      <c r="G92" s="104" t="s">
        <v>113</v>
      </c>
      <c r="H92" s="105" t="s">
        <v>114</v>
      </c>
      <c r="I92" s="113"/>
    </row>
    <row r="93" spans="3:9" ht="18.75" customHeight="1">
      <c r="C93" s="112"/>
      <c r="D93" s="128">
        <f>D89-(G93*G89)</f>
        <v>0</v>
      </c>
      <c r="E93" s="129">
        <f>E89-(H93*H89)</f>
        <v>0</v>
      </c>
      <c r="F93" s="35"/>
      <c r="G93" s="128">
        <f>ROUNDDOWN(D97,0)</f>
        <v>0</v>
      </c>
      <c r="H93" s="129">
        <f>ROUNDDOWN(E97,0)</f>
        <v>0</v>
      </c>
      <c r="I93" s="113"/>
    </row>
    <row r="94" spans="3:9" ht="5.0999999999999996" customHeight="1">
      <c r="C94" s="114"/>
      <c r="D94" s="37"/>
      <c r="E94" s="95"/>
      <c r="F94" s="95"/>
      <c r="G94" s="37"/>
      <c r="H94" s="37"/>
      <c r="I94" s="113"/>
    </row>
    <row r="95" spans="3:9" ht="18.75" customHeight="1">
      <c r="C95" s="112"/>
      <c r="D95" s="489" t="s">
        <v>1</v>
      </c>
      <c r="E95" s="490"/>
      <c r="F95" s="35"/>
      <c r="G95" s="489" t="s">
        <v>6</v>
      </c>
      <c r="H95" s="490"/>
      <c r="I95" s="113"/>
    </row>
    <row r="96" spans="3:9" ht="18.75" customHeight="1">
      <c r="C96" s="112"/>
      <c r="D96" s="104" t="s">
        <v>113</v>
      </c>
      <c r="E96" s="105" t="s">
        <v>114</v>
      </c>
      <c r="F96" s="35"/>
      <c r="G96" s="491">
        <f>G93*H93</f>
        <v>0</v>
      </c>
      <c r="H96" s="492"/>
      <c r="I96" s="113"/>
    </row>
    <row r="97" spans="3:9" ht="18.75" customHeight="1">
      <c r="C97" s="112"/>
      <c r="D97" s="128">
        <f>D89/G89</f>
        <v>0</v>
      </c>
      <c r="E97" s="129">
        <f>E89/H89</f>
        <v>0</v>
      </c>
      <c r="F97" s="35"/>
      <c r="G97" s="493"/>
      <c r="H97" s="494"/>
      <c r="I97" s="113"/>
    </row>
    <row r="98" spans="3:9" ht="5.0999999999999996" customHeight="1">
      <c r="C98" s="116"/>
      <c r="D98" s="117"/>
      <c r="E98" s="117"/>
      <c r="F98" s="118"/>
      <c r="G98" s="119"/>
      <c r="H98" s="119"/>
      <c r="I98" s="120"/>
    </row>
  </sheetData>
  <mergeCells count="53">
    <mergeCell ref="G55:H56"/>
    <mergeCell ref="G32:H32"/>
    <mergeCell ref="D13:E13"/>
    <mergeCell ref="D17:E17"/>
    <mergeCell ref="G13:H13"/>
    <mergeCell ref="D32:E32"/>
    <mergeCell ref="D36:E36"/>
    <mergeCell ref="D21:E21"/>
    <mergeCell ref="D26:H27"/>
    <mergeCell ref="D40:E40"/>
    <mergeCell ref="D46:E46"/>
    <mergeCell ref="D50:E50"/>
    <mergeCell ref="G46:H46"/>
    <mergeCell ref="G50:H50"/>
    <mergeCell ref="D54:E54"/>
    <mergeCell ref="G54:H54"/>
    <mergeCell ref="G17:H17"/>
    <mergeCell ref="G21:H21"/>
    <mergeCell ref="D25:H25"/>
    <mergeCell ref="C12:I12"/>
    <mergeCell ref="C4:E5"/>
    <mergeCell ref="C6:E9"/>
    <mergeCell ref="G4:I5"/>
    <mergeCell ref="G6:I9"/>
    <mergeCell ref="G36:H36"/>
    <mergeCell ref="G40:H40"/>
    <mergeCell ref="G41:H42"/>
    <mergeCell ref="C31:I31"/>
    <mergeCell ref="C45:I45"/>
    <mergeCell ref="C59:I59"/>
    <mergeCell ref="D60:E60"/>
    <mergeCell ref="G60:H60"/>
    <mergeCell ref="D64:E64"/>
    <mergeCell ref="G64:H64"/>
    <mergeCell ref="D68:E68"/>
    <mergeCell ref="G68:H68"/>
    <mergeCell ref="G69:H70"/>
    <mergeCell ref="C73:I73"/>
    <mergeCell ref="D74:E74"/>
    <mergeCell ref="G74:H74"/>
    <mergeCell ref="D78:E78"/>
    <mergeCell ref="G78:H78"/>
    <mergeCell ref="D82:E82"/>
    <mergeCell ref="G82:H82"/>
    <mergeCell ref="G83:H84"/>
    <mergeCell ref="D95:E95"/>
    <mergeCell ref="G95:H95"/>
    <mergeCell ref="G96:H97"/>
    <mergeCell ref="C86:I86"/>
    <mergeCell ref="D87:E87"/>
    <mergeCell ref="G87:H87"/>
    <mergeCell ref="D91:E91"/>
    <mergeCell ref="G91:H91"/>
  </mergeCells>
  <pageMargins left="0.51181100000000002" right="0.51181100000000002" top="0.78740200000000005" bottom="0.78740200000000005" header="0.31496099999999999" footer="0.31496099999999999"/>
  <pageSetup orientation="portrait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4:IV41"/>
  <sheetViews>
    <sheetView showGridLines="0" zoomScale="80" zoomScaleNormal="80" workbookViewId="0">
      <pane xSplit="2" ySplit="6" topLeftCell="C37" activePane="bottomRight" state="frozen"/>
      <selection pane="topRight" activeCell="C1" sqref="C1"/>
      <selection pane="bottomLeft" activeCell="A7" sqref="A7"/>
      <selection pane="bottomRight"/>
    </sheetView>
  </sheetViews>
  <sheetFormatPr defaultColWidth="16.28515625" defaultRowHeight="19.899999999999999" customHeight="1"/>
  <cols>
    <col min="1" max="1" width="2.7109375" style="2" customWidth="1"/>
    <col min="2" max="2" width="65.28515625" style="41" bestFit="1" customWidth="1"/>
    <col min="3" max="5" width="16.28515625" style="2" customWidth="1"/>
    <col min="6" max="6" width="19.28515625" style="2" customWidth="1"/>
    <col min="7" max="7" width="16.28515625" style="41" customWidth="1"/>
    <col min="8" max="8" width="23" style="42" customWidth="1"/>
    <col min="9" max="9" width="16.28515625" style="43" customWidth="1"/>
    <col min="10" max="10" width="31.5703125" style="2" bestFit="1" customWidth="1"/>
    <col min="11" max="256" width="16.28515625" style="2" customWidth="1"/>
    <col min="257" max="16384" width="16.28515625" style="1"/>
  </cols>
  <sheetData>
    <row r="4" spans="2:12" ht="20.25" customHeight="1">
      <c r="B4" s="377" t="s">
        <v>203</v>
      </c>
      <c r="C4" s="377"/>
      <c r="D4" s="377"/>
      <c r="E4" s="377"/>
      <c r="F4" s="377"/>
      <c r="G4" s="377"/>
      <c r="H4" s="377"/>
      <c r="I4" s="377"/>
      <c r="J4" s="377"/>
    </row>
    <row r="5" spans="2:12" ht="20.25" customHeight="1">
      <c r="B5" s="34"/>
      <c r="C5" s="34"/>
      <c r="D5" s="34"/>
      <c r="E5" s="34"/>
      <c r="F5" s="34"/>
      <c r="G5" s="34"/>
      <c r="H5" s="34"/>
      <c r="I5" s="34"/>
      <c r="J5" s="34"/>
      <c r="K5"/>
    </row>
    <row r="6" spans="2:12" ht="37.5" customHeight="1">
      <c r="B6" s="377" t="s">
        <v>9</v>
      </c>
      <c r="C6" s="378" t="s">
        <v>10</v>
      </c>
      <c r="D6" s="378" t="s">
        <v>11</v>
      </c>
      <c r="E6" s="378" t="s">
        <v>12</v>
      </c>
      <c r="F6" s="378" t="s">
        <v>95</v>
      </c>
      <c r="G6" s="378" t="s">
        <v>94</v>
      </c>
      <c r="H6" s="378" t="s">
        <v>32</v>
      </c>
      <c r="I6" s="378" t="s">
        <v>88</v>
      </c>
      <c r="J6" s="378" t="s">
        <v>152</v>
      </c>
    </row>
    <row r="7" spans="2:12" ht="20.100000000000001" customHeight="1">
      <c r="B7" s="379" t="s">
        <v>43</v>
      </c>
      <c r="C7" s="380" t="s">
        <v>13</v>
      </c>
      <c r="D7" s="381">
        <f>('Cálculo de Módulos Plastwall'!C6/2)*(1+10%)</f>
        <v>46.2</v>
      </c>
      <c r="E7" s="382">
        <v>3.65</v>
      </c>
      <c r="F7" s="382">
        <f>E7*(1+Premissas!$L$18)</f>
        <v>4.7450000000000001</v>
      </c>
      <c r="G7" s="383">
        <f>E7*D7</f>
        <v>168.63</v>
      </c>
      <c r="H7" s="384">
        <f t="shared" ref="H7:H21" si="0">F7*D7</f>
        <v>219.21900000000002</v>
      </c>
      <c r="I7" s="384">
        <f>H7-G7</f>
        <v>50.589000000000027</v>
      </c>
      <c r="J7" s="385" t="s">
        <v>80</v>
      </c>
      <c r="K7" s="1"/>
      <c r="L7" s="1"/>
    </row>
    <row r="8" spans="2:12" ht="20.100000000000001" customHeight="1">
      <c r="B8" s="386" t="s">
        <v>14</v>
      </c>
      <c r="C8" s="387" t="s">
        <v>15</v>
      </c>
      <c r="D8" s="388">
        <f>'Dashboard Mod. Espaçado'!$G$6</f>
        <v>7</v>
      </c>
      <c r="E8" s="389">
        <v>1.56</v>
      </c>
      <c r="F8" s="389">
        <f>E8*(1+Premissas!$L$18)</f>
        <v>2.028</v>
      </c>
      <c r="G8" s="390">
        <f t="shared" ref="G8:G35" si="1">E8*D8</f>
        <v>10.92</v>
      </c>
      <c r="H8" s="391">
        <f t="shared" si="0"/>
        <v>14.196</v>
      </c>
      <c r="I8" s="391">
        <f t="shared" ref="I8:I24" si="2">E8*1.3</f>
        <v>2.028</v>
      </c>
      <c r="J8" s="392" t="s">
        <v>210</v>
      </c>
      <c r="K8" s="1"/>
      <c r="L8" s="1"/>
    </row>
    <row r="9" spans="2:12" ht="20.100000000000001" customHeight="1">
      <c r="B9" s="386" t="s">
        <v>16</v>
      </c>
      <c r="C9" s="387" t="s">
        <v>15</v>
      </c>
      <c r="D9" s="388">
        <f>'Dashboard Mod. Espaçado'!$G$6</f>
        <v>7</v>
      </c>
      <c r="E9" s="389">
        <v>1.56</v>
      </c>
      <c r="F9" s="389">
        <f>E9*(1+Premissas!$L$18)</f>
        <v>2.028</v>
      </c>
      <c r="G9" s="390">
        <f t="shared" si="1"/>
        <v>10.92</v>
      </c>
      <c r="H9" s="391">
        <f t="shared" si="0"/>
        <v>14.196</v>
      </c>
      <c r="I9" s="391">
        <f t="shared" si="2"/>
        <v>2.028</v>
      </c>
      <c r="J9" s="392" t="s">
        <v>210</v>
      </c>
      <c r="K9" s="1"/>
      <c r="L9" s="1"/>
    </row>
    <row r="10" spans="2:12" ht="20.100000000000001" customHeight="1">
      <c r="B10" s="386" t="s">
        <v>41</v>
      </c>
      <c r="C10" s="387" t="s">
        <v>15</v>
      </c>
      <c r="D10" s="388">
        <f>'Dashboard Mod. Espaçado'!$G$6</f>
        <v>7</v>
      </c>
      <c r="E10" s="389">
        <v>4.6399999999999997</v>
      </c>
      <c r="F10" s="389">
        <f>E10*(1+Premissas!$L$18)</f>
        <v>6.032</v>
      </c>
      <c r="G10" s="390">
        <f t="shared" si="1"/>
        <v>32.479999999999997</v>
      </c>
      <c r="H10" s="391">
        <f t="shared" si="0"/>
        <v>42.224000000000004</v>
      </c>
      <c r="I10" s="391">
        <f t="shared" si="2"/>
        <v>6.032</v>
      </c>
      <c r="J10" s="392" t="s">
        <v>210</v>
      </c>
      <c r="K10" s="1"/>
      <c r="L10" s="1"/>
    </row>
    <row r="11" spans="2:12" ht="20.100000000000001" customHeight="1">
      <c r="B11" s="386" t="s">
        <v>44</v>
      </c>
      <c r="C11" s="387" t="s">
        <v>15</v>
      </c>
      <c r="D11" s="393">
        <v>2</v>
      </c>
      <c r="E11" s="389">
        <v>1.89</v>
      </c>
      <c r="F11" s="389">
        <f>E11*(1+Premissas!$L$18)</f>
        <v>2.4569999999999999</v>
      </c>
      <c r="G11" s="390">
        <f t="shared" si="1"/>
        <v>3.78</v>
      </c>
      <c r="H11" s="391">
        <f t="shared" si="0"/>
        <v>4.9139999999999997</v>
      </c>
      <c r="I11" s="391">
        <f t="shared" si="2"/>
        <v>2.4569999999999999</v>
      </c>
      <c r="J11" s="392"/>
      <c r="K11" s="1"/>
      <c r="L11" s="1"/>
    </row>
    <row r="12" spans="2:12" ht="20.100000000000001" customHeight="1">
      <c r="B12" s="394" t="s">
        <v>17</v>
      </c>
      <c r="C12" s="387" t="s">
        <v>15</v>
      </c>
      <c r="D12" s="395">
        <f>'Dashboard Mod. Espaçado'!G6</f>
        <v>7</v>
      </c>
      <c r="E12" s="389">
        <v>3.4</v>
      </c>
      <c r="F12" s="389">
        <f>E12*(1+Premissas!$L$18)</f>
        <v>4.42</v>
      </c>
      <c r="G12" s="390">
        <f t="shared" si="1"/>
        <v>23.8</v>
      </c>
      <c r="H12" s="391">
        <f t="shared" si="0"/>
        <v>30.939999999999998</v>
      </c>
      <c r="I12" s="391">
        <f t="shared" si="2"/>
        <v>4.42</v>
      </c>
      <c r="J12" s="392" t="s">
        <v>81</v>
      </c>
      <c r="K12" s="1"/>
      <c r="L12" s="1"/>
    </row>
    <row r="13" spans="2:12" ht="20.100000000000001" customHeight="1">
      <c r="B13" s="394" t="s">
        <v>18</v>
      </c>
      <c r="C13" s="387" t="s">
        <v>15</v>
      </c>
      <c r="D13" s="393">
        <v>1</v>
      </c>
      <c r="E13" s="389">
        <v>10.38</v>
      </c>
      <c r="F13" s="389">
        <f>E13*(1+Premissas!$L$18)</f>
        <v>13.494000000000002</v>
      </c>
      <c r="G13" s="390">
        <f t="shared" si="1"/>
        <v>10.38</v>
      </c>
      <c r="H13" s="391">
        <f t="shared" si="0"/>
        <v>13.494000000000002</v>
      </c>
      <c r="I13" s="391">
        <f t="shared" si="2"/>
        <v>13.494000000000002</v>
      </c>
      <c r="J13" s="392"/>
    </row>
    <row r="14" spans="2:12" ht="20.100000000000001" customHeight="1">
      <c r="B14" s="394" t="s">
        <v>19</v>
      </c>
      <c r="C14" s="387" t="s">
        <v>15</v>
      </c>
      <c r="D14" s="393">
        <v>6</v>
      </c>
      <c r="E14" s="389">
        <v>2.35</v>
      </c>
      <c r="F14" s="389">
        <f>E14*(1+Premissas!$L$18)</f>
        <v>3.0550000000000002</v>
      </c>
      <c r="G14" s="390">
        <f t="shared" si="1"/>
        <v>14.100000000000001</v>
      </c>
      <c r="H14" s="391">
        <f t="shared" si="0"/>
        <v>18.330000000000002</v>
      </c>
      <c r="I14" s="391">
        <f t="shared" si="2"/>
        <v>3.0550000000000002</v>
      </c>
      <c r="J14" s="392" t="s">
        <v>209</v>
      </c>
    </row>
    <row r="15" spans="2:12" ht="20.100000000000001" customHeight="1">
      <c r="B15" s="394" t="s">
        <v>20</v>
      </c>
      <c r="C15" s="387" t="s">
        <v>15</v>
      </c>
      <c r="D15" s="393">
        <v>2</v>
      </c>
      <c r="E15" s="389">
        <v>7.7</v>
      </c>
      <c r="F15" s="389">
        <f>E15*(1+Premissas!$L$18)</f>
        <v>10.01</v>
      </c>
      <c r="G15" s="390">
        <f t="shared" si="1"/>
        <v>15.4</v>
      </c>
      <c r="H15" s="391">
        <f t="shared" si="0"/>
        <v>20.02</v>
      </c>
      <c r="I15" s="391">
        <f t="shared" si="2"/>
        <v>10.01</v>
      </c>
      <c r="J15" s="392"/>
    </row>
    <row r="16" spans="2:12" ht="20.45" customHeight="1">
      <c r="B16" s="394" t="s">
        <v>21</v>
      </c>
      <c r="C16" s="387" t="s">
        <v>15</v>
      </c>
      <c r="D16" s="393">
        <v>1</v>
      </c>
      <c r="E16" s="389">
        <v>4.03</v>
      </c>
      <c r="F16" s="389">
        <f>E16*(1+Premissas!$L$18)</f>
        <v>5.2390000000000008</v>
      </c>
      <c r="G16" s="390">
        <f t="shared" si="1"/>
        <v>4.03</v>
      </c>
      <c r="H16" s="391">
        <f t="shared" si="0"/>
        <v>5.2390000000000008</v>
      </c>
      <c r="I16" s="391">
        <f t="shared" si="2"/>
        <v>5.2390000000000008</v>
      </c>
      <c r="J16" s="392"/>
    </row>
    <row r="17" spans="2:10" ht="20.45" customHeight="1">
      <c r="B17" s="394" t="s">
        <v>22</v>
      </c>
      <c r="C17" s="387" t="s">
        <v>15</v>
      </c>
      <c r="D17" s="393">
        <v>1</v>
      </c>
      <c r="E17" s="389">
        <v>19.899999999999999</v>
      </c>
      <c r="F17" s="389">
        <f>E17*(1+Premissas!$L$18)</f>
        <v>25.869999999999997</v>
      </c>
      <c r="G17" s="390">
        <f t="shared" si="1"/>
        <v>19.899999999999999</v>
      </c>
      <c r="H17" s="391">
        <f t="shared" si="0"/>
        <v>25.869999999999997</v>
      </c>
      <c r="I17" s="391">
        <f t="shared" si="2"/>
        <v>25.869999999999997</v>
      </c>
      <c r="J17" s="392"/>
    </row>
    <row r="18" spans="2:10" ht="20.100000000000001" customHeight="1">
      <c r="B18" s="394" t="s">
        <v>23</v>
      </c>
      <c r="C18" s="387" t="s">
        <v>24</v>
      </c>
      <c r="D18" s="393">
        <v>1</v>
      </c>
      <c r="E18" s="389">
        <v>17</v>
      </c>
      <c r="F18" s="389">
        <f>E18*(1+Premissas!$L$18)</f>
        <v>22.1</v>
      </c>
      <c r="G18" s="390">
        <f t="shared" si="1"/>
        <v>17</v>
      </c>
      <c r="H18" s="391">
        <f t="shared" si="0"/>
        <v>22.1</v>
      </c>
      <c r="I18" s="391">
        <f t="shared" si="2"/>
        <v>22.1</v>
      </c>
      <c r="J18" s="392" t="s">
        <v>82</v>
      </c>
    </row>
    <row r="19" spans="2:10" ht="20.100000000000001" customHeight="1">
      <c r="B19" s="394" t="s">
        <v>25</v>
      </c>
      <c r="C19" s="387" t="s">
        <v>26</v>
      </c>
      <c r="D19" s="393">
        <v>1</v>
      </c>
      <c r="E19" s="389">
        <v>21.86</v>
      </c>
      <c r="F19" s="389">
        <f>E19*(1+Premissas!$L$18)</f>
        <v>28.417999999999999</v>
      </c>
      <c r="G19" s="390">
        <f t="shared" si="1"/>
        <v>21.86</v>
      </c>
      <c r="H19" s="391">
        <f t="shared" si="0"/>
        <v>28.417999999999999</v>
      </c>
      <c r="I19" s="391">
        <f t="shared" si="2"/>
        <v>28.417999999999999</v>
      </c>
      <c r="J19" s="392"/>
    </row>
    <row r="20" spans="2:10" ht="20.100000000000001" customHeight="1">
      <c r="B20" s="394" t="s">
        <v>27</v>
      </c>
      <c r="C20" s="387" t="s">
        <v>15</v>
      </c>
      <c r="D20" s="393">
        <v>3</v>
      </c>
      <c r="E20" s="389">
        <v>2</v>
      </c>
      <c r="F20" s="389">
        <f>E20*(1+Premissas!$L$18)</f>
        <v>2.6</v>
      </c>
      <c r="G20" s="390">
        <f t="shared" si="1"/>
        <v>6</v>
      </c>
      <c r="H20" s="391">
        <f t="shared" si="0"/>
        <v>7.8000000000000007</v>
      </c>
      <c r="I20" s="391">
        <f t="shared" si="2"/>
        <v>2.6</v>
      </c>
      <c r="J20" s="392"/>
    </row>
    <row r="21" spans="2:10" ht="19.899999999999999" customHeight="1">
      <c r="B21" s="394" t="s">
        <v>28</v>
      </c>
      <c r="C21" s="387" t="s">
        <v>15</v>
      </c>
      <c r="D21" s="393">
        <v>0</v>
      </c>
      <c r="E21" s="389">
        <v>23.9</v>
      </c>
      <c r="F21" s="389">
        <f>E21*(1+Premissas!$L$18)</f>
        <v>31.07</v>
      </c>
      <c r="G21" s="390">
        <f t="shared" si="1"/>
        <v>0</v>
      </c>
      <c r="H21" s="391">
        <f t="shared" si="0"/>
        <v>0</v>
      </c>
      <c r="I21" s="391">
        <f t="shared" si="2"/>
        <v>31.07</v>
      </c>
      <c r="J21" s="392"/>
    </row>
    <row r="22" spans="2:10" ht="19.899999999999999" customHeight="1">
      <c r="B22" s="394" t="s">
        <v>117</v>
      </c>
      <c r="C22" s="387" t="s">
        <v>15</v>
      </c>
      <c r="D22" s="393">
        <v>1</v>
      </c>
      <c r="E22" s="389">
        <v>711.73</v>
      </c>
      <c r="F22" s="389">
        <f>E22*(1+Premissas!$L$18)</f>
        <v>925.24900000000002</v>
      </c>
      <c r="G22" s="390">
        <f t="shared" ref="G22" si="3">E22*D22</f>
        <v>711.73</v>
      </c>
      <c r="H22" s="391">
        <f t="shared" ref="H22" si="4">F22*D22</f>
        <v>925.24900000000002</v>
      </c>
      <c r="I22" s="391">
        <f t="shared" ref="I22" si="5">E22*1.3</f>
        <v>925.24900000000002</v>
      </c>
      <c r="J22" s="392"/>
    </row>
    <row r="23" spans="2:10" ht="27" customHeight="1">
      <c r="B23" s="394" t="s">
        <v>98</v>
      </c>
      <c r="C23" s="387" t="s">
        <v>15</v>
      </c>
      <c r="D23" s="393">
        <v>0</v>
      </c>
      <c r="E23" s="389">
        <v>866.45</v>
      </c>
      <c r="F23" s="389">
        <f>E23*(1+Premissas!$L$18)</f>
        <v>1126.385</v>
      </c>
      <c r="G23" s="390">
        <f t="shared" si="1"/>
        <v>0</v>
      </c>
      <c r="H23" s="391">
        <f t="shared" ref="H23:H35" si="6">F23*D23</f>
        <v>0</v>
      </c>
      <c r="I23" s="391">
        <f t="shared" si="2"/>
        <v>1126.385</v>
      </c>
      <c r="J23" s="392"/>
    </row>
    <row r="24" spans="2:10" ht="33" customHeight="1">
      <c r="B24" s="394" t="s">
        <v>99</v>
      </c>
      <c r="C24" s="387" t="s">
        <v>15</v>
      </c>
      <c r="D24" s="393">
        <v>0</v>
      </c>
      <c r="E24" s="389">
        <v>1052.1199999999999</v>
      </c>
      <c r="F24" s="389">
        <f>E24*(1+Premissas!$L$18)</f>
        <v>1367.7559999999999</v>
      </c>
      <c r="G24" s="390">
        <f t="shared" si="1"/>
        <v>0</v>
      </c>
      <c r="H24" s="391">
        <f t="shared" si="6"/>
        <v>0</v>
      </c>
      <c r="I24" s="391">
        <f t="shared" si="2"/>
        <v>1367.7559999999999</v>
      </c>
      <c r="J24" s="392"/>
    </row>
    <row r="25" spans="2:10" ht="20.100000000000001" customHeight="1">
      <c r="B25" s="394" t="s">
        <v>46</v>
      </c>
      <c r="C25" s="387" t="s">
        <v>15</v>
      </c>
      <c r="D25" s="393">
        <v>0</v>
      </c>
      <c r="E25" s="389">
        <v>819.1</v>
      </c>
      <c r="F25" s="389">
        <f>E25*(1+Premissas!$L$18)</f>
        <v>1064.8300000000002</v>
      </c>
      <c r="G25" s="390">
        <f t="shared" si="1"/>
        <v>0</v>
      </c>
      <c r="H25" s="391">
        <f t="shared" si="6"/>
        <v>0</v>
      </c>
      <c r="I25" s="391">
        <f>E25*1</f>
        <v>819.1</v>
      </c>
      <c r="J25" s="392"/>
    </row>
    <row r="26" spans="2:10" ht="20.100000000000001" customHeight="1">
      <c r="B26" s="394" t="s">
        <v>71</v>
      </c>
      <c r="C26" s="387" t="s">
        <v>15</v>
      </c>
      <c r="D26" s="393">
        <v>0</v>
      </c>
      <c r="E26" s="389">
        <v>799.1</v>
      </c>
      <c r="F26" s="389">
        <f>E26*(1+Premissas!$L$18)</f>
        <v>1038.8300000000002</v>
      </c>
      <c r="G26" s="390">
        <f t="shared" si="1"/>
        <v>0</v>
      </c>
      <c r="H26" s="391">
        <f t="shared" si="6"/>
        <v>0</v>
      </c>
      <c r="I26" s="391">
        <f t="shared" ref="I26:I35" si="7">E26*1.3</f>
        <v>1038.8300000000002</v>
      </c>
      <c r="J26" s="392"/>
    </row>
    <row r="27" spans="2:10" ht="20.100000000000001" customHeight="1">
      <c r="B27" s="394" t="s">
        <v>45</v>
      </c>
      <c r="C27" s="396" t="s">
        <v>15</v>
      </c>
      <c r="D27" s="397">
        <v>1</v>
      </c>
      <c r="E27" s="398">
        <v>133.06</v>
      </c>
      <c r="F27" s="398">
        <f>E27*(1+Premissas!$L$18)</f>
        <v>172.97800000000001</v>
      </c>
      <c r="G27" s="390">
        <f t="shared" si="1"/>
        <v>133.06</v>
      </c>
      <c r="H27" s="391">
        <f t="shared" si="6"/>
        <v>172.97800000000001</v>
      </c>
      <c r="I27" s="391">
        <f t="shared" si="7"/>
        <v>172.97800000000001</v>
      </c>
      <c r="J27" s="392" t="s">
        <v>208</v>
      </c>
    </row>
    <row r="28" spans="2:10" ht="20.100000000000001" customHeight="1">
      <c r="B28" s="394" t="s">
        <v>72</v>
      </c>
      <c r="C28" s="387" t="s">
        <v>15</v>
      </c>
      <c r="D28" s="393">
        <v>0</v>
      </c>
      <c r="E28" s="389">
        <v>210.42</v>
      </c>
      <c r="F28" s="389">
        <f>E28*(1+Premissas!$L$18)</f>
        <v>273.54599999999999</v>
      </c>
      <c r="G28" s="390">
        <f t="shared" si="1"/>
        <v>0</v>
      </c>
      <c r="H28" s="391">
        <f t="shared" si="6"/>
        <v>0</v>
      </c>
      <c r="I28" s="391">
        <f t="shared" si="7"/>
        <v>273.54599999999999</v>
      </c>
      <c r="J28" s="392"/>
    </row>
    <row r="29" spans="2:10" ht="20.100000000000001" customHeight="1">
      <c r="B29" s="394" t="s">
        <v>73</v>
      </c>
      <c r="C29" s="387" t="s">
        <v>15</v>
      </c>
      <c r="D29" s="393">
        <v>0</v>
      </c>
      <c r="E29" s="389">
        <v>143.78</v>
      </c>
      <c r="F29" s="389">
        <f>E29*(1+Premissas!$L$18)</f>
        <v>186.91400000000002</v>
      </c>
      <c r="G29" s="390">
        <f t="shared" si="1"/>
        <v>0</v>
      </c>
      <c r="H29" s="391">
        <f t="shared" si="6"/>
        <v>0</v>
      </c>
      <c r="I29" s="391">
        <f t="shared" si="7"/>
        <v>186.91400000000002</v>
      </c>
      <c r="J29" s="392"/>
    </row>
    <row r="30" spans="2:10" ht="20.100000000000001" customHeight="1">
      <c r="B30" s="394" t="s">
        <v>47</v>
      </c>
      <c r="C30" s="387" t="s">
        <v>15</v>
      </c>
      <c r="D30" s="393">
        <v>3</v>
      </c>
      <c r="E30" s="389">
        <v>1.84</v>
      </c>
      <c r="F30" s="389">
        <f>E30*(1+Premissas!$L$18)</f>
        <v>2.3920000000000003</v>
      </c>
      <c r="G30" s="390">
        <f t="shared" si="1"/>
        <v>5.5200000000000005</v>
      </c>
      <c r="H30" s="391">
        <f t="shared" si="6"/>
        <v>7.176000000000001</v>
      </c>
      <c r="I30" s="391">
        <f t="shared" si="7"/>
        <v>2.3920000000000003</v>
      </c>
      <c r="J30" s="392"/>
    </row>
    <row r="31" spans="2:10" ht="20.100000000000001" customHeight="1">
      <c r="B31" s="394" t="s">
        <v>48</v>
      </c>
      <c r="C31" s="387" t="s">
        <v>15</v>
      </c>
      <c r="D31" s="393">
        <v>1</v>
      </c>
      <c r="E31" s="389">
        <v>31.2</v>
      </c>
      <c r="F31" s="389">
        <f>E31*(1+Premissas!$L$18)</f>
        <v>40.56</v>
      </c>
      <c r="G31" s="390">
        <f t="shared" si="1"/>
        <v>31.2</v>
      </c>
      <c r="H31" s="391">
        <f t="shared" si="6"/>
        <v>40.56</v>
      </c>
      <c r="I31" s="391">
        <f t="shared" si="7"/>
        <v>40.56</v>
      </c>
      <c r="J31" s="392" t="s">
        <v>83</v>
      </c>
    </row>
    <row r="32" spans="2:10" ht="20.100000000000001" customHeight="1">
      <c r="B32" s="394" t="s">
        <v>49</v>
      </c>
      <c r="C32" s="387" t="s">
        <v>15</v>
      </c>
      <c r="D32" s="393">
        <v>3</v>
      </c>
      <c r="E32" s="389">
        <v>6.78</v>
      </c>
      <c r="F32" s="389">
        <f>E32*(1+Premissas!$L$18)</f>
        <v>8.8140000000000001</v>
      </c>
      <c r="G32" s="390">
        <f t="shared" si="1"/>
        <v>20.34</v>
      </c>
      <c r="H32" s="391">
        <f t="shared" si="6"/>
        <v>26.442</v>
      </c>
      <c r="I32" s="391">
        <f t="shared" si="7"/>
        <v>8.8140000000000001</v>
      </c>
      <c r="J32" s="392"/>
    </row>
    <row r="33" spans="2:10" ht="20.100000000000001" customHeight="1">
      <c r="B33" s="394" t="s">
        <v>58</v>
      </c>
      <c r="C33" s="387" t="s">
        <v>15</v>
      </c>
      <c r="D33" s="393">
        <v>0</v>
      </c>
      <c r="E33" s="389">
        <v>526.05999999999995</v>
      </c>
      <c r="F33" s="389">
        <f>E33*(1+Premissas!$L$18)</f>
        <v>683.87799999999993</v>
      </c>
      <c r="G33" s="390">
        <f t="shared" si="1"/>
        <v>0</v>
      </c>
      <c r="H33" s="391">
        <f t="shared" si="6"/>
        <v>0</v>
      </c>
      <c r="I33" s="391">
        <f t="shared" si="7"/>
        <v>683.87799999999993</v>
      </c>
      <c r="J33" s="392"/>
    </row>
    <row r="34" spans="2:10" ht="20.45" customHeight="1">
      <c r="B34" s="394" t="s">
        <v>59</v>
      </c>
      <c r="C34" s="387" t="s">
        <v>15</v>
      </c>
      <c r="D34" s="393">
        <v>0</v>
      </c>
      <c r="E34" s="389">
        <v>9</v>
      </c>
      <c r="F34" s="389">
        <f>E34*(1+Premissas!$L$18)</f>
        <v>11.700000000000001</v>
      </c>
      <c r="G34" s="390">
        <f t="shared" si="1"/>
        <v>0</v>
      </c>
      <c r="H34" s="391">
        <f t="shared" si="6"/>
        <v>0</v>
      </c>
      <c r="I34" s="391">
        <f t="shared" si="7"/>
        <v>11.700000000000001</v>
      </c>
      <c r="J34" s="392"/>
    </row>
    <row r="35" spans="2:10" ht="20.45" customHeight="1">
      <c r="B35" s="394" t="s">
        <v>42</v>
      </c>
      <c r="C35" s="387" t="s">
        <v>15</v>
      </c>
      <c r="D35" s="393">
        <v>0</v>
      </c>
      <c r="E35" s="389">
        <v>19.96</v>
      </c>
      <c r="F35" s="389">
        <f>E35*(1+Premissas!$L$18)</f>
        <v>25.948</v>
      </c>
      <c r="G35" s="390">
        <f t="shared" si="1"/>
        <v>0</v>
      </c>
      <c r="H35" s="391">
        <f t="shared" si="6"/>
        <v>0</v>
      </c>
      <c r="I35" s="391">
        <f t="shared" si="7"/>
        <v>25.948</v>
      </c>
      <c r="J35" s="392"/>
    </row>
    <row r="36" spans="2:10" ht="20.45" customHeight="1">
      <c r="B36" s="399" t="s">
        <v>120</v>
      </c>
      <c r="C36" s="400" t="s">
        <v>10</v>
      </c>
      <c r="D36" s="401">
        <v>1</v>
      </c>
      <c r="E36" s="402">
        <v>20</v>
      </c>
      <c r="F36" s="402">
        <f>E36*(1+Premissas!$L$18)</f>
        <v>26</v>
      </c>
      <c r="G36" s="403">
        <f t="shared" ref="G36" si="8">E36*D36</f>
        <v>20</v>
      </c>
      <c r="H36" s="404">
        <f t="shared" ref="H36" si="9">F36*D36</f>
        <v>26</v>
      </c>
      <c r="I36" s="404">
        <f t="shared" ref="I36" si="10">E36*1.3</f>
        <v>26</v>
      </c>
      <c r="J36" s="405"/>
    </row>
    <row r="37" spans="2:10" ht="20.65" customHeight="1">
      <c r="B37" s="406" t="s">
        <v>96</v>
      </c>
      <c r="C37" s="407"/>
      <c r="D37" s="408"/>
      <c r="E37" s="408"/>
      <c r="F37" s="409"/>
      <c r="G37" s="410">
        <f>SUM(G7:G36)</f>
        <v>1281.0499999999997</v>
      </c>
      <c r="H37" s="411">
        <f>SUM(H7:H35)</f>
        <v>1639.365</v>
      </c>
      <c r="I37" s="411">
        <f>H37-G37</f>
        <v>358.31500000000028</v>
      </c>
      <c r="J37" s="412"/>
    </row>
    <row r="38" spans="2:10" ht="19.899999999999999" customHeight="1">
      <c r="B38" s="413"/>
      <c r="C38" s="414"/>
      <c r="D38" s="414"/>
      <c r="E38" s="414"/>
      <c r="F38" s="414"/>
      <c r="G38" s="413"/>
      <c r="H38" s="415"/>
      <c r="I38" s="416"/>
      <c r="J38" s="414"/>
    </row>
    <row r="39" spans="2:10" ht="19.899999999999999" customHeight="1">
      <c r="B39" s="413"/>
      <c r="C39" s="414"/>
      <c r="D39" s="414"/>
      <c r="E39" s="414"/>
      <c r="F39" s="414"/>
      <c r="G39" s="413"/>
      <c r="H39" s="415"/>
      <c r="I39" s="416"/>
      <c r="J39" s="414"/>
    </row>
    <row r="40" spans="2:10" ht="19.899999999999999" customHeight="1">
      <c r="B40" s="413"/>
      <c r="C40" s="414"/>
      <c r="D40" s="414"/>
      <c r="E40" s="414"/>
      <c r="F40" s="414"/>
      <c r="G40" s="413"/>
      <c r="H40" s="415"/>
      <c r="I40" s="416"/>
      <c r="J40" s="414"/>
    </row>
    <row r="41" spans="2:10" ht="19.899999999999999" customHeight="1">
      <c r="B41" s="413"/>
      <c r="C41" s="414"/>
      <c r="D41" s="414"/>
      <c r="E41" s="414"/>
      <c r="F41" s="414"/>
      <c r="G41" s="413"/>
      <c r="H41" s="415"/>
      <c r="I41" s="416"/>
      <c r="J41" s="414"/>
    </row>
  </sheetData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B1:IZ44"/>
  <sheetViews>
    <sheetView showGridLines="0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9" sqref="L19:L20"/>
    </sheetView>
  </sheetViews>
  <sheetFormatPr defaultColWidth="16.28515625" defaultRowHeight="19.899999999999999" customHeight="1"/>
  <cols>
    <col min="1" max="1" width="2.7109375" style="7" customWidth="1"/>
    <col min="2" max="2" width="25.7109375" style="3" customWidth="1"/>
    <col min="3" max="3" width="19.28515625" style="3" customWidth="1"/>
    <col min="4" max="4" width="19" style="3" customWidth="1"/>
    <col min="5" max="5" width="15.28515625" style="3" bestFit="1" customWidth="1"/>
    <col min="6" max="6" width="22" style="3" customWidth="1"/>
    <col min="7" max="7" width="16.28515625" style="3" customWidth="1"/>
    <col min="8" max="8" width="16.28515625" style="39" customWidth="1"/>
    <col min="9" max="9" width="21.28515625" style="3" customWidth="1"/>
    <col min="10" max="10" width="20.5703125" style="3" customWidth="1"/>
    <col min="11" max="11" width="19.28515625" style="3" customWidth="1"/>
    <col min="12" max="12" width="16.28515625" style="3" customWidth="1"/>
    <col min="13" max="13" width="14.85546875" style="3" customWidth="1"/>
    <col min="14" max="14" width="5.7109375" style="3" customWidth="1"/>
    <col min="15" max="260" width="16.28515625" style="3" customWidth="1"/>
    <col min="261" max="16384" width="16.28515625" style="7"/>
  </cols>
  <sheetData>
    <row r="1" spans="2:16" ht="19.899999999999999" customHeight="1">
      <c r="C1"/>
      <c r="D1"/>
      <c r="F1"/>
      <c r="G1"/>
      <c r="H1"/>
      <c r="I1"/>
      <c r="J1"/>
      <c r="K1"/>
    </row>
    <row r="2" spans="2:16" ht="19.899999999999999" customHeight="1">
      <c r="C2"/>
      <c r="D2"/>
      <c r="F2"/>
      <c r="G2"/>
      <c r="H2"/>
      <c r="I2"/>
      <c r="J2"/>
      <c r="K2"/>
    </row>
    <row r="3" spans="2:16" ht="19.899999999999999" customHeight="1">
      <c r="B3" s="417"/>
      <c r="C3" s="34"/>
      <c r="D3" s="34"/>
      <c r="E3" s="417"/>
      <c r="F3" s="34"/>
      <c r="G3" s="34"/>
      <c r="H3" s="34"/>
      <c r="I3" s="34"/>
      <c r="J3" s="34"/>
      <c r="K3" s="34"/>
      <c r="L3" s="417"/>
      <c r="M3" s="417"/>
    </row>
    <row r="4" spans="2:16" ht="19.899999999999999" customHeight="1">
      <c r="B4" s="541" t="s">
        <v>9</v>
      </c>
      <c r="C4" s="540" t="s">
        <v>103</v>
      </c>
      <c r="D4" s="540"/>
      <c r="E4" s="540"/>
      <c r="F4" s="540"/>
      <c r="G4" s="540"/>
      <c r="H4" s="540"/>
      <c r="I4" s="540"/>
      <c r="J4" s="540"/>
      <c r="K4" s="540"/>
      <c r="L4" s="540"/>
      <c r="M4" s="540"/>
    </row>
    <row r="5" spans="2:16" ht="20.65" customHeight="1">
      <c r="B5" s="535"/>
      <c r="C5" s="165" t="s">
        <v>36</v>
      </c>
      <c r="D5" s="165" t="s">
        <v>10</v>
      </c>
      <c r="E5" s="165" t="s">
        <v>11</v>
      </c>
      <c r="F5" s="165" t="s">
        <v>56</v>
      </c>
      <c r="G5" s="165" t="s">
        <v>30</v>
      </c>
      <c r="H5" s="166" t="s">
        <v>29</v>
      </c>
      <c r="I5" s="165" t="s">
        <v>31</v>
      </c>
      <c r="J5" s="165" t="s">
        <v>32</v>
      </c>
      <c r="K5" s="165" t="s">
        <v>92</v>
      </c>
      <c r="L5" s="165" t="s">
        <v>79</v>
      </c>
      <c r="M5" s="165" t="s">
        <v>88</v>
      </c>
      <c r="N5" s="6"/>
    </row>
    <row r="6" spans="2:16" ht="6.75" customHeight="1">
      <c r="B6" s="167"/>
      <c r="C6" s="168"/>
      <c r="D6" s="168"/>
      <c r="E6" s="168"/>
      <c r="F6" s="168"/>
      <c r="G6" s="169"/>
      <c r="H6" s="170"/>
      <c r="I6" s="169"/>
      <c r="J6" s="169"/>
      <c r="K6" s="169"/>
      <c r="L6" s="171"/>
      <c r="M6" s="418"/>
      <c r="N6" s="4"/>
      <c r="O6" s="5"/>
    </row>
    <row r="7" spans="2:16" ht="20.45" customHeight="1">
      <c r="B7" s="172" t="s">
        <v>36</v>
      </c>
      <c r="C7" s="173">
        <f>'Cálculo de Módulos Plastwall'!C6</f>
        <v>84</v>
      </c>
      <c r="D7" s="174" t="s">
        <v>15</v>
      </c>
      <c r="E7" s="173">
        <f>C7</f>
        <v>84</v>
      </c>
      <c r="F7" s="175">
        <f>ROUNDUP(E7,)</f>
        <v>84</v>
      </c>
      <c r="G7" s="176">
        <v>31</v>
      </c>
      <c r="H7" s="177">
        <f>G7*F7</f>
        <v>2604</v>
      </c>
      <c r="I7" s="176">
        <f>G7*(1+Premissas!$L$18)</f>
        <v>40.300000000000004</v>
      </c>
      <c r="J7" s="176">
        <f>I7*F7</f>
        <v>3385.2000000000003</v>
      </c>
      <c r="K7" s="176">
        <f>J7*(1+Premissas!$L$21)</f>
        <v>3385.2000000000003</v>
      </c>
      <c r="L7" s="176">
        <f>K7*(1+Premissas!$L$17)</f>
        <v>3588.3120000000004</v>
      </c>
      <c r="M7" s="177">
        <f>J7-H7</f>
        <v>781.20000000000027</v>
      </c>
      <c r="N7" s="44"/>
      <c r="O7" s="5"/>
    </row>
    <row r="8" spans="2:16" ht="20.45" customHeight="1">
      <c r="B8" s="178" t="s">
        <v>37</v>
      </c>
      <c r="C8" s="179"/>
      <c r="D8" s="180" t="s">
        <v>38</v>
      </c>
      <c r="E8" s="181">
        <f>E7/3.9</f>
        <v>21.53846153846154</v>
      </c>
      <c r="F8" s="182">
        <f>ROUNDUP(E8,)</f>
        <v>22</v>
      </c>
      <c r="G8" s="183">
        <v>18</v>
      </c>
      <c r="H8" s="184">
        <f>G8*F8</f>
        <v>396</v>
      </c>
      <c r="I8" s="183">
        <f>G8*(1+Premissas!$L$18)</f>
        <v>23.400000000000002</v>
      </c>
      <c r="J8" s="183">
        <f>I8*F8</f>
        <v>514.80000000000007</v>
      </c>
      <c r="K8" s="183">
        <f>J8*(1+Premissas!$L$21)</f>
        <v>514.80000000000007</v>
      </c>
      <c r="L8" s="183">
        <f>K8*(1+Premissas!$L$17)</f>
        <v>545.6880000000001</v>
      </c>
      <c r="M8" s="184">
        <f t="shared" ref="M8:M9" si="0">J8-H8</f>
        <v>118.80000000000007</v>
      </c>
      <c r="N8" s="44"/>
      <c r="O8" s="5"/>
      <c r="P8" s="32"/>
    </row>
    <row r="9" spans="2:16" ht="20.45" customHeight="1">
      <c r="B9" s="185" t="s">
        <v>76</v>
      </c>
      <c r="C9" s="186"/>
      <c r="D9" s="187"/>
      <c r="E9" s="188">
        <f>C7*0.1</f>
        <v>8.4</v>
      </c>
      <c r="F9" s="189">
        <f>ROUNDUP(E9,)</f>
        <v>9</v>
      </c>
      <c r="G9" s="190">
        <v>33</v>
      </c>
      <c r="H9" s="191">
        <f>G9*F9</f>
        <v>297</v>
      </c>
      <c r="I9" s="190">
        <f>G9*(1+Premissas!$L$18)</f>
        <v>42.9</v>
      </c>
      <c r="J9" s="190">
        <f>I9*F9</f>
        <v>386.09999999999997</v>
      </c>
      <c r="K9" s="190">
        <f>J9*(1+Premissas!$L$21)</f>
        <v>386.09999999999997</v>
      </c>
      <c r="L9" s="190">
        <f>K9*(1+Premissas!$L$17)</f>
        <v>409.26599999999996</v>
      </c>
      <c r="M9" s="191">
        <f t="shared" si="0"/>
        <v>89.099999999999966</v>
      </c>
      <c r="N9" s="44"/>
      <c r="O9" s="6"/>
    </row>
    <row r="10" spans="2:16" ht="6" customHeight="1">
      <c r="B10" s="167"/>
      <c r="C10" s="168"/>
      <c r="D10" s="168"/>
      <c r="E10" s="168"/>
      <c r="F10" s="168"/>
      <c r="G10" s="169"/>
      <c r="H10" s="170"/>
      <c r="I10" s="169"/>
      <c r="J10" s="169"/>
      <c r="K10" s="169"/>
      <c r="L10" s="171"/>
      <c r="M10" s="418"/>
      <c r="N10" s="4"/>
      <c r="O10" s="6"/>
    </row>
    <row r="11" spans="2:16" ht="20.45" customHeight="1">
      <c r="B11" s="172" t="s">
        <v>100</v>
      </c>
      <c r="C11" s="173">
        <v>0</v>
      </c>
      <c r="D11" s="174" t="s">
        <v>15</v>
      </c>
      <c r="E11" s="173">
        <v>0</v>
      </c>
      <c r="F11" s="175">
        <f>E11</f>
        <v>0</v>
      </c>
      <c r="G11" s="176">
        <v>37.5</v>
      </c>
      <c r="H11" s="177">
        <f>G11*F11</f>
        <v>0</v>
      </c>
      <c r="I11" s="176">
        <f>G11*(1+Premissas!$L$18)</f>
        <v>48.75</v>
      </c>
      <c r="J11" s="176">
        <f>I11*F11</f>
        <v>0</v>
      </c>
      <c r="K11" s="176">
        <f>J11*(1+Premissas!$L$21)</f>
        <v>0</v>
      </c>
      <c r="L11" s="176">
        <f>K11*(1+Premissas!$L$17)</f>
        <v>0</v>
      </c>
      <c r="M11" s="177">
        <f>J11-H11</f>
        <v>0</v>
      </c>
      <c r="N11" s="4"/>
      <c r="O11" s="6"/>
    </row>
    <row r="12" spans="2:16" ht="20.45" customHeight="1">
      <c r="B12" s="185" t="s">
        <v>53</v>
      </c>
      <c r="C12" s="186"/>
      <c r="D12" s="187" t="s">
        <v>15</v>
      </c>
      <c r="E12" s="188"/>
      <c r="F12" s="189">
        <v>0</v>
      </c>
      <c r="G12" s="190">
        <v>59</v>
      </c>
      <c r="H12" s="191">
        <f>G12*F12</f>
        <v>0</v>
      </c>
      <c r="I12" s="190">
        <f>G12*(1+Premissas!$L$18)</f>
        <v>76.7</v>
      </c>
      <c r="J12" s="190">
        <f>I12*F12</f>
        <v>0</v>
      </c>
      <c r="K12" s="190">
        <f>J12*(1+Premissas!$L$21)</f>
        <v>0</v>
      </c>
      <c r="L12" s="190">
        <f>K12*(1+Premissas!$L$17)</f>
        <v>0</v>
      </c>
      <c r="M12" s="191">
        <f>J12-H12</f>
        <v>0</v>
      </c>
      <c r="N12" s="4"/>
      <c r="O12" s="6"/>
    </row>
    <row r="13" spans="2:16" ht="6" customHeight="1">
      <c r="B13" s="167"/>
      <c r="C13" s="168"/>
      <c r="D13" s="168"/>
      <c r="E13" s="168"/>
      <c r="F13" s="168"/>
      <c r="G13" s="169"/>
      <c r="H13" s="170"/>
      <c r="I13" s="169"/>
      <c r="J13" s="169"/>
      <c r="K13" s="169"/>
      <c r="L13" s="171"/>
      <c r="M13" s="418"/>
      <c r="N13" s="4"/>
      <c r="O13" s="6"/>
    </row>
    <row r="14" spans="2:16" ht="20.45" customHeight="1">
      <c r="B14" s="172" t="s">
        <v>39</v>
      </c>
      <c r="C14" s="173"/>
      <c r="D14" s="174"/>
      <c r="E14" s="173"/>
      <c r="F14" s="175"/>
      <c r="G14" s="176"/>
      <c r="H14" s="177">
        <f>'Cálculo Irrigação'!G37</f>
        <v>1281.0499999999997</v>
      </c>
      <c r="I14" s="176">
        <f>H14*(1+Premissas!$L$18)</f>
        <v>1665.3649999999998</v>
      </c>
      <c r="J14" s="176">
        <f>H14*(1+Premissas!$L$18)</f>
        <v>1665.3649999999998</v>
      </c>
      <c r="K14" s="176">
        <f>J14*(1+Premissas!$L$21)</f>
        <v>1665.3649999999998</v>
      </c>
      <c r="L14" s="176">
        <f>K14*(1+Premissas!$L$17)</f>
        <v>1765.2868999999998</v>
      </c>
      <c r="M14" s="177">
        <f>J14-H14</f>
        <v>384.31500000000005</v>
      </c>
      <c r="N14" s="4"/>
    </row>
    <row r="15" spans="2:16" ht="20.45" customHeight="1">
      <c r="B15" s="185" t="s">
        <v>74</v>
      </c>
      <c r="C15" s="186"/>
      <c r="D15" s="187" t="s">
        <v>101</v>
      </c>
      <c r="E15" s="188"/>
      <c r="F15" s="189"/>
      <c r="G15" s="190"/>
      <c r="H15" s="191">
        <v>0</v>
      </c>
      <c r="I15" s="190">
        <f>H15*(1+Premissas!$L$18)</f>
        <v>0</v>
      </c>
      <c r="J15" s="190">
        <f>H15*(1+Premissas!$L$18)</f>
        <v>0</v>
      </c>
      <c r="K15" s="190">
        <f>J15*(1+Premissas!$L$21)</f>
        <v>0</v>
      </c>
      <c r="L15" s="190">
        <f>K15*(1+Premissas!$L$17)</f>
        <v>0</v>
      </c>
      <c r="M15" s="191">
        <f>J15-H15</f>
        <v>0</v>
      </c>
      <c r="N15" s="4"/>
    </row>
    <row r="16" spans="2:16" ht="6.75" customHeight="1">
      <c r="B16" s="167"/>
      <c r="C16" s="168"/>
      <c r="D16" s="168"/>
      <c r="E16" s="168"/>
      <c r="F16" s="168"/>
      <c r="G16" s="169"/>
      <c r="H16" s="170"/>
      <c r="I16" s="169"/>
      <c r="J16" s="169"/>
      <c r="K16" s="169"/>
      <c r="L16" s="171"/>
      <c r="M16" s="418"/>
      <c r="N16" s="4"/>
    </row>
    <row r="17" spans="2:14" ht="20.45" customHeight="1">
      <c r="B17" s="192" t="s">
        <v>118</v>
      </c>
      <c r="C17" s="193"/>
      <c r="D17" s="194"/>
      <c r="E17" s="193">
        <v>1</v>
      </c>
      <c r="F17" s="195">
        <v>1</v>
      </c>
      <c r="G17" s="196">
        <v>300</v>
      </c>
      <c r="H17" s="197">
        <f>G17*F17</f>
        <v>300</v>
      </c>
      <c r="I17" s="196">
        <f>H17*(1+Premissas!$L$18)</f>
        <v>390</v>
      </c>
      <c r="J17" s="196">
        <f>I17*(1+Premissas!$L$18)</f>
        <v>507</v>
      </c>
      <c r="K17" s="196">
        <f>J17*(1+Premissas!$L$21)</f>
        <v>507</v>
      </c>
      <c r="L17" s="196">
        <f>K17*(1+Premissas!$L$17)</f>
        <v>537.42000000000007</v>
      </c>
      <c r="M17" s="197">
        <f>J17-H17</f>
        <v>207</v>
      </c>
      <c r="N17" s="4"/>
    </row>
    <row r="18" spans="2:14" ht="5.25" customHeight="1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/>
    </row>
    <row r="19" spans="2:14" ht="20.45" customHeight="1">
      <c r="B19" s="172" t="s">
        <v>40</v>
      </c>
      <c r="C19" s="173"/>
      <c r="D19" s="174" t="s">
        <v>75</v>
      </c>
      <c r="E19" s="173">
        <f>(C7/Premissas!I21)</f>
        <v>3.36</v>
      </c>
      <c r="F19" s="173">
        <f>ROUNDUP((C7/Premissas!I21),0)</f>
        <v>4</v>
      </c>
      <c r="G19" s="176">
        <f>Premissas!$L$20</f>
        <v>206</v>
      </c>
      <c r="H19" s="177">
        <f>G19*F19</f>
        <v>824</v>
      </c>
      <c r="I19" s="176">
        <f>G19*(1+Premissas!$L$18)</f>
        <v>267.8</v>
      </c>
      <c r="J19" s="176">
        <f>I19*F19</f>
        <v>1071.2</v>
      </c>
      <c r="K19" s="176">
        <f>J19*(1+Premissas!$L$21)</f>
        <v>1071.2</v>
      </c>
      <c r="L19" s="176">
        <f>K19*(1+Premissas!$L$17)</f>
        <v>1135.4720000000002</v>
      </c>
      <c r="M19" s="177">
        <f>J19-H19</f>
        <v>247.20000000000005</v>
      </c>
      <c r="N19" s="4"/>
    </row>
    <row r="20" spans="2:14" ht="20.45" customHeight="1">
      <c r="B20" s="178" t="s">
        <v>84</v>
      </c>
      <c r="C20" s="179"/>
      <c r="D20" s="180"/>
      <c r="E20" s="181">
        <f>E19/2</f>
        <v>1.68</v>
      </c>
      <c r="F20" s="182">
        <f>E20</f>
        <v>1.68</v>
      </c>
      <c r="G20" s="183">
        <f>Premissas!$L$19</f>
        <v>305</v>
      </c>
      <c r="H20" s="184">
        <f>G20*F20</f>
        <v>512.4</v>
      </c>
      <c r="I20" s="183">
        <f>G20*(1+Premissas!$L$18)</f>
        <v>396.5</v>
      </c>
      <c r="J20" s="183">
        <f>I20*F20</f>
        <v>666.12</v>
      </c>
      <c r="K20" s="183">
        <f>J20*(1+Premissas!$L$21)</f>
        <v>666.12</v>
      </c>
      <c r="L20" s="183">
        <f>K20*(1+Premissas!$L$17)</f>
        <v>706.08720000000005</v>
      </c>
      <c r="M20" s="184">
        <f>J20-H20</f>
        <v>153.72000000000003</v>
      </c>
      <c r="N20" s="4"/>
    </row>
    <row r="21" spans="2:14" ht="20.45" customHeight="1">
      <c r="B21" s="185" t="s">
        <v>97</v>
      </c>
      <c r="C21" s="186"/>
      <c r="D21" s="187"/>
      <c r="E21" s="188"/>
      <c r="F21" s="189"/>
      <c r="G21" s="190"/>
      <c r="H21" s="191">
        <f t="shared" ref="H21:M21" si="1">SUM(H19:H20)</f>
        <v>1336.4</v>
      </c>
      <c r="I21" s="190">
        <f t="shared" si="1"/>
        <v>664.3</v>
      </c>
      <c r="J21" s="190">
        <f t="shared" si="1"/>
        <v>1737.3200000000002</v>
      </c>
      <c r="K21" s="190">
        <f t="shared" si="1"/>
        <v>1737.3200000000002</v>
      </c>
      <c r="L21" s="190">
        <f>SUM(L19:L20)</f>
        <v>1841.5592000000001</v>
      </c>
      <c r="M21" s="191">
        <f t="shared" si="1"/>
        <v>400.92000000000007</v>
      </c>
      <c r="N21" s="4"/>
    </row>
    <row r="22" spans="2:14" ht="6" customHeight="1">
      <c r="B22" s="167"/>
      <c r="C22" s="168"/>
      <c r="D22" s="168"/>
      <c r="E22" s="168"/>
      <c r="F22" s="168"/>
      <c r="G22" s="169"/>
      <c r="H22" s="170"/>
      <c r="I22" s="169"/>
      <c r="J22" s="169"/>
      <c r="K22" s="169"/>
      <c r="L22" s="171"/>
      <c r="M22" s="418"/>
      <c r="N22" s="4"/>
    </row>
    <row r="23" spans="2:14" ht="24" customHeight="1">
      <c r="B23" s="269" t="s">
        <v>93</v>
      </c>
      <c r="C23" s="270"/>
      <c r="D23" s="271"/>
      <c r="E23" s="270"/>
      <c r="F23" s="272"/>
      <c r="G23" s="273"/>
      <c r="H23" s="274">
        <f>SUM(H7,H8,H9,H11,H12,H14,H15,H17,H21)</f>
        <v>6214.4499999999989</v>
      </c>
      <c r="I23" s="273"/>
      <c r="J23" s="273"/>
      <c r="K23" s="273"/>
      <c r="L23" s="273">
        <f>SUM(L7,L8,L9,L11,L12,L14,L15,L17,L21)</f>
        <v>8687.5321000000004</v>
      </c>
      <c r="M23" s="274">
        <f>SUM(M7,M8,M9,M11,M12,M14,M15,M17,M21)</f>
        <v>1981.3350000000005</v>
      </c>
      <c r="N23" s="4"/>
    </row>
    <row r="24" spans="2:14" ht="24" customHeight="1">
      <c r="B24" s="536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8"/>
      <c r="N24" s="4"/>
    </row>
    <row r="25" spans="2:14" ht="19.899999999999999" customHeight="1">
      <c r="B25" s="539" t="s">
        <v>9</v>
      </c>
      <c r="C25" s="535" t="s">
        <v>102</v>
      </c>
      <c r="D25" s="535"/>
      <c r="E25" s="535"/>
      <c r="F25" s="535"/>
      <c r="G25" s="535"/>
      <c r="H25" s="535"/>
      <c r="I25" s="535"/>
      <c r="J25" s="535"/>
      <c r="K25" s="535"/>
      <c r="L25" s="535"/>
      <c r="M25" s="535"/>
    </row>
    <row r="26" spans="2:14" ht="19.899999999999999" customHeight="1">
      <c r="B26" s="535"/>
      <c r="C26" s="165" t="s">
        <v>36</v>
      </c>
      <c r="D26" s="165" t="s">
        <v>10</v>
      </c>
      <c r="E26" s="165" t="s">
        <v>11</v>
      </c>
      <c r="F26" s="165" t="s">
        <v>56</v>
      </c>
      <c r="G26" s="165" t="s">
        <v>30</v>
      </c>
      <c r="H26" s="166" t="s">
        <v>29</v>
      </c>
      <c r="I26" s="165" t="s">
        <v>31</v>
      </c>
      <c r="J26" s="165" t="s">
        <v>32</v>
      </c>
      <c r="K26" s="165" t="s">
        <v>92</v>
      </c>
      <c r="L26" s="165" t="s">
        <v>79</v>
      </c>
      <c r="M26" s="165" t="s">
        <v>88</v>
      </c>
    </row>
    <row r="27" spans="2:14" ht="19.899999999999999" customHeight="1">
      <c r="B27" s="172" t="s">
        <v>36</v>
      </c>
      <c r="C27" s="173">
        <f>'Dashboard Mod. Espaçado'!C6</f>
        <v>35</v>
      </c>
      <c r="D27" s="174" t="s">
        <v>15</v>
      </c>
      <c r="E27" s="173">
        <f>C27</f>
        <v>35</v>
      </c>
      <c r="F27" s="175">
        <f>ROUNDUP(E27,)</f>
        <v>35</v>
      </c>
      <c r="G27" s="176">
        <v>31</v>
      </c>
      <c r="H27" s="177">
        <f>G27*F27</f>
        <v>1085</v>
      </c>
      <c r="I27" s="176">
        <f>G27*(1+Premissas!$L$18)</f>
        <v>40.300000000000004</v>
      </c>
      <c r="J27" s="176">
        <f>I27*F27</f>
        <v>1410.5000000000002</v>
      </c>
      <c r="K27" s="176">
        <f>J27*(1+Premissas!$L$21)</f>
        <v>1410.5000000000002</v>
      </c>
      <c r="L27" s="176">
        <f>K27*(1+Premissas!$L$17)</f>
        <v>1495.1300000000003</v>
      </c>
      <c r="M27" s="177">
        <f>J27-H27</f>
        <v>325.50000000000023</v>
      </c>
    </row>
    <row r="28" spans="2:14" ht="19.899999999999999" customHeight="1">
      <c r="B28" s="178" t="s">
        <v>37</v>
      </c>
      <c r="C28" s="179"/>
      <c r="D28" s="180" t="s">
        <v>38</v>
      </c>
      <c r="E28" s="181">
        <f>E27/3.9</f>
        <v>8.9743589743589745</v>
      </c>
      <c r="F28" s="182">
        <f>ROUNDUP(E28,)</f>
        <v>9</v>
      </c>
      <c r="G28" s="183">
        <v>18</v>
      </c>
      <c r="H28" s="184">
        <f>G28*F28</f>
        <v>162</v>
      </c>
      <c r="I28" s="183">
        <f>G28*(1+Premissas!$L$18)</f>
        <v>23.400000000000002</v>
      </c>
      <c r="J28" s="183">
        <f>I28*F28</f>
        <v>210.60000000000002</v>
      </c>
      <c r="K28" s="183">
        <f>J28*(1+Premissas!$L$21)</f>
        <v>210.60000000000002</v>
      </c>
      <c r="L28" s="183">
        <f>K28*(1+Premissas!$L$17)</f>
        <v>223.23600000000005</v>
      </c>
      <c r="M28" s="184">
        <f t="shared" ref="M28:M29" si="2">J28-H28</f>
        <v>48.600000000000023</v>
      </c>
    </row>
    <row r="29" spans="2:14" ht="19.899999999999999" customHeight="1">
      <c r="B29" s="185" t="s">
        <v>76</v>
      </c>
      <c r="C29" s="186"/>
      <c r="D29" s="187"/>
      <c r="E29" s="188">
        <f>C27*0.1</f>
        <v>3.5</v>
      </c>
      <c r="F29" s="189">
        <f>ROUNDUP(E29,)</f>
        <v>4</v>
      </c>
      <c r="G29" s="190">
        <v>33</v>
      </c>
      <c r="H29" s="191">
        <f>G29*F29</f>
        <v>132</v>
      </c>
      <c r="I29" s="190">
        <f>G29*(1+Premissas!$L$18)</f>
        <v>42.9</v>
      </c>
      <c r="J29" s="190">
        <f>I29*F29</f>
        <v>171.6</v>
      </c>
      <c r="K29" s="190">
        <f>J29*(1+Premissas!$L$21)</f>
        <v>171.6</v>
      </c>
      <c r="L29" s="190">
        <f>K29*(1+Premissas!$L$17)</f>
        <v>181.89600000000002</v>
      </c>
      <c r="M29" s="191">
        <f t="shared" si="2"/>
        <v>39.599999999999994</v>
      </c>
    </row>
    <row r="30" spans="2:14" ht="4.5" customHeight="1">
      <c r="B30" s="167"/>
      <c r="C30" s="168"/>
      <c r="D30" s="168"/>
      <c r="E30" s="168"/>
      <c r="F30" s="168"/>
      <c r="G30" s="169"/>
      <c r="H30" s="170"/>
      <c r="I30" s="169"/>
      <c r="J30" s="169"/>
      <c r="K30" s="169"/>
      <c r="L30" s="171"/>
      <c r="M30" s="418"/>
    </row>
    <row r="31" spans="2:14" ht="19.899999999999999" customHeight="1">
      <c r="B31" s="172" t="s">
        <v>100</v>
      </c>
      <c r="C31" s="173">
        <v>0</v>
      </c>
      <c r="D31" s="174" t="s">
        <v>15</v>
      </c>
      <c r="E31" s="173">
        <v>0</v>
      </c>
      <c r="F31" s="175">
        <f>E31</f>
        <v>0</v>
      </c>
      <c r="G31" s="176">
        <v>37.5</v>
      </c>
      <c r="H31" s="177">
        <f>G31*F31</f>
        <v>0</v>
      </c>
      <c r="I31" s="176">
        <f>G31*(1+Premissas!$L$18)</f>
        <v>48.75</v>
      </c>
      <c r="J31" s="176">
        <f>I31*F31</f>
        <v>0</v>
      </c>
      <c r="K31" s="176">
        <f>J31*(1+Premissas!$L$21)</f>
        <v>0</v>
      </c>
      <c r="L31" s="176">
        <f>K31*(1+Premissas!$L$17)</f>
        <v>0</v>
      </c>
      <c r="M31" s="177">
        <f>J31-H31</f>
        <v>0</v>
      </c>
    </row>
    <row r="32" spans="2:14" ht="19.899999999999999" customHeight="1">
      <c r="B32" s="185" t="s">
        <v>53</v>
      </c>
      <c r="C32" s="186"/>
      <c r="D32" s="187" t="s">
        <v>15</v>
      </c>
      <c r="E32" s="188"/>
      <c r="F32" s="189">
        <v>0</v>
      </c>
      <c r="G32" s="190">
        <v>59</v>
      </c>
      <c r="H32" s="191">
        <f>G32*F32</f>
        <v>0</v>
      </c>
      <c r="I32" s="190">
        <f>G32*(1+Premissas!$L$18)</f>
        <v>76.7</v>
      </c>
      <c r="J32" s="190">
        <f>I32*F32</f>
        <v>0</v>
      </c>
      <c r="K32" s="190">
        <f>J32*(1+Premissas!$L$21)</f>
        <v>0</v>
      </c>
      <c r="L32" s="190">
        <f>K32*(1+Premissas!$L$17)</f>
        <v>0</v>
      </c>
      <c r="M32" s="191">
        <f>J32-H32</f>
        <v>0</v>
      </c>
    </row>
    <row r="33" spans="2:13" ht="3.75" customHeight="1">
      <c r="B33" s="167"/>
      <c r="C33" s="168"/>
      <c r="D33" s="168"/>
      <c r="E33" s="168"/>
      <c r="F33" s="168"/>
      <c r="G33" s="169"/>
      <c r="H33" s="170"/>
      <c r="I33" s="169"/>
      <c r="J33" s="169"/>
      <c r="K33" s="169"/>
      <c r="L33" s="171"/>
      <c r="M33" s="418"/>
    </row>
    <row r="34" spans="2:13" ht="19.899999999999999" customHeight="1">
      <c r="B34" s="172" t="s">
        <v>39</v>
      </c>
      <c r="C34" s="173"/>
      <c r="D34" s="174"/>
      <c r="E34" s="173"/>
      <c r="F34" s="175"/>
      <c r="G34" s="176"/>
      <c r="H34" s="177">
        <f>H14</f>
        <v>1281.0499999999997</v>
      </c>
      <c r="I34" s="176">
        <f>H34*(1+Premissas!$L$18)</f>
        <v>1665.3649999999998</v>
      </c>
      <c r="J34" s="176">
        <f>H34*(1+Premissas!$L$18)</f>
        <v>1665.3649999999998</v>
      </c>
      <c r="K34" s="176">
        <f>J34*(1+Premissas!$L$21)</f>
        <v>1665.3649999999998</v>
      </c>
      <c r="L34" s="176">
        <f>K34*(1+Premissas!$L$17)</f>
        <v>1765.2868999999998</v>
      </c>
      <c r="M34" s="177">
        <f>J34-H34</f>
        <v>384.31500000000005</v>
      </c>
    </row>
    <row r="35" spans="2:13" ht="19.899999999999999" customHeight="1">
      <c r="B35" s="185" t="s">
        <v>74</v>
      </c>
      <c r="C35" s="186"/>
      <c r="D35" s="187" t="s">
        <v>101</v>
      </c>
      <c r="E35" s="188"/>
      <c r="F35" s="189"/>
      <c r="G35" s="190"/>
      <c r="H35" s="191">
        <v>0</v>
      </c>
      <c r="I35" s="190">
        <f>H35*(1+Premissas!$L$18)</f>
        <v>0</v>
      </c>
      <c r="J35" s="190">
        <f>H35*(1+Premissas!$L$18)</f>
        <v>0</v>
      </c>
      <c r="K35" s="190">
        <f>J35*(1+Premissas!$L$21)</f>
        <v>0</v>
      </c>
      <c r="L35" s="190">
        <f>K35*(1+Premissas!$L$17)</f>
        <v>0</v>
      </c>
      <c r="M35" s="191">
        <f>J35-H35</f>
        <v>0</v>
      </c>
    </row>
    <row r="36" spans="2:13" ht="3.75" customHeight="1">
      <c r="B36" s="167"/>
      <c r="C36" s="168"/>
      <c r="D36" s="168"/>
      <c r="E36" s="168"/>
      <c r="F36" s="168"/>
      <c r="G36" s="169"/>
      <c r="H36" s="170"/>
      <c r="I36" s="169"/>
      <c r="J36" s="169"/>
      <c r="K36" s="169"/>
      <c r="L36" s="171"/>
      <c r="M36" s="418"/>
    </row>
    <row r="37" spans="2:13" ht="19.899999999999999" customHeight="1">
      <c r="B37" s="192" t="s">
        <v>118</v>
      </c>
      <c r="C37" s="193"/>
      <c r="D37" s="194"/>
      <c r="E37" s="193">
        <v>1</v>
      </c>
      <c r="F37" s="195">
        <f>E37</f>
        <v>1</v>
      </c>
      <c r="G37" s="196">
        <v>300</v>
      </c>
      <c r="H37" s="197">
        <f>G37*F37</f>
        <v>300</v>
      </c>
      <c r="I37" s="196">
        <f>G37*(1+Premissas!$L$18)</f>
        <v>390</v>
      </c>
      <c r="J37" s="196">
        <f>I37*(1+Premissas!$L$18)</f>
        <v>507</v>
      </c>
      <c r="K37" s="196">
        <f>J37*(1+Premissas!$L$21)</f>
        <v>507</v>
      </c>
      <c r="L37" s="196">
        <f>K37*(1+Premissas!$L$17)</f>
        <v>537.42000000000007</v>
      </c>
      <c r="M37" s="197">
        <f>J37-H37</f>
        <v>207</v>
      </c>
    </row>
    <row r="38" spans="2:13" ht="3.75" customHeight="1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2:13" ht="19.899999999999999" customHeight="1">
      <c r="B39" s="172" t="s">
        <v>40</v>
      </c>
      <c r="C39" s="173"/>
      <c r="D39" s="174" t="s">
        <v>75</v>
      </c>
      <c r="E39" s="173">
        <f>(C27/Premissas!$I$21)</f>
        <v>1.4</v>
      </c>
      <c r="F39" s="173">
        <f>ROUNDUP((C27/Premissas!$I$21),0)</f>
        <v>2</v>
      </c>
      <c r="G39" s="176">
        <f>Premissas!$L$20</f>
        <v>206</v>
      </c>
      <c r="H39" s="177">
        <f>G39*F39</f>
        <v>412</v>
      </c>
      <c r="I39" s="176">
        <f>G39*(1+Premissas!$L$18)</f>
        <v>267.8</v>
      </c>
      <c r="J39" s="176">
        <f>I39*F39</f>
        <v>535.6</v>
      </c>
      <c r="K39" s="176">
        <f>J39*(1+Premissas!$L$21)</f>
        <v>535.6</v>
      </c>
      <c r="L39" s="176">
        <f>K39*(1+Premissas!$L$17)</f>
        <v>567.7360000000001</v>
      </c>
      <c r="M39" s="177">
        <f>J39-H39</f>
        <v>123.60000000000002</v>
      </c>
    </row>
    <row r="40" spans="2:13" ht="19.899999999999999" customHeight="1">
      <c r="B40" s="178" t="s">
        <v>84</v>
      </c>
      <c r="C40" s="179"/>
      <c r="D40" s="180"/>
      <c r="E40" s="181">
        <f>E39/2</f>
        <v>0.7</v>
      </c>
      <c r="F40" s="182">
        <f>E40</f>
        <v>0.7</v>
      </c>
      <c r="G40" s="183">
        <f>Premissas!$L$19</f>
        <v>305</v>
      </c>
      <c r="H40" s="184">
        <f>G40*F40</f>
        <v>213.5</v>
      </c>
      <c r="I40" s="183">
        <f>G40*(1+Premissas!$L$18)</f>
        <v>396.5</v>
      </c>
      <c r="J40" s="183">
        <f>I40*F40</f>
        <v>277.54999999999995</v>
      </c>
      <c r="K40" s="183">
        <f>J40*(1+Premissas!$L$21)</f>
        <v>277.54999999999995</v>
      </c>
      <c r="L40" s="183">
        <f>K40*(1+Premissas!$L$17)</f>
        <v>294.20299999999997</v>
      </c>
      <c r="M40" s="184">
        <f>J40-H40</f>
        <v>64.049999999999955</v>
      </c>
    </row>
    <row r="41" spans="2:13" ht="19.899999999999999" customHeight="1">
      <c r="B41" s="185" t="s">
        <v>97</v>
      </c>
      <c r="C41" s="186"/>
      <c r="D41" s="187"/>
      <c r="E41" s="188"/>
      <c r="F41" s="189"/>
      <c r="G41" s="190"/>
      <c r="H41" s="191">
        <f t="shared" ref="H41:M41" si="3">SUM(H39:H40)</f>
        <v>625.5</v>
      </c>
      <c r="I41" s="190">
        <f t="shared" si="3"/>
        <v>664.3</v>
      </c>
      <c r="J41" s="190">
        <f t="shared" si="3"/>
        <v>813.15</v>
      </c>
      <c r="K41" s="190">
        <f t="shared" si="3"/>
        <v>813.15</v>
      </c>
      <c r="L41" s="190">
        <f>SUM(L39:L40)</f>
        <v>861.93900000000008</v>
      </c>
      <c r="M41" s="191">
        <f t="shared" si="3"/>
        <v>187.64999999999998</v>
      </c>
    </row>
    <row r="42" spans="2:13" ht="4.5" customHeight="1">
      <c r="B42" s="167"/>
      <c r="C42" s="168"/>
      <c r="D42" s="168"/>
      <c r="E42" s="168"/>
      <c r="F42" s="168"/>
      <c r="G42" s="169"/>
      <c r="H42" s="170"/>
      <c r="I42" s="169"/>
      <c r="J42" s="169"/>
      <c r="K42" s="169"/>
      <c r="L42" s="171"/>
      <c r="M42" s="418"/>
    </row>
    <row r="43" spans="2:13" ht="19.899999999999999" customHeight="1">
      <c r="B43" s="192" t="s">
        <v>93</v>
      </c>
      <c r="C43" s="193"/>
      <c r="D43" s="194"/>
      <c r="E43" s="193"/>
      <c r="F43" s="195"/>
      <c r="G43" s="196"/>
      <c r="H43" s="197">
        <f>SUM(H27,H28,H29,H31,H32,H34,H35,H37,H41)</f>
        <v>3585.5499999999997</v>
      </c>
      <c r="I43" s="196"/>
      <c r="J43" s="196"/>
      <c r="K43" s="196">
        <f>SUM(K27,K28,K29,K31,K32,K34,K35,K37,K41)</f>
        <v>4778.2150000000001</v>
      </c>
      <c r="L43" s="196">
        <f>SUM(L27,L28,L29,L31,L32,L34,L35,L37,L41)</f>
        <v>5064.9079000000002</v>
      </c>
      <c r="M43" s="197">
        <f>SUM(M27,M28,M29,M31,M32,M34,M35,M37,M41)</f>
        <v>1192.6650000000004</v>
      </c>
    </row>
    <row r="44" spans="2:13" ht="19.899999999999999" customHeight="1">
      <c r="B44" s="417"/>
      <c r="C44" s="417"/>
      <c r="D44" s="417"/>
      <c r="E44" s="417"/>
      <c r="F44" s="417"/>
      <c r="G44" s="417"/>
      <c r="H44" s="419"/>
      <c r="I44" s="417"/>
      <c r="J44" s="417"/>
      <c r="K44" s="417"/>
      <c r="L44" s="417"/>
      <c r="M44" s="417"/>
    </row>
  </sheetData>
  <mergeCells count="5">
    <mergeCell ref="C25:M25"/>
    <mergeCell ref="B24:M24"/>
    <mergeCell ref="B25:B26"/>
    <mergeCell ref="C4:M4"/>
    <mergeCell ref="B4:B5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JA44"/>
  <sheetViews>
    <sheetView showGridLines="0" zoomScale="80" zoomScaleNormal="80" workbookViewId="0">
      <pane xSplit="3" ySplit="5" topLeftCell="F6" activePane="bottomRight" state="frozen"/>
      <selection pane="topRight"/>
      <selection pane="bottomLeft"/>
      <selection pane="bottomRight" activeCell="D24" sqref="D24"/>
    </sheetView>
  </sheetViews>
  <sheetFormatPr defaultColWidth="16.28515625" defaultRowHeight="19.899999999999999" customHeight="1"/>
  <cols>
    <col min="1" max="1" width="2.7109375" style="7" customWidth="1"/>
    <col min="2" max="2" width="35.140625" style="7" customWidth="1"/>
    <col min="3" max="3" width="25.7109375" style="3" customWidth="1"/>
    <col min="4" max="4" width="12.140625" style="3" bestFit="1" customWidth="1"/>
    <col min="5" max="5" width="12.7109375" style="3" customWidth="1"/>
    <col min="6" max="6" width="15.28515625" style="3" bestFit="1" customWidth="1"/>
    <col min="7" max="7" width="18.7109375" style="3" bestFit="1" customWidth="1"/>
    <col min="8" max="8" width="16.28515625" style="3" customWidth="1"/>
    <col min="9" max="9" width="16.28515625" style="39" customWidth="1"/>
    <col min="10" max="10" width="21.28515625" style="3" customWidth="1"/>
    <col min="11" max="11" width="22.140625" style="3" customWidth="1"/>
    <col min="12" max="12" width="19.28515625" style="3" customWidth="1"/>
    <col min="13" max="13" width="16.28515625" style="3" customWidth="1"/>
    <col min="14" max="14" width="14.7109375" style="3" customWidth="1"/>
    <col min="15" max="15" width="5.7109375" style="3" customWidth="1"/>
    <col min="16" max="261" width="16.28515625" style="3" customWidth="1"/>
    <col min="262" max="16384" width="16.28515625" style="7"/>
  </cols>
  <sheetData>
    <row r="1" spans="1:261" ht="12.75">
      <c r="A1" s="9"/>
      <c r="B1" s="9"/>
      <c r="C1" s="34"/>
      <c r="D1" s="34"/>
      <c r="E1" s="417"/>
      <c r="F1" s="34"/>
      <c r="G1" s="34"/>
      <c r="H1" s="34"/>
      <c r="I1" s="34"/>
      <c r="J1" s="34"/>
      <c r="K1" s="34"/>
      <c r="L1" s="417"/>
      <c r="M1" s="417"/>
      <c r="N1" s="417"/>
      <c r="O1" s="417"/>
    </row>
    <row r="2" spans="1:261" ht="12.75">
      <c r="A2" s="9"/>
      <c r="B2" s="9"/>
      <c r="C2" s="34"/>
      <c r="D2" s="34"/>
      <c r="E2" s="417"/>
      <c r="F2" s="34"/>
      <c r="G2" s="34"/>
      <c r="H2" s="34"/>
      <c r="I2" s="34"/>
      <c r="J2" s="34"/>
      <c r="K2" s="34"/>
      <c r="L2" s="417"/>
      <c r="M2" s="417"/>
      <c r="N2" s="417"/>
      <c r="O2" s="417"/>
    </row>
    <row r="3" spans="1:261" ht="12.75">
      <c r="A3" s="9"/>
      <c r="B3" s="9"/>
      <c r="C3" s="34"/>
      <c r="D3" s="34"/>
      <c r="E3" s="417"/>
      <c r="F3" s="34"/>
      <c r="G3" s="34"/>
      <c r="H3" s="34"/>
      <c r="I3" s="34"/>
      <c r="J3" s="34"/>
      <c r="K3" s="34"/>
      <c r="L3" s="417"/>
      <c r="M3" s="417"/>
      <c r="N3" s="417"/>
      <c r="O3" s="417"/>
    </row>
    <row r="4" spans="1:261" ht="8.25" customHeight="1">
      <c r="A4" s="9"/>
      <c r="B4" s="9"/>
      <c r="C4" s="45"/>
      <c r="D4" s="417"/>
      <c r="E4" s="417"/>
      <c r="F4" s="417"/>
      <c r="G4" s="417"/>
      <c r="H4" s="417"/>
      <c r="I4" s="419"/>
      <c r="J4" s="417"/>
      <c r="K4" s="417"/>
      <c r="L4" s="417"/>
      <c r="M4" s="417"/>
      <c r="N4" s="417"/>
      <c r="O4" s="417"/>
      <c r="P4" s="40"/>
      <c r="Q4" s="40"/>
    </row>
    <row r="5" spans="1:261" s="3" customFormat="1" ht="20.65" customHeight="1">
      <c r="A5" s="417"/>
      <c r="B5" s="222" t="s">
        <v>50</v>
      </c>
      <c r="C5" s="213" t="s">
        <v>9</v>
      </c>
      <c r="D5" s="213" t="s">
        <v>36</v>
      </c>
      <c r="E5" s="213" t="s">
        <v>10</v>
      </c>
      <c r="F5" s="213" t="s">
        <v>11</v>
      </c>
      <c r="G5" s="213" t="s">
        <v>56</v>
      </c>
      <c r="H5" s="213" t="s">
        <v>30</v>
      </c>
      <c r="I5" s="215" t="s">
        <v>29</v>
      </c>
      <c r="J5" s="213" t="s">
        <v>31</v>
      </c>
      <c r="K5" s="213" t="s">
        <v>32</v>
      </c>
      <c r="L5" s="213" t="s">
        <v>92</v>
      </c>
      <c r="M5" s="213" t="s">
        <v>79</v>
      </c>
      <c r="N5" s="214" t="s">
        <v>88</v>
      </c>
      <c r="O5" s="6"/>
      <c r="P5" s="40"/>
      <c r="Q5" s="40"/>
    </row>
    <row r="6" spans="1:261" s="3" customFormat="1" ht="20.45" customHeight="1">
      <c r="A6" s="417"/>
      <c r="B6" s="542" t="s">
        <v>157</v>
      </c>
      <c r="C6" s="268" t="s">
        <v>55</v>
      </c>
      <c r="D6" s="207">
        <f>'Cálculo de Módulos Plastwall'!C6</f>
        <v>84</v>
      </c>
      <c r="E6" s="208" t="s">
        <v>33</v>
      </c>
      <c r="F6" s="209">
        <f>D6*2</f>
        <v>168</v>
      </c>
      <c r="G6" s="210">
        <f>ROUNDUP(F6,)</f>
        <v>168</v>
      </c>
      <c r="H6" s="211">
        <v>25</v>
      </c>
      <c r="I6" s="219">
        <f>H6*G6</f>
        <v>4200</v>
      </c>
      <c r="J6" s="211">
        <f>H6*(1+Premissas!$M$18)</f>
        <v>32.5</v>
      </c>
      <c r="K6" s="211">
        <f t="shared" ref="K6:K7" si="0">J6*G6</f>
        <v>5460</v>
      </c>
      <c r="L6" s="211">
        <f>K6*(1+Premissas!$M$21)</f>
        <v>5460</v>
      </c>
      <c r="M6" s="216">
        <f>L6*(1+Premissas!$M$17)</f>
        <v>5787.6</v>
      </c>
      <c r="N6" s="212">
        <f t="shared" ref="N6:N7" si="1">K6-I6</f>
        <v>1260</v>
      </c>
      <c r="O6" s="6"/>
      <c r="P6" s="56"/>
      <c r="Q6" s="57"/>
    </row>
    <row r="7" spans="1:261" s="3" customFormat="1" ht="20.45" customHeight="1">
      <c r="A7" s="417"/>
      <c r="B7" s="542"/>
      <c r="C7" s="246" t="s">
        <v>86</v>
      </c>
      <c r="D7" s="201"/>
      <c r="E7" s="201" t="s">
        <v>87</v>
      </c>
      <c r="F7" s="202">
        <f>F6/4</f>
        <v>42</v>
      </c>
      <c r="G7" s="203">
        <f>ROUNDUP(F7,)</f>
        <v>42</v>
      </c>
      <c r="H7" s="204">
        <v>13</v>
      </c>
      <c r="I7" s="220">
        <f>H7*G7</f>
        <v>546</v>
      </c>
      <c r="J7" s="204">
        <f>H7*(1+Premissas!$M$18)</f>
        <v>16.900000000000002</v>
      </c>
      <c r="K7" s="204">
        <f t="shared" si="0"/>
        <v>709.80000000000007</v>
      </c>
      <c r="L7" s="204">
        <f>K7*(1+Premissas!$M$21)</f>
        <v>709.80000000000007</v>
      </c>
      <c r="M7" s="217">
        <f>L7*(1+Premissas!$M$17)</f>
        <v>752.38800000000015</v>
      </c>
      <c r="N7" s="206">
        <f t="shared" si="1"/>
        <v>163.80000000000007</v>
      </c>
      <c r="O7" s="6"/>
      <c r="P7" s="56"/>
      <c r="Q7" s="58"/>
    </row>
    <row r="8" spans="1:261" s="3" customFormat="1" ht="20.45" customHeight="1">
      <c r="A8" s="417"/>
      <c r="B8" s="543"/>
      <c r="C8" s="221" t="s">
        <v>35</v>
      </c>
      <c r="D8" s="198"/>
      <c r="E8" s="198"/>
      <c r="F8" s="198"/>
      <c r="G8" s="199">
        <f t="shared" ref="G8" si="2">ROUNDUP(F8,1)</f>
        <v>0</v>
      </c>
      <c r="H8" s="200"/>
      <c r="I8" s="164">
        <f>SUM(I6:I7)</f>
        <v>4746</v>
      </c>
      <c r="J8" s="200"/>
      <c r="K8" s="200">
        <f>SUM(K6:K7)</f>
        <v>6169.8</v>
      </c>
      <c r="L8" s="200">
        <f>SUM(L6:L7)</f>
        <v>6169.8</v>
      </c>
      <c r="M8" s="164">
        <f>SUM(M6:M7)</f>
        <v>6539.9880000000003</v>
      </c>
      <c r="N8" s="420">
        <f>SUM(N6:N7)</f>
        <v>1423.8000000000002</v>
      </c>
      <c r="O8" s="421"/>
      <c r="P8" s="56"/>
      <c r="Q8" s="57"/>
    </row>
    <row r="9" spans="1:261" s="3" customFormat="1" ht="6" customHeight="1">
      <c r="A9" s="417"/>
      <c r="B9" s="417"/>
      <c r="C9" s="45"/>
      <c r="D9" s="46"/>
      <c r="E9" s="46"/>
      <c r="F9" s="46"/>
      <c r="G9" s="46"/>
      <c r="H9" s="47"/>
      <c r="I9" s="48"/>
      <c r="J9" s="47"/>
      <c r="K9" s="47"/>
      <c r="L9" s="47"/>
      <c r="M9" s="49"/>
      <c r="N9" s="422"/>
      <c r="O9" s="422"/>
      <c r="P9" s="55"/>
      <c r="Q9" s="40"/>
    </row>
    <row r="10" spans="1:261" s="3" customFormat="1" ht="17.25" customHeight="1">
      <c r="A10" s="417"/>
      <c r="B10" s="205"/>
      <c r="C10" s="213" t="s">
        <v>9</v>
      </c>
      <c r="D10" s="213" t="s">
        <v>36</v>
      </c>
      <c r="E10" s="213" t="s">
        <v>10</v>
      </c>
      <c r="F10" s="213" t="s">
        <v>11</v>
      </c>
      <c r="G10" s="213" t="s">
        <v>56</v>
      </c>
      <c r="H10" s="213" t="s">
        <v>30</v>
      </c>
      <c r="I10" s="215" t="s">
        <v>29</v>
      </c>
      <c r="J10" s="213" t="s">
        <v>31</v>
      </c>
      <c r="K10" s="213" t="s">
        <v>32</v>
      </c>
      <c r="L10" s="213" t="s">
        <v>92</v>
      </c>
      <c r="M10" s="213" t="s">
        <v>79</v>
      </c>
      <c r="N10" s="214" t="s">
        <v>88</v>
      </c>
      <c r="O10" s="417"/>
      <c r="P10" s="40"/>
      <c r="Q10" s="40"/>
    </row>
    <row r="11" spans="1:261" s="3" customFormat="1" ht="19.899999999999999" customHeight="1">
      <c r="A11" s="417"/>
      <c r="B11" s="542" t="s">
        <v>158</v>
      </c>
      <c r="C11" s="237" t="s">
        <v>55</v>
      </c>
      <c r="D11" s="238">
        <f>'Dashboard Mod. Espaçado'!C6</f>
        <v>35</v>
      </c>
      <c r="E11" s="239" t="s">
        <v>33</v>
      </c>
      <c r="F11" s="240">
        <f>D11*2</f>
        <v>70</v>
      </c>
      <c r="G11" s="241">
        <f>ROUNDUP(F11,)</f>
        <v>70</v>
      </c>
      <c r="H11" s="242">
        <v>25</v>
      </c>
      <c r="I11" s="243">
        <f>H11*G11</f>
        <v>1750</v>
      </c>
      <c r="J11" s="242">
        <f>H11*(1+Premissas!$M$18)</f>
        <v>32.5</v>
      </c>
      <c r="K11" s="242">
        <f>J11*G11</f>
        <v>2275</v>
      </c>
      <c r="L11" s="242">
        <f>K11*(1+Premissas!$M$21)</f>
        <v>2275</v>
      </c>
      <c r="M11" s="244">
        <f>L11*(1+Premissas!$M$17)</f>
        <v>2411.5</v>
      </c>
      <c r="N11" s="245">
        <f t="shared" ref="N11:N12" si="3">K11-I11</f>
        <v>525</v>
      </c>
      <c r="O11" s="417"/>
    </row>
    <row r="12" spans="1:261" s="3" customFormat="1" ht="19.899999999999999" customHeight="1">
      <c r="A12" s="417"/>
      <c r="B12" s="542"/>
      <c r="C12" s="246" t="s">
        <v>86</v>
      </c>
      <c r="D12" s="201"/>
      <c r="E12" s="201" t="s">
        <v>87</v>
      </c>
      <c r="F12" s="202">
        <f>F11/4</f>
        <v>17.5</v>
      </c>
      <c r="G12" s="203">
        <f>ROUNDUP(F12,)</f>
        <v>18</v>
      </c>
      <c r="H12" s="204">
        <v>13</v>
      </c>
      <c r="I12" s="220">
        <f>H12*G12</f>
        <v>234</v>
      </c>
      <c r="J12" s="204">
        <f>H12*(1+Premissas!$M$18)</f>
        <v>16.900000000000002</v>
      </c>
      <c r="K12" s="204">
        <f>J12*G12</f>
        <v>304.20000000000005</v>
      </c>
      <c r="L12" s="204">
        <f>K12*(1+Premissas!$M$21)</f>
        <v>304.20000000000005</v>
      </c>
      <c r="M12" s="217">
        <f>L12*(1+Premissas!$M$17)</f>
        <v>322.45200000000006</v>
      </c>
      <c r="N12" s="206">
        <f t="shared" si="3"/>
        <v>70.200000000000045</v>
      </c>
      <c r="O12" s="417"/>
    </row>
    <row r="13" spans="1:261" s="3" customFormat="1" ht="19.899999999999999" customHeight="1">
      <c r="A13" s="417"/>
      <c r="B13" s="543"/>
      <c r="C13" s="221" t="s">
        <v>35</v>
      </c>
      <c r="D13" s="198"/>
      <c r="E13" s="198"/>
      <c r="F13" s="198"/>
      <c r="G13" s="199">
        <f t="shared" ref="G13" si="4">ROUNDUP(F13,1)</f>
        <v>0</v>
      </c>
      <c r="H13" s="200"/>
      <c r="I13" s="164">
        <f>SUM(I11:I12)</f>
        <v>1984</v>
      </c>
      <c r="J13" s="200"/>
      <c r="K13" s="200">
        <f>SUM(K11:K12)</f>
        <v>2579.1999999999998</v>
      </c>
      <c r="L13" s="200">
        <f>SUM(L11:L12)</f>
        <v>2579.1999999999998</v>
      </c>
      <c r="M13" s="164">
        <f>SUM(M11:M12)</f>
        <v>2733.9520000000002</v>
      </c>
      <c r="N13" s="420">
        <f>SUM(N11:N12)</f>
        <v>595.20000000000005</v>
      </c>
      <c r="O13" s="417"/>
    </row>
    <row r="14" spans="1:261" s="39" customFormat="1" ht="5.25" customHeight="1">
      <c r="A14" s="419"/>
      <c r="B14" s="419"/>
      <c r="C14" s="423"/>
      <c r="D14" s="423"/>
      <c r="E14" s="423"/>
      <c r="F14" s="423"/>
      <c r="G14" s="423"/>
      <c r="H14" s="423"/>
      <c r="I14" s="419"/>
      <c r="J14" s="417"/>
      <c r="K14" s="417"/>
      <c r="L14" s="417"/>
      <c r="M14" s="417"/>
      <c r="N14" s="417"/>
      <c r="O14" s="41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</row>
    <row r="15" spans="1:261" ht="19.899999999999999" customHeight="1">
      <c r="A15" s="9"/>
      <c r="B15" s="222"/>
      <c r="C15" s="213" t="s">
        <v>9</v>
      </c>
      <c r="D15" s="213" t="s">
        <v>36</v>
      </c>
      <c r="E15" s="213" t="s">
        <v>10</v>
      </c>
      <c r="F15" s="213" t="s">
        <v>11</v>
      </c>
      <c r="G15" s="213" t="s">
        <v>56</v>
      </c>
      <c r="H15" s="213" t="s">
        <v>30</v>
      </c>
      <c r="I15" s="215" t="s">
        <v>29</v>
      </c>
      <c r="J15" s="213" t="s">
        <v>31</v>
      </c>
      <c r="K15" s="213" t="s">
        <v>32</v>
      </c>
      <c r="L15" s="213" t="s">
        <v>92</v>
      </c>
      <c r="M15" s="213" t="s">
        <v>79</v>
      </c>
      <c r="N15" s="214" t="s">
        <v>88</v>
      </c>
      <c r="O15" s="417"/>
    </row>
    <row r="16" spans="1:261" ht="19.899999999999999" customHeight="1">
      <c r="A16" s="9"/>
      <c r="B16" s="544" t="s">
        <v>206</v>
      </c>
      <c r="C16" s="223" t="s">
        <v>54</v>
      </c>
      <c r="D16" s="224">
        <f>'Cálculo de Módulos Plastwall'!$C$6*Premissas!F21</f>
        <v>42</v>
      </c>
      <c r="E16" s="224" t="s">
        <v>57</v>
      </c>
      <c r="F16" s="225">
        <f>(D16*Premissas!F27)</f>
        <v>21</v>
      </c>
      <c r="G16" s="226">
        <f>ROUNDUP(F16,)</f>
        <v>21</v>
      </c>
      <c r="H16" s="227">
        <v>12</v>
      </c>
      <c r="I16" s="228">
        <f>H16*G16</f>
        <v>252</v>
      </c>
      <c r="J16" s="227">
        <f>H16*(1+Premissas!$M$18)</f>
        <v>15.600000000000001</v>
      </c>
      <c r="K16" s="227">
        <f>J16*G16</f>
        <v>327.60000000000002</v>
      </c>
      <c r="L16" s="227">
        <f>K16*(1+Premissas!$M$21)</f>
        <v>327.60000000000002</v>
      </c>
      <c r="M16" s="227">
        <f>L16*(1+Premissas!$M$17)</f>
        <v>347.25600000000003</v>
      </c>
      <c r="N16" s="229">
        <f>K16-I16</f>
        <v>75.600000000000023</v>
      </c>
      <c r="O16" s="417"/>
    </row>
    <row r="17" spans="1:16" ht="19.899999999999999" customHeight="1">
      <c r="A17" s="9"/>
      <c r="B17" s="545"/>
      <c r="C17" s="230" t="s">
        <v>55</v>
      </c>
      <c r="D17" s="231">
        <f>'Cálculo de Módulos Plastwall'!$C$6*Premissas!F19</f>
        <v>42</v>
      </c>
      <c r="E17" s="231" t="s">
        <v>33</v>
      </c>
      <c r="F17" s="232">
        <f>D17*Premissas!F25</f>
        <v>84</v>
      </c>
      <c r="G17" s="233">
        <f>ROUNDUP(F17,)</f>
        <v>84</v>
      </c>
      <c r="H17" s="234">
        <v>25</v>
      </c>
      <c r="I17" s="235">
        <f>H17*G17</f>
        <v>2100</v>
      </c>
      <c r="J17" s="234">
        <f>H17*(1+Premissas!$M$18)</f>
        <v>32.5</v>
      </c>
      <c r="K17" s="234">
        <f t="shared" ref="K17:K18" si="5">J17*G17</f>
        <v>2730</v>
      </c>
      <c r="L17" s="234">
        <f>K17*(1+Premissas!$M$21)</f>
        <v>2730</v>
      </c>
      <c r="M17" s="234">
        <f>L17*(1+Premissas!$M$17)</f>
        <v>2893.8</v>
      </c>
      <c r="N17" s="236">
        <f>K17-I17</f>
        <v>630</v>
      </c>
      <c r="O17" s="417"/>
    </row>
    <row r="18" spans="1:16" ht="19.899999999999999" customHeight="1">
      <c r="A18" s="9"/>
      <c r="B18" s="545"/>
      <c r="C18" s="248" t="s">
        <v>86</v>
      </c>
      <c r="D18" s="249"/>
      <c r="E18" s="249" t="s">
        <v>87</v>
      </c>
      <c r="F18" s="250">
        <f>F17/4</f>
        <v>21</v>
      </c>
      <c r="G18" s="251">
        <f>F18</f>
        <v>21</v>
      </c>
      <c r="H18" s="252">
        <v>13</v>
      </c>
      <c r="I18" s="253">
        <f>H18*G18</f>
        <v>273</v>
      </c>
      <c r="J18" s="252">
        <f>H18*(1+Premissas!$M$18)</f>
        <v>16.900000000000002</v>
      </c>
      <c r="K18" s="252">
        <f t="shared" si="5"/>
        <v>354.90000000000003</v>
      </c>
      <c r="L18" s="252">
        <f>K18*(1+Premissas!$M$21)</f>
        <v>354.90000000000003</v>
      </c>
      <c r="M18" s="252">
        <f>L18*(1+Premissas!$M$17)</f>
        <v>376.19400000000007</v>
      </c>
      <c r="N18" s="254">
        <f>K18-I18</f>
        <v>81.900000000000034</v>
      </c>
      <c r="O18" s="417"/>
    </row>
    <row r="19" spans="1:16" ht="19.899999999999999" customHeight="1">
      <c r="A19" s="9"/>
      <c r="B19" s="546"/>
      <c r="C19" s="255" t="s">
        <v>35</v>
      </c>
      <c r="D19" s="256"/>
      <c r="E19" s="256"/>
      <c r="F19" s="256"/>
      <c r="G19" s="257">
        <f t="shared" ref="G19" si="6">ROUNDUP(F19,1)</f>
        <v>0</v>
      </c>
      <c r="H19" s="164"/>
      <c r="I19" s="164">
        <f>SUM(I16:I18)</f>
        <v>2625</v>
      </c>
      <c r="J19" s="164"/>
      <c r="K19" s="164">
        <f>SUM(K16:K18)</f>
        <v>3412.5</v>
      </c>
      <c r="L19" s="164">
        <f>K19*(1+$Q$8)</f>
        <v>3412.5</v>
      </c>
      <c r="M19" s="164">
        <f>SUM(M16:M18)</f>
        <v>3617.25</v>
      </c>
      <c r="N19" s="424">
        <f>SUM(N16:N18)</f>
        <v>787.5</v>
      </c>
      <c r="O19" s="417"/>
    </row>
    <row r="20" spans="1:16" ht="5.25" customHeight="1">
      <c r="A20" s="9"/>
      <c r="B20" s="9"/>
      <c r="C20" s="417"/>
      <c r="D20" s="417"/>
      <c r="E20" s="417"/>
      <c r="F20" s="417"/>
      <c r="G20" s="417"/>
      <c r="H20" s="417"/>
      <c r="I20" s="419"/>
      <c r="J20" s="417"/>
      <c r="K20" s="417"/>
      <c r="L20" s="417"/>
      <c r="M20" s="417"/>
      <c r="N20" s="417"/>
      <c r="O20" s="417"/>
    </row>
    <row r="21" spans="1:16" ht="19.899999999999999" customHeight="1">
      <c r="A21" s="9"/>
      <c r="B21" s="222"/>
      <c r="C21" s="213" t="s">
        <v>9</v>
      </c>
      <c r="D21" s="213" t="s">
        <v>36</v>
      </c>
      <c r="E21" s="213" t="s">
        <v>10</v>
      </c>
      <c r="F21" s="213" t="s">
        <v>11</v>
      </c>
      <c r="G21" s="213" t="s">
        <v>56</v>
      </c>
      <c r="H21" s="213" t="s">
        <v>30</v>
      </c>
      <c r="I21" s="215" t="s">
        <v>29</v>
      </c>
      <c r="J21" s="213" t="s">
        <v>31</v>
      </c>
      <c r="K21" s="213" t="s">
        <v>32</v>
      </c>
      <c r="L21" s="213" t="s">
        <v>92</v>
      </c>
      <c r="M21" s="213" t="s">
        <v>79</v>
      </c>
      <c r="N21" s="214" t="s">
        <v>88</v>
      </c>
      <c r="O21" s="417"/>
    </row>
    <row r="22" spans="1:16" ht="19.899999999999999" customHeight="1">
      <c r="A22" s="9"/>
      <c r="B22" s="547" t="s">
        <v>204</v>
      </c>
      <c r="C22" s="223" t="s">
        <v>54</v>
      </c>
      <c r="D22" s="258">
        <f>'Dashboard Mod. Espaçado'!C6*Premissas!$F$21</f>
        <v>17.5</v>
      </c>
      <c r="E22" s="224" t="s">
        <v>57</v>
      </c>
      <c r="F22" s="225">
        <f>(D22*Premissas!F27)</f>
        <v>8.75</v>
      </c>
      <c r="G22" s="226">
        <f>ROUNDUP(F22,)</f>
        <v>9</v>
      </c>
      <c r="H22" s="227">
        <v>12</v>
      </c>
      <c r="I22" s="228">
        <f>H22*G22</f>
        <v>108</v>
      </c>
      <c r="J22" s="227">
        <f>H22*(1+Premissas!$M$18)</f>
        <v>15.600000000000001</v>
      </c>
      <c r="K22" s="227">
        <f>J22*G22</f>
        <v>140.4</v>
      </c>
      <c r="L22" s="227">
        <f>K22*(1+Premissas!$M$21)</f>
        <v>140.4</v>
      </c>
      <c r="M22" s="227">
        <f>L22*(1+Premissas!$M$17)</f>
        <v>148.82400000000001</v>
      </c>
      <c r="N22" s="229">
        <f>K22-I22</f>
        <v>32.400000000000006</v>
      </c>
      <c r="O22" s="417"/>
    </row>
    <row r="23" spans="1:16" ht="19.899999999999999" customHeight="1">
      <c r="A23" s="9"/>
      <c r="B23" s="542"/>
      <c r="C23" s="230" t="s">
        <v>55</v>
      </c>
      <c r="D23" s="259">
        <f>D22</f>
        <v>17.5</v>
      </c>
      <c r="E23" s="231" t="s">
        <v>33</v>
      </c>
      <c r="F23" s="232">
        <f>D23*Premissas!$F$25</f>
        <v>35</v>
      </c>
      <c r="G23" s="233">
        <f>ROUNDUP(F23,)</f>
        <v>35</v>
      </c>
      <c r="H23" s="234">
        <v>25</v>
      </c>
      <c r="I23" s="235">
        <f>H23*G23</f>
        <v>875</v>
      </c>
      <c r="J23" s="234">
        <f>H23*(1+Premissas!$M$18)</f>
        <v>32.5</v>
      </c>
      <c r="K23" s="234">
        <f t="shared" ref="K23:K24" si="7">J23*G23</f>
        <v>1137.5</v>
      </c>
      <c r="L23" s="234">
        <f>K23*(1+Premissas!$M$21)</f>
        <v>1137.5</v>
      </c>
      <c r="M23" s="234">
        <f>L23*(1+Premissas!$M$17)</f>
        <v>1205.75</v>
      </c>
      <c r="N23" s="236">
        <f>K23-I23</f>
        <v>262.5</v>
      </c>
      <c r="O23" s="417"/>
    </row>
    <row r="24" spans="1:16" ht="19.899999999999999" customHeight="1">
      <c r="A24" s="9"/>
      <c r="B24" s="542"/>
      <c r="C24" s="260" t="s">
        <v>86</v>
      </c>
      <c r="D24" s="261"/>
      <c r="E24" s="261" t="s">
        <v>87</v>
      </c>
      <c r="F24" s="262">
        <f>F23/4</f>
        <v>8.75</v>
      </c>
      <c r="G24" s="263">
        <f>F24</f>
        <v>8.75</v>
      </c>
      <c r="H24" s="264">
        <v>13</v>
      </c>
      <c r="I24" s="267">
        <f>H24*G24</f>
        <v>113.75</v>
      </c>
      <c r="J24" s="264">
        <f>H24*(1+Premissas!$M$18)</f>
        <v>16.900000000000002</v>
      </c>
      <c r="K24" s="264">
        <f t="shared" si="7"/>
        <v>147.87500000000003</v>
      </c>
      <c r="L24" s="264">
        <f>K24*(1+Premissas!$M$21)</f>
        <v>147.87500000000003</v>
      </c>
      <c r="M24" s="264">
        <f>L24*(1+Premissas!$M$17)</f>
        <v>156.74750000000003</v>
      </c>
      <c r="N24" s="247">
        <f>K24-I24</f>
        <v>34.125000000000028</v>
      </c>
      <c r="O24" s="417"/>
    </row>
    <row r="25" spans="1:16" ht="19.899999999999999" customHeight="1">
      <c r="A25" s="9"/>
      <c r="B25" s="543"/>
      <c r="C25" s="255" t="s">
        <v>35</v>
      </c>
      <c r="D25" s="265"/>
      <c r="E25" s="265"/>
      <c r="F25" s="265"/>
      <c r="G25" s="266">
        <f t="shared" ref="G25" si="8">ROUNDUP(F25,1)</f>
        <v>0</v>
      </c>
      <c r="H25" s="218"/>
      <c r="I25" s="164">
        <f>SUM(I22:I24)</f>
        <v>1096.75</v>
      </c>
      <c r="J25" s="164"/>
      <c r="K25" s="164">
        <f>SUM(K22:K24)</f>
        <v>1425.7750000000001</v>
      </c>
      <c r="L25" s="164">
        <f>K25*(1+$Q$8)</f>
        <v>1425.7750000000001</v>
      </c>
      <c r="M25" s="164">
        <f>SUM(M22:M24)</f>
        <v>1511.3215</v>
      </c>
      <c r="N25" s="424">
        <f>SUM(N22:N24)</f>
        <v>329.02499999999998</v>
      </c>
      <c r="O25" s="417"/>
    </row>
    <row r="26" spans="1:16" ht="19.899999999999999" customHeight="1">
      <c r="A26" s="9"/>
      <c r="B26" s="9"/>
      <c r="C26" s="417"/>
      <c r="D26" s="417"/>
      <c r="E26" s="417"/>
      <c r="F26" s="417"/>
      <c r="G26" s="417"/>
      <c r="H26" s="417"/>
      <c r="I26" s="419"/>
      <c r="J26" s="417"/>
      <c r="K26" s="417"/>
      <c r="L26" s="417"/>
      <c r="M26" s="417"/>
      <c r="N26" s="417"/>
      <c r="O26" s="417"/>
    </row>
    <row r="27" spans="1:16" ht="19.899999999999999" customHeight="1">
      <c r="A27" s="9"/>
      <c r="B27" s="425"/>
      <c r="C27" s="60"/>
      <c r="D27" s="61"/>
      <c r="E27" s="62"/>
      <c r="F27" s="61"/>
      <c r="G27" s="63"/>
      <c r="H27" s="64"/>
      <c r="I27" s="65"/>
      <c r="J27" s="64"/>
      <c r="K27" s="66"/>
      <c r="L27" s="66"/>
      <c r="M27" s="67"/>
      <c r="N27" s="81"/>
      <c r="O27" s="426"/>
      <c r="P27" s="69"/>
    </row>
    <row r="28" spans="1:16" ht="19.899999999999999" customHeight="1">
      <c r="B28" s="59"/>
      <c r="C28" s="60"/>
      <c r="D28" s="70"/>
      <c r="E28" s="62"/>
      <c r="F28" s="61"/>
      <c r="G28" s="71"/>
      <c r="H28" s="64"/>
      <c r="I28" s="65"/>
      <c r="J28" s="64"/>
      <c r="K28" s="66"/>
      <c r="L28" s="66"/>
      <c r="M28" s="67"/>
      <c r="N28" s="68"/>
      <c r="O28" s="69"/>
      <c r="P28" s="69"/>
    </row>
    <row r="29" spans="1:16" ht="19.899999999999999" customHeight="1">
      <c r="B29" s="59"/>
      <c r="C29" s="60"/>
      <c r="D29" s="70"/>
      <c r="E29" s="62"/>
      <c r="F29" s="61"/>
      <c r="G29" s="71"/>
      <c r="H29" s="64"/>
      <c r="I29" s="65"/>
      <c r="J29" s="64"/>
      <c r="K29" s="66"/>
      <c r="L29" s="66"/>
      <c r="M29" s="67"/>
      <c r="N29" s="68"/>
      <c r="O29" s="69"/>
      <c r="P29" s="69"/>
    </row>
    <row r="30" spans="1:16" ht="19.899999999999999" customHeight="1">
      <c r="B30" s="59"/>
      <c r="C30" s="72"/>
      <c r="D30" s="70"/>
      <c r="E30" s="70"/>
      <c r="F30" s="70"/>
      <c r="G30" s="70"/>
      <c r="H30" s="64"/>
      <c r="I30" s="65"/>
      <c r="J30" s="64"/>
      <c r="K30" s="64"/>
      <c r="L30" s="64"/>
      <c r="M30" s="67"/>
      <c r="N30" s="68"/>
      <c r="O30" s="69"/>
      <c r="P30" s="69"/>
    </row>
    <row r="31" spans="1:16" ht="19.899999999999999" customHeight="1">
      <c r="B31" s="59"/>
      <c r="C31" s="73"/>
      <c r="D31" s="70"/>
      <c r="E31" s="62"/>
      <c r="F31" s="61"/>
      <c r="G31" s="71"/>
      <c r="H31" s="64"/>
      <c r="I31" s="65"/>
      <c r="J31" s="64"/>
      <c r="K31" s="64"/>
      <c r="L31" s="64"/>
      <c r="M31" s="64"/>
      <c r="N31" s="64"/>
      <c r="O31" s="69"/>
      <c r="P31" s="69"/>
    </row>
    <row r="32" spans="1:16" ht="19.899999999999999" customHeight="1">
      <c r="B32" s="59"/>
      <c r="C32" s="73"/>
      <c r="D32" s="70"/>
      <c r="E32" s="62"/>
      <c r="F32" s="61"/>
      <c r="G32" s="71"/>
      <c r="H32" s="64"/>
      <c r="I32" s="65"/>
      <c r="J32" s="64"/>
      <c r="K32" s="64"/>
      <c r="L32" s="64"/>
      <c r="M32" s="64"/>
      <c r="N32" s="64"/>
      <c r="O32" s="69"/>
      <c r="P32" s="69"/>
    </row>
    <row r="33" spans="2:16" ht="19.899999999999999" customHeight="1">
      <c r="B33" s="59"/>
      <c r="C33" s="60"/>
      <c r="D33" s="74"/>
      <c r="E33" s="75"/>
      <c r="F33" s="76"/>
      <c r="G33" s="77"/>
      <c r="H33" s="66"/>
      <c r="I33" s="78"/>
      <c r="J33" s="66"/>
      <c r="K33" s="66"/>
      <c r="L33" s="66"/>
      <c r="M33" s="79"/>
      <c r="N33" s="80"/>
      <c r="O33" s="69"/>
      <c r="P33" s="69"/>
    </row>
    <row r="34" spans="2:16" ht="19.899999999999999" customHeight="1">
      <c r="B34" s="59"/>
      <c r="C34" s="72"/>
      <c r="D34" s="70"/>
      <c r="E34" s="70"/>
      <c r="F34" s="70"/>
      <c r="G34" s="70"/>
      <c r="H34" s="64"/>
      <c r="I34" s="65"/>
      <c r="J34" s="64"/>
      <c r="K34" s="64"/>
      <c r="L34" s="64"/>
      <c r="M34" s="67"/>
      <c r="N34" s="68"/>
      <c r="O34" s="69"/>
      <c r="P34" s="69"/>
    </row>
    <row r="35" spans="2:16" ht="19.899999999999999" customHeight="1">
      <c r="B35" s="59"/>
      <c r="C35" s="60"/>
      <c r="D35" s="70"/>
      <c r="E35" s="70"/>
      <c r="F35" s="61"/>
      <c r="G35" s="71"/>
      <c r="H35" s="64"/>
      <c r="I35" s="65"/>
      <c r="J35" s="64"/>
      <c r="K35" s="66"/>
      <c r="L35" s="66"/>
      <c r="M35" s="67"/>
      <c r="N35" s="68"/>
      <c r="O35" s="69"/>
      <c r="P35" s="69"/>
    </row>
    <row r="36" spans="2:16" ht="19.899999999999999" customHeight="1">
      <c r="B36" s="59"/>
      <c r="C36" s="60"/>
      <c r="D36" s="70"/>
      <c r="E36" s="70"/>
      <c r="F36" s="61"/>
      <c r="G36" s="71"/>
      <c r="H36" s="64"/>
      <c r="I36" s="65"/>
      <c r="J36" s="64"/>
      <c r="K36" s="64"/>
      <c r="L36" s="64"/>
      <c r="M36" s="67"/>
      <c r="N36" s="68"/>
      <c r="O36" s="69"/>
      <c r="P36" s="69"/>
    </row>
    <row r="37" spans="2:16" ht="19.899999999999999" customHeight="1">
      <c r="B37" s="59"/>
      <c r="C37" s="72"/>
      <c r="D37" s="70"/>
      <c r="E37" s="70"/>
      <c r="F37" s="70"/>
      <c r="G37" s="70"/>
      <c r="H37" s="64"/>
      <c r="I37" s="65"/>
      <c r="J37" s="64"/>
      <c r="K37" s="64"/>
      <c r="L37" s="64"/>
      <c r="M37" s="67"/>
      <c r="N37" s="68"/>
      <c r="O37" s="69"/>
      <c r="P37" s="69"/>
    </row>
    <row r="38" spans="2:16" ht="19.899999999999999" customHeight="1">
      <c r="B38" s="59"/>
      <c r="C38" s="60"/>
      <c r="D38" s="70"/>
      <c r="E38" s="70"/>
      <c r="F38" s="61"/>
      <c r="G38" s="71"/>
      <c r="H38" s="81"/>
      <c r="I38" s="65"/>
      <c r="J38" s="64"/>
      <c r="K38" s="64"/>
      <c r="L38" s="64"/>
      <c r="M38" s="67"/>
      <c r="N38" s="82"/>
      <c r="O38" s="69"/>
      <c r="P38" s="69"/>
    </row>
    <row r="39" spans="2:16" ht="19.899999999999999" customHeight="1">
      <c r="B39" s="59"/>
      <c r="C39" s="73"/>
      <c r="D39" s="70"/>
      <c r="E39" s="70"/>
      <c r="F39" s="61"/>
      <c r="G39" s="71"/>
      <c r="H39" s="81"/>
      <c r="I39" s="65"/>
      <c r="J39" s="64"/>
      <c r="K39" s="64"/>
      <c r="L39" s="64"/>
      <c r="M39" s="67"/>
      <c r="N39" s="83"/>
      <c r="O39" s="69"/>
      <c r="P39" s="69"/>
    </row>
    <row r="40" spans="2:16" ht="19.899999999999999" customHeight="1">
      <c r="B40" s="59"/>
      <c r="C40" s="73"/>
      <c r="D40" s="70"/>
      <c r="E40" s="84"/>
      <c r="F40" s="61"/>
      <c r="G40" s="71"/>
      <c r="H40" s="81"/>
      <c r="I40" s="65"/>
      <c r="J40" s="64"/>
      <c r="K40" s="64"/>
      <c r="L40" s="64"/>
      <c r="M40" s="67"/>
      <c r="N40" s="82"/>
      <c r="O40" s="69"/>
      <c r="P40" s="69"/>
    </row>
    <row r="41" spans="2:16" ht="19.899999999999999" customHeight="1">
      <c r="B41" s="59"/>
      <c r="C41" s="60"/>
      <c r="D41" s="74"/>
      <c r="E41" s="74"/>
      <c r="F41" s="76"/>
      <c r="G41" s="74"/>
      <c r="H41" s="85"/>
      <c r="I41" s="78"/>
      <c r="J41" s="66"/>
      <c r="K41" s="66"/>
      <c r="L41" s="66"/>
      <c r="M41" s="79"/>
      <c r="N41" s="86"/>
      <c r="O41" s="69"/>
      <c r="P41" s="69"/>
    </row>
    <row r="42" spans="2:16" ht="19.899999999999999" customHeight="1">
      <c r="B42" s="59"/>
      <c r="C42" s="72"/>
      <c r="D42" s="70"/>
      <c r="E42" s="70"/>
      <c r="F42" s="70"/>
      <c r="G42" s="70"/>
      <c r="H42" s="64"/>
      <c r="I42" s="65"/>
      <c r="J42" s="64"/>
      <c r="K42" s="64"/>
      <c r="L42" s="64"/>
      <c r="M42" s="67"/>
      <c r="N42" s="68"/>
      <c r="O42" s="69"/>
      <c r="P42" s="69"/>
    </row>
    <row r="43" spans="2:16" ht="19.899999999999999" customHeight="1">
      <c r="B43" s="59"/>
      <c r="C43" s="87"/>
      <c r="D43" s="70"/>
      <c r="E43" s="70"/>
      <c r="F43" s="61"/>
      <c r="G43" s="71"/>
      <c r="H43" s="81"/>
      <c r="I43" s="78"/>
      <c r="J43" s="65"/>
      <c r="K43" s="88"/>
      <c r="L43" s="88"/>
      <c r="M43" s="79"/>
      <c r="N43" s="89"/>
      <c r="O43" s="69"/>
      <c r="P43" s="69"/>
    </row>
    <row r="44" spans="2:16" ht="19.899999999999999" customHeight="1">
      <c r="B44" s="59"/>
      <c r="C44" s="69"/>
      <c r="D44" s="69"/>
      <c r="E44" s="69"/>
      <c r="F44" s="69"/>
      <c r="G44" s="69"/>
      <c r="H44" s="69"/>
      <c r="I44" s="90"/>
      <c r="J44" s="69"/>
      <c r="K44" s="69"/>
      <c r="L44" s="69"/>
      <c r="M44" s="69"/>
      <c r="N44" s="69"/>
      <c r="O44" s="69"/>
      <c r="P44" s="69"/>
    </row>
  </sheetData>
  <mergeCells count="4">
    <mergeCell ref="B6:B8"/>
    <mergeCell ref="B11:B13"/>
    <mergeCell ref="B16:B19"/>
    <mergeCell ref="B22:B25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Introdução</vt:lpstr>
      <vt:lpstr>Premissas</vt:lpstr>
      <vt:lpstr>Resumo Resultados</vt:lpstr>
      <vt:lpstr>Croqui</vt:lpstr>
      <vt:lpstr>Cálculo de Módulos Plastwall</vt:lpstr>
      <vt:lpstr>Dashboard Mod. Espaçado</vt:lpstr>
      <vt:lpstr>Cálculo Irrigação</vt:lpstr>
      <vt:lpstr>Orçamento Geral</vt:lpstr>
      <vt:lpstr>Orçamento Plantas</vt:lpstr>
      <vt:lpstr>Versão 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2019-07-24T10:12:09Z</cp:lastPrinted>
  <dcterms:created xsi:type="dcterms:W3CDTF">2019-05-09T01:34:38Z</dcterms:created>
  <dcterms:modified xsi:type="dcterms:W3CDTF">2022-05-09T09:50:44Z</dcterms:modified>
</cp:coreProperties>
</file>