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nas\Downloads\"/>
    </mc:Choice>
  </mc:AlternateContent>
  <xr:revisionPtr revIDLastSave="0" documentId="8_{83E18607-FFD9-4A9D-B66A-6C782DB30BC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019.11.11 Ibovespa" sheetId="1" r:id="rId1"/>
    <sheet name="Plan1" sheetId="2" r:id="rId2"/>
  </sheets>
  <externalReferences>
    <externalReference r:id="rId3"/>
  </externalReferences>
  <calcPr calcId="181029"/>
  <fileRecoveryPr repairLoad="1"/>
</workbook>
</file>

<file path=xl/calcChain.xml><?xml version="1.0" encoding="utf-8"?>
<calcChain xmlns="http://schemas.openxmlformats.org/spreadsheetml/2006/main">
  <c r="U64" i="1" l="1"/>
  <c r="L64" i="1" s="1"/>
  <c r="AD64" i="1"/>
  <c r="AC64" i="1"/>
  <c r="AB64" i="1"/>
  <c r="AA64" i="1"/>
  <c r="Z64" i="1"/>
  <c r="K64" i="1" s="1"/>
  <c r="Y64" i="1"/>
  <c r="N64" i="1" s="1"/>
  <c r="X64" i="1"/>
  <c r="M64" i="1" s="1"/>
  <c r="W64" i="1"/>
  <c r="V64" i="1"/>
  <c r="D64" i="1" s="1"/>
  <c r="Q64" i="1"/>
  <c r="R64" i="1"/>
  <c r="AD39" i="1"/>
  <c r="AC39" i="1"/>
  <c r="AB39" i="1"/>
  <c r="AA39" i="1"/>
  <c r="AF38" i="1"/>
  <c r="AE38" i="1"/>
  <c r="AD38" i="1"/>
  <c r="AC38" i="1"/>
  <c r="AB38" i="1"/>
  <c r="AA38" i="1"/>
  <c r="Z38" i="1"/>
  <c r="Y38" i="1"/>
  <c r="X38" i="1"/>
  <c r="W38" i="1"/>
  <c r="V38" i="1"/>
  <c r="U38" i="1"/>
  <c r="Z39" i="1"/>
  <c r="K39" i="1" s="1"/>
  <c r="Y39" i="1"/>
  <c r="X39" i="1"/>
  <c r="M39" i="1" s="1"/>
  <c r="W39" i="1"/>
  <c r="V39" i="1"/>
  <c r="D39" i="1" s="1"/>
  <c r="U39" i="1"/>
  <c r="L39" i="1" s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55" i="1"/>
  <c r="A56" i="1"/>
  <c r="A57" i="1"/>
  <c r="A58" i="1"/>
  <c r="A59" i="1"/>
  <c r="A60" i="1"/>
  <c r="A61" i="1"/>
  <c r="A62" i="1"/>
  <c r="A63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40" i="1"/>
  <c r="A39" i="1"/>
  <c r="S64" i="1" l="1"/>
  <c r="P64" i="1"/>
  <c r="O64" i="1"/>
  <c r="O39" i="1"/>
  <c r="N39" i="1"/>
  <c r="S39" i="1"/>
  <c r="P39" i="1"/>
  <c r="I26" i="1"/>
  <c r="I25" i="1"/>
  <c r="Q25" i="1"/>
  <c r="R25" i="1"/>
  <c r="R37" i="1"/>
  <c r="Q37" i="1"/>
  <c r="I37" i="1"/>
  <c r="V25" i="1"/>
  <c r="AB37" i="1"/>
  <c r="AC25" i="1"/>
  <c r="AA25" i="1"/>
  <c r="AF60" i="1"/>
  <c r="V37" i="1"/>
  <c r="U37" i="1"/>
  <c r="Z37" i="1"/>
  <c r="X37" i="1"/>
  <c r="Z25" i="1"/>
  <c r="AD25" i="1"/>
  <c r="Y25" i="1"/>
  <c r="W37" i="1"/>
  <c r="AD37" i="1"/>
  <c r="AE37" i="1"/>
  <c r="AB25" i="1"/>
  <c r="X25" i="1"/>
  <c r="AF25" i="1"/>
  <c r="U25" i="1"/>
  <c r="AA37" i="1"/>
  <c r="Y37" i="1"/>
  <c r="AC37" i="1"/>
  <c r="W25" i="1"/>
  <c r="AF37" i="1"/>
  <c r="AE25" i="1"/>
  <c r="AE60" i="1"/>
  <c r="N25" i="1" l="1"/>
  <c r="O25" i="1"/>
  <c r="D25" i="1"/>
  <c r="L25" i="1"/>
  <c r="M25" i="1"/>
  <c r="K25" i="1"/>
  <c r="K37" i="1"/>
  <c r="M37" i="1"/>
  <c r="O37" i="1"/>
  <c r="N37" i="1"/>
  <c r="D37" i="1"/>
  <c r="L37" i="1"/>
  <c r="R13" i="1"/>
  <c r="Q13" i="1"/>
  <c r="I13" i="1"/>
  <c r="A37" i="1"/>
  <c r="A38" i="1"/>
  <c r="A25" i="1"/>
  <c r="A26" i="1"/>
  <c r="A27" i="1"/>
  <c r="A28" i="1"/>
  <c r="A29" i="1"/>
  <c r="A30" i="1"/>
  <c r="A31" i="1"/>
  <c r="A32" i="1"/>
  <c r="A33" i="1"/>
  <c r="A34" i="1"/>
  <c r="A35" i="1"/>
  <c r="A36" i="1"/>
  <c r="A13" i="1"/>
  <c r="A14" i="1"/>
  <c r="A15" i="1"/>
  <c r="A16" i="1"/>
  <c r="A17" i="1"/>
  <c r="A18" i="1"/>
  <c r="A19" i="1"/>
  <c r="A20" i="1"/>
  <c r="A21" i="1"/>
  <c r="A22" i="1"/>
  <c r="A23" i="1"/>
  <c r="A24" i="1"/>
  <c r="V36" i="1"/>
  <c r="V43" i="1"/>
  <c r="AB19" i="1"/>
  <c r="AB70" i="1"/>
  <c r="AF66" i="1"/>
  <c r="AD62" i="1"/>
  <c r="AF72" i="1"/>
  <c r="AA40" i="1"/>
  <c r="AF9" i="1"/>
  <c r="AA62" i="1"/>
  <c r="AF32" i="1"/>
  <c r="AA69" i="1"/>
  <c r="AB51" i="1"/>
  <c r="V77" i="1"/>
  <c r="U80" i="1"/>
  <c r="AA31" i="1"/>
  <c r="U47" i="1"/>
  <c r="U35" i="1"/>
  <c r="Y82" i="1"/>
  <c r="Y81" i="1"/>
  <c r="Z51" i="1"/>
  <c r="V10" i="1"/>
  <c r="W75" i="1"/>
  <c r="AC21" i="1"/>
  <c r="AF29" i="1"/>
  <c r="AC46" i="1"/>
  <c r="AB42" i="1"/>
  <c r="AC52" i="1"/>
  <c r="AA20" i="1"/>
  <c r="U21" i="1"/>
  <c r="AA19" i="1"/>
  <c r="AA68" i="1"/>
  <c r="AE66" i="1"/>
  <c r="X36" i="1"/>
  <c r="AE72" i="1"/>
  <c r="Z40" i="1"/>
  <c r="AE7" i="1"/>
  <c r="Z62" i="1"/>
  <c r="AE30" i="1"/>
  <c r="Z69" i="1"/>
  <c r="AE36" i="1"/>
  <c r="Y17" i="1"/>
  <c r="Y53" i="1"/>
  <c r="U19" i="1"/>
  <c r="AD28" i="1"/>
  <c r="AF78" i="1"/>
  <c r="AE24" i="1"/>
  <c r="AE73" i="1"/>
  <c r="W72" i="1"/>
  <c r="AB43" i="1"/>
  <c r="W78" i="1"/>
  <c r="AD45" i="1"/>
  <c r="W13" i="1"/>
  <c r="AD68" i="1"/>
  <c r="W36" i="1"/>
  <c r="AD74" i="1"/>
  <c r="W44" i="1"/>
  <c r="U63" i="1"/>
  <c r="AD19" i="1"/>
  <c r="AD9" i="1"/>
  <c r="AF43" i="1"/>
  <c r="W42" i="1"/>
  <c r="AC9" i="1"/>
  <c r="AE34" i="1"/>
  <c r="AC15" i="1"/>
  <c r="AE61" i="1"/>
  <c r="X32" i="1"/>
  <c r="X6" i="1"/>
  <c r="X56" i="1"/>
  <c r="X12" i="1"/>
  <c r="Y28" i="1"/>
  <c r="AF11" i="1"/>
  <c r="AF18" i="1"/>
  <c r="V72" i="1"/>
  <c r="Z32" i="1"/>
  <c r="Y58" i="1"/>
  <c r="Z27" i="1"/>
  <c r="Z26" i="1"/>
  <c r="V52" i="1"/>
  <c r="AA11" i="1"/>
  <c r="Z43" i="1"/>
  <c r="W73" i="1"/>
  <c r="W60" i="1"/>
  <c r="AE46" i="1"/>
  <c r="Y67" i="1"/>
  <c r="AF74" i="1"/>
  <c r="W56" i="1"/>
  <c r="AA27" i="1"/>
  <c r="X9" i="1"/>
  <c r="AE51" i="1"/>
  <c r="V54" i="1"/>
  <c r="Y46" i="1"/>
  <c r="AF13" i="1"/>
  <c r="U78" i="1"/>
  <c r="AC34" i="1"/>
  <c r="Y34" i="1"/>
  <c r="AF69" i="1"/>
  <c r="AA51" i="1"/>
  <c r="Z21" i="1"/>
  <c r="AB61" i="1"/>
  <c r="AD77" i="1"/>
  <c r="W6" i="1"/>
  <c r="AB9" i="1"/>
  <c r="W30" i="1"/>
  <c r="Z52" i="1"/>
  <c r="Y24" i="1"/>
  <c r="Y23" i="1"/>
  <c r="AC76" i="1"/>
  <c r="X22" i="1"/>
  <c r="AE54" i="1"/>
  <c r="Y31" i="1"/>
  <c r="AC77" i="1"/>
  <c r="V17" i="1"/>
  <c r="V18" i="1"/>
  <c r="Z23" i="1"/>
  <c r="V59" i="1"/>
  <c r="AB30" i="1"/>
  <c r="AE14" i="1"/>
  <c r="AC66" i="1"/>
  <c r="AD58" i="1"/>
  <c r="V60" i="1"/>
  <c r="V69" i="1"/>
  <c r="AF75" i="1"/>
  <c r="AB45" i="1"/>
  <c r="AE44" i="1"/>
  <c r="V78" i="1"/>
  <c r="AE17" i="1"/>
  <c r="X66" i="1"/>
  <c r="AB31" i="1"/>
  <c r="U32" i="1"/>
  <c r="X26" i="1"/>
  <c r="U40" i="1"/>
  <c r="AF79" i="1"/>
  <c r="AB55" i="1"/>
  <c r="AB28" i="1"/>
  <c r="AB33" i="1"/>
  <c r="AB34" i="1"/>
  <c r="AD12" i="1"/>
  <c r="Y69" i="1"/>
  <c r="AC48" i="1"/>
  <c r="AD29" i="1"/>
  <c r="U71" i="1"/>
  <c r="AC80" i="1"/>
  <c r="AD50" i="1"/>
  <c r="AD49" i="1"/>
  <c r="W17" i="1"/>
  <c r="AD55" i="1"/>
  <c r="U20" i="1"/>
  <c r="Y68" i="1"/>
  <c r="U45" i="1"/>
  <c r="V13" i="1"/>
  <c r="U51" i="1"/>
  <c r="V19" i="1"/>
  <c r="AC30" i="1"/>
  <c r="Z12" i="1"/>
  <c r="W66" i="1"/>
  <c r="AB35" i="1"/>
  <c r="AF31" i="1"/>
  <c r="U56" i="1"/>
  <c r="AF81" i="1"/>
  <c r="AA53" i="1"/>
  <c r="AA28" i="1"/>
  <c r="AA76" i="1"/>
  <c r="AA34" i="1"/>
  <c r="AA82" i="1"/>
  <c r="Y18" i="1"/>
  <c r="W24" i="1"/>
  <c r="Z20" i="1"/>
  <c r="U66" i="1"/>
  <c r="V58" i="1"/>
  <c r="AA71" i="1"/>
  <c r="AF42" i="1"/>
  <c r="AD11" i="1"/>
  <c r="X45" i="1"/>
  <c r="AE10" i="1"/>
  <c r="AE58" i="1"/>
  <c r="AE33" i="1"/>
  <c r="AE81" i="1"/>
  <c r="AE41" i="1"/>
  <c r="X11" i="1"/>
  <c r="AC42" i="1"/>
  <c r="AB65" i="1"/>
  <c r="W68" i="1"/>
  <c r="U9" i="1"/>
  <c r="U8" i="1"/>
  <c r="Y55" i="1"/>
  <c r="U14" i="1"/>
  <c r="AC67" i="1"/>
  <c r="AF27" i="1"/>
  <c r="AC33" i="1"/>
  <c r="AF51" i="1"/>
  <c r="Y11" i="1"/>
  <c r="AF57" i="1"/>
  <c r="AD80" i="1"/>
  <c r="AC65" i="1"/>
  <c r="AD60" i="1"/>
  <c r="AE82" i="1"/>
  <c r="W45" i="1"/>
  <c r="AD24" i="1"/>
  <c r="V73" i="1"/>
  <c r="U70" i="1"/>
  <c r="V45" i="1"/>
  <c r="AB62" i="1"/>
  <c r="AA66" i="1"/>
  <c r="AC58" i="1"/>
  <c r="AA55" i="1"/>
  <c r="AE69" i="1"/>
  <c r="AA46" i="1"/>
  <c r="AD48" i="1"/>
  <c r="AF62" i="1"/>
  <c r="Z36" i="1"/>
  <c r="W10" i="1"/>
  <c r="Y22" i="1"/>
  <c r="X28" i="1"/>
  <c r="W43" i="1"/>
  <c r="AC24" i="1"/>
  <c r="W57" i="1"/>
  <c r="W9" i="1"/>
  <c r="AE77" i="1"/>
  <c r="Z65" i="1"/>
  <c r="U24" i="1"/>
  <c r="AF45" i="1"/>
  <c r="AE80" i="1"/>
  <c r="X34" i="1"/>
  <c r="X63" i="1"/>
  <c r="Z33" i="1"/>
  <c r="AA42" i="1"/>
  <c r="AF22" i="1"/>
  <c r="AF8" i="1"/>
  <c r="W49" i="1"/>
  <c r="AF20" i="1"/>
  <c r="Y74" i="1"/>
  <c r="U74" i="1"/>
  <c r="AE75" i="1"/>
  <c r="X80" i="1"/>
  <c r="AD53" i="1"/>
  <c r="V49" i="1"/>
  <c r="AE62" i="1"/>
  <c r="Z11" i="1"/>
  <c r="AD65" i="1"/>
  <c r="X31" i="1"/>
  <c r="W7" i="1"/>
  <c r="AB20" i="1"/>
  <c r="W80" i="1"/>
  <c r="AA13" i="1"/>
  <c r="AA70" i="1"/>
  <c r="AC29" i="1"/>
  <c r="U77" i="1"/>
  <c r="U76" i="1"/>
  <c r="V46" i="1"/>
  <c r="U82" i="1"/>
  <c r="AA63" i="1"/>
  <c r="Y16" i="1"/>
  <c r="AF12" i="1"/>
  <c r="Y41" i="1"/>
  <c r="AB23" i="1"/>
  <c r="Y47" i="1"/>
  <c r="AD70" i="1"/>
  <c r="AE53" i="1"/>
  <c r="Z13" i="1"/>
  <c r="AF52" i="1"/>
  <c r="AF35" i="1"/>
  <c r="W14" i="1"/>
  <c r="W62" i="1"/>
  <c r="AA60" i="1"/>
  <c r="AF30" i="1"/>
  <c r="AA67" i="1"/>
  <c r="V33" i="1"/>
  <c r="Z80" i="1"/>
  <c r="V57" i="1"/>
  <c r="AA24" i="1"/>
  <c r="V63" i="1"/>
  <c r="W77" i="1"/>
  <c r="AC7" i="1"/>
  <c r="AA23" i="1"/>
  <c r="AF76" i="1"/>
  <c r="AB66" i="1"/>
  <c r="AC44" i="1"/>
  <c r="X60" i="1"/>
  <c r="AC50" i="1"/>
  <c r="X16" i="1"/>
  <c r="AB72" i="1"/>
  <c r="X41" i="1"/>
  <c r="AF56" i="1"/>
  <c r="X47" i="1"/>
  <c r="AD47" i="1"/>
  <c r="X8" i="1"/>
  <c r="V15" i="1"/>
  <c r="X10" i="1"/>
  <c r="AC51" i="1"/>
  <c r="X82" i="1"/>
  <c r="AA58" i="1"/>
  <c r="U50" i="1"/>
  <c r="AC8" i="1"/>
  <c r="Y61" i="1"/>
  <c r="AB21" i="1"/>
  <c r="AC16" i="1"/>
  <c r="AB46" i="1"/>
  <c r="AB68" i="1"/>
  <c r="AB52" i="1"/>
  <c r="AD63" i="1"/>
  <c r="X76" i="1"/>
  <c r="U53" i="1"/>
  <c r="V21" i="1"/>
  <c r="V20" i="1"/>
  <c r="Z68" i="1"/>
  <c r="V27" i="1"/>
  <c r="AF54" i="1"/>
  <c r="AC40" i="1"/>
  <c r="Y15" i="1"/>
  <c r="AC62" i="1"/>
  <c r="Y21" i="1"/>
  <c r="AC69" i="1"/>
  <c r="AF70" i="1"/>
  <c r="AC23" i="1"/>
  <c r="Y52" i="1"/>
  <c r="V28" i="1"/>
  <c r="Y44" i="1"/>
  <c r="AA36" i="1"/>
  <c r="AF7" i="1"/>
  <c r="V40" i="1"/>
  <c r="Y9" i="1"/>
  <c r="AA59" i="1"/>
  <c r="W40" i="1"/>
  <c r="W32" i="1"/>
  <c r="AB54" i="1"/>
  <c r="Y27" i="1"/>
  <c r="AD42" i="1"/>
  <c r="W53" i="1"/>
  <c r="AB41" i="1"/>
  <c r="AB80" i="1"/>
  <c r="U55" i="1"/>
  <c r="X21" i="1"/>
  <c r="X7" i="1"/>
  <c r="AC19" i="1"/>
  <c r="Y78" i="1"/>
  <c r="V81" i="1"/>
  <c r="AC57" i="1"/>
  <c r="W8" i="1"/>
  <c r="U27" i="1"/>
  <c r="Y72" i="1"/>
  <c r="Z7" i="1"/>
  <c r="AB17" i="1"/>
  <c r="AB63" i="1"/>
  <c r="U18" i="1"/>
  <c r="Y71" i="1"/>
  <c r="AF16" i="1"/>
  <c r="AE19" i="1"/>
  <c r="Z41" i="1"/>
  <c r="AB18" i="1"/>
  <c r="V68" i="1"/>
  <c r="X73" i="1"/>
  <c r="V76" i="1"/>
  <c r="Y59" i="1"/>
  <c r="V16" i="1"/>
  <c r="W12" i="1"/>
  <c r="AD33" i="1"/>
  <c r="X58" i="1"/>
  <c r="AB15" i="1"/>
  <c r="U69" i="1"/>
  <c r="Y51" i="1"/>
  <c r="U11" i="1"/>
  <c r="AF77" i="1"/>
  <c r="AE67" i="1"/>
  <c r="Z15" i="1"/>
  <c r="Y76" i="1"/>
  <c r="AD15" i="1"/>
  <c r="AD20" i="1"/>
  <c r="U10" i="1"/>
  <c r="Y63" i="1"/>
  <c r="AE32" i="1"/>
  <c r="Y75" i="1"/>
  <c r="Z45" i="1"/>
  <c r="Z44" i="1"/>
  <c r="AE11" i="1"/>
  <c r="Z50" i="1"/>
  <c r="AC14" i="1"/>
  <c r="U62" i="1"/>
  <c r="AD7" i="1"/>
  <c r="AC45" i="1"/>
  <c r="AD13" i="1"/>
  <c r="AC81" i="1"/>
  <c r="AD36" i="1"/>
  <c r="AE70" i="1"/>
  <c r="AB75" i="1"/>
  <c r="AF53" i="1"/>
  <c r="AE59" i="1"/>
  <c r="X30" i="1"/>
  <c r="AB26" i="1"/>
  <c r="X81" i="1"/>
  <c r="AB32" i="1"/>
  <c r="AD78" i="1"/>
  <c r="W48" i="1"/>
  <c r="W22" i="1"/>
  <c r="W71" i="1"/>
  <c r="W29" i="1"/>
  <c r="X62" i="1"/>
  <c r="Z48" i="1"/>
  <c r="Z79" i="1"/>
  <c r="U44" i="1"/>
  <c r="U43" i="1"/>
  <c r="V11" i="1"/>
  <c r="U49" i="1"/>
  <c r="AD46" i="1"/>
  <c r="AF61" i="1"/>
  <c r="V53" i="1"/>
  <c r="Y6" i="1"/>
  <c r="Z58" i="1"/>
  <c r="Y12" i="1"/>
  <c r="X35" i="1"/>
  <c r="V67" i="1"/>
  <c r="U30" i="1"/>
  <c r="AF49" i="1"/>
  <c r="AA12" i="1"/>
  <c r="AC6" i="1"/>
  <c r="Y49" i="1"/>
  <c r="Y48" i="1"/>
  <c r="Z16" i="1"/>
  <c r="Y54" i="1"/>
  <c r="Z57" i="1"/>
  <c r="X68" i="1"/>
  <c r="V70" i="1"/>
  <c r="AC11" i="1"/>
  <c r="Z75" i="1"/>
  <c r="AC17" i="1"/>
  <c r="X53" i="1"/>
  <c r="AA78" i="1"/>
  <c r="AC75" i="1"/>
  <c r="Z19" i="1"/>
  <c r="AD67" i="1"/>
  <c r="AD66" i="1"/>
  <c r="W34" i="1"/>
  <c r="AD72" i="1"/>
  <c r="V7" i="1"/>
  <c r="U61" i="1"/>
  <c r="V30" i="1"/>
  <c r="U68" i="1"/>
  <c r="AE15" i="1"/>
  <c r="W50" i="1"/>
  <c r="Y35" i="1"/>
  <c r="AA41" i="1"/>
  <c r="Z56" i="1"/>
  <c r="W82" i="1"/>
  <c r="AB53" i="1"/>
  <c r="X65" i="1"/>
  <c r="W33" i="1"/>
  <c r="AC68" i="1"/>
  <c r="AA81" i="1"/>
  <c r="W21" i="1"/>
  <c r="Z78" i="1"/>
  <c r="AC49" i="1"/>
  <c r="AF15" i="1"/>
  <c r="AA61" i="1"/>
  <c r="V26" i="1"/>
  <c r="AB14" i="1"/>
  <c r="AE78" i="1"/>
  <c r="AE29" i="1"/>
  <c r="Z31" i="1"/>
  <c r="W46" i="1"/>
  <c r="AB27" i="1"/>
  <c r="Y43" i="1"/>
  <c r="X59" i="1"/>
  <c r="X19" i="1"/>
  <c r="U42" i="1"/>
  <c r="AE43" i="1"/>
  <c r="U57" i="1"/>
  <c r="AC70" i="1"/>
  <c r="U33" i="1"/>
  <c r="Z9" i="1"/>
  <c r="AB58" i="1"/>
  <c r="AF71" i="1"/>
  <c r="AD14" i="1"/>
  <c r="AF36" i="1"/>
  <c r="Y57" i="1"/>
  <c r="X43" i="1"/>
  <c r="V66" i="1"/>
  <c r="AD43" i="1"/>
  <c r="W11" i="1"/>
  <c r="AA9" i="1"/>
  <c r="AA57" i="1"/>
  <c r="AA15" i="1"/>
  <c r="Y60" i="1"/>
  <c r="Z29" i="1"/>
  <c r="V6" i="1"/>
  <c r="Z53" i="1"/>
  <c r="V12" i="1"/>
  <c r="Z59" i="1"/>
  <c r="AB29" i="1"/>
  <c r="AF73" i="1"/>
  <c r="Z49" i="1"/>
  <c r="Z81" i="1"/>
  <c r="AF55" i="1"/>
  <c r="AF24" i="1"/>
  <c r="X79" i="1"/>
  <c r="X72" i="1"/>
  <c r="AD79" i="1"/>
  <c r="X78" i="1"/>
  <c r="AE45" i="1"/>
  <c r="X15" i="1"/>
  <c r="AE68" i="1"/>
  <c r="X40" i="1"/>
  <c r="AE74" i="1"/>
  <c r="X18" i="1"/>
  <c r="AF63" i="1"/>
  <c r="Y42" i="1"/>
  <c r="Z10" i="1"/>
  <c r="AD56" i="1"/>
  <c r="AF19" i="1"/>
  <c r="U28" i="1"/>
  <c r="AF47" i="1"/>
  <c r="U52" i="1"/>
  <c r="AC10" i="1"/>
  <c r="U58" i="1"/>
  <c r="W76" i="1"/>
  <c r="AC60" i="1"/>
  <c r="AC47" i="1"/>
  <c r="V62" i="1"/>
  <c r="Y33" i="1"/>
  <c r="U16" i="1"/>
  <c r="AF80" i="1"/>
  <c r="AA33" i="1"/>
  <c r="AA54" i="1"/>
  <c r="AF23" i="1"/>
  <c r="X20" i="1"/>
  <c r="X71" i="1"/>
  <c r="X27" i="1"/>
  <c r="Z73" i="1"/>
  <c r="AE42" i="1"/>
  <c r="AE16" i="1"/>
  <c r="AE65" i="1"/>
  <c r="AE22" i="1"/>
  <c r="AE71" i="1"/>
  <c r="AB48" i="1"/>
  <c r="AF46" i="1"/>
  <c r="W70" i="1"/>
  <c r="AE50" i="1"/>
  <c r="AC20" i="1"/>
  <c r="AC36" i="1"/>
  <c r="AC35" i="1"/>
  <c r="AB78" i="1"/>
  <c r="AC43" i="1"/>
  <c r="V34" i="1"/>
  <c r="AB56" i="1"/>
  <c r="V35" i="1"/>
  <c r="AB79" i="1"/>
  <c r="Z42" i="1"/>
  <c r="U7" i="1"/>
  <c r="AB47" i="1"/>
  <c r="Y8" i="1"/>
  <c r="Z54" i="1"/>
  <c r="AE21" i="1"/>
  <c r="W20" i="1"/>
  <c r="W69" i="1"/>
  <c r="W27" i="1"/>
  <c r="U72" i="1"/>
  <c r="V42" i="1"/>
  <c r="AD16" i="1"/>
  <c r="V65" i="1"/>
  <c r="AD22" i="1"/>
  <c r="V71" i="1"/>
  <c r="AB76" i="1"/>
  <c r="AF17" i="1"/>
  <c r="W15" i="1"/>
  <c r="AB8" i="1"/>
  <c r="AA21" i="1"/>
  <c r="AD59" i="1"/>
  <c r="W28" i="1"/>
  <c r="AA26" i="1"/>
  <c r="AA74" i="1"/>
  <c r="AA32" i="1"/>
  <c r="Y77" i="1"/>
  <c r="Z47" i="1"/>
  <c r="V22" i="1"/>
  <c r="Z70" i="1"/>
  <c r="V29" i="1"/>
  <c r="Z76" i="1"/>
  <c r="AC22" i="1"/>
  <c r="X42" i="1"/>
  <c r="AE76" i="1"/>
  <c r="X48" i="1"/>
  <c r="AB44" i="1"/>
  <c r="Z22" i="1"/>
  <c r="AB50" i="1"/>
  <c r="W16" i="1"/>
  <c r="W65" i="1"/>
  <c r="W41" i="1"/>
  <c r="AB10" i="1"/>
  <c r="W47" i="1"/>
  <c r="AB16" i="1"/>
  <c r="U65" i="1"/>
  <c r="AD44" i="1"/>
  <c r="X23" i="1"/>
  <c r="Y19" i="1"/>
  <c r="AC12" i="1"/>
  <c r="U60" i="1"/>
  <c r="U59" i="1"/>
  <c r="AA6" i="1"/>
  <c r="Y32" i="1"/>
  <c r="AB69" i="1"/>
  <c r="AB22" i="1"/>
  <c r="AC79" i="1"/>
  <c r="Y20" i="1"/>
  <c r="AF44" i="1"/>
  <c r="AA52" i="1"/>
  <c r="X17" i="1"/>
  <c r="Z8" i="1"/>
  <c r="W52" i="1"/>
  <c r="AC72" i="1"/>
  <c r="Y29" i="1"/>
  <c r="AE63" i="1"/>
  <c r="U67" i="1"/>
  <c r="Y62" i="1"/>
  <c r="W63" i="1"/>
  <c r="V8" i="1"/>
  <c r="AA65" i="1"/>
  <c r="U26" i="1"/>
  <c r="Z6" i="1"/>
  <c r="AA8" i="1"/>
  <c r="V24" i="1"/>
  <c r="V79" i="1"/>
  <c r="Y65" i="1"/>
  <c r="AB82" i="1"/>
  <c r="AC27" i="1"/>
  <c r="AD18" i="1"/>
  <c r="AA30" i="1"/>
  <c r="AF65" i="1"/>
  <c r="Z46" i="1"/>
  <c r="Y80" i="1"/>
  <c r="AF58" i="1"/>
  <c r="Y30" i="1"/>
  <c r="Y36" i="1"/>
  <c r="X51" i="1"/>
  <c r="X74" i="1"/>
  <c r="AB7" i="1"/>
  <c r="AE35" i="1"/>
  <c r="AA16" i="1"/>
  <c r="AE20" i="1"/>
  <c r="AD34" i="1"/>
  <c r="Z17" i="1"/>
  <c r="AB77" i="1"/>
  <c r="W51" i="1"/>
  <c r="W74" i="1"/>
  <c r="AB74" i="1"/>
  <c r="AA10" i="1"/>
  <c r="AB36" i="1"/>
  <c r="AB24" i="1"/>
  <c r="U54" i="1"/>
  <c r="X44" i="1"/>
  <c r="AD71" i="1"/>
  <c r="Y50" i="1"/>
  <c r="AD10" i="1"/>
  <c r="Y10" i="1"/>
  <c r="AF50" i="1"/>
  <c r="W59" i="1"/>
  <c r="AA77" i="1"/>
  <c r="AC82" i="1"/>
  <c r="U17" i="1"/>
  <c r="AD81" i="1"/>
  <c r="Z66" i="1"/>
  <c r="U46" i="1"/>
  <c r="W35" i="1"/>
  <c r="Z77" i="1"/>
  <c r="V9" i="1"/>
  <c r="AC32" i="1"/>
  <c r="X69" i="1"/>
  <c r="AE47" i="1"/>
  <c r="X55" i="1"/>
  <c r="U34" i="1"/>
  <c r="Y66" i="1"/>
  <c r="U75" i="1"/>
  <c r="AD40" i="1"/>
  <c r="Y70" i="1"/>
  <c r="AD41" i="1"/>
  <c r="X13" i="1"/>
  <c r="AA47" i="1"/>
  <c r="AF10" i="1"/>
  <c r="Z61" i="1"/>
  <c r="Y7" i="1"/>
  <c r="AB73" i="1"/>
  <c r="Z55" i="1"/>
  <c r="AA72" i="1"/>
  <c r="X50" i="1"/>
  <c r="V82" i="1"/>
  <c r="U48" i="1"/>
  <c r="V31" i="1"/>
  <c r="AD69" i="1"/>
  <c r="W61" i="1"/>
  <c r="X24" i="1"/>
  <c r="Y45" i="1"/>
  <c r="AD8" i="1"/>
  <c r="Z18" i="1"/>
  <c r="V14" i="1"/>
  <c r="AC31" i="1"/>
  <c r="AC61" i="1"/>
  <c r="U13" i="1"/>
  <c r="AD21" i="1"/>
  <c r="V51" i="1"/>
  <c r="AD75" i="1"/>
  <c r="AA49" i="1"/>
  <c r="AB6" i="1"/>
  <c r="Z71" i="1"/>
  <c r="AB60" i="1"/>
  <c r="AA45" i="1"/>
  <c r="X75" i="1"/>
  <c r="AB12" i="1"/>
  <c r="V23" i="1"/>
  <c r="AD76" i="1"/>
  <c r="V32" i="1"/>
  <c r="V47" i="1"/>
  <c r="AC13" i="1"/>
  <c r="AD35" i="1"/>
  <c r="Y56" i="1"/>
  <c r="AF6" i="1"/>
  <c r="AA43" i="1"/>
  <c r="X49" i="1"/>
  <c r="AA73" i="1"/>
  <c r="AC18" i="1"/>
  <c r="AA14" i="1"/>
  <c r="AA35" i="1"/>
  <c r="AD82" i="1"/>
  <c r="AE9" i="1"/>
  <c r="V75" i="1"/>
  <c r="AB13" i="1"/>
  <c r="X67" i="1"/>
  <c r="V55" i="1"/>
  <c r="Z24" i="1"/>
  <c r="Z60" i="1"/>
  <c r="U79" i="1"/>
  <c r="AD30" i="1"/>
  <c r="W31" i="1"/>
  <c r="AF48" i="1"/>
  <c r="AD52" i="1"/>
  <c r="AE12" i="1"/>
  <c r="AA48" i="1"/>
  <c r="U15" i="1"/>
  <c r="Y14" i="1"/>
  <c r="AC56" i="1"/>
  <c r="AF34" i="1"/>
  <c r="AD17" i="1"/>
  <c r="X61" i="1"/>
  <c r="V48" i="1"/>
  <c r="AA44" i="1"/>
  <c r="AD54" i="1"/>
  <c r="AE49" i="1"/>
  <c r="U41" i="1"/>
  <c r="AA29" i="1"/>
  <c r="AD32" i="1"/>
  <c r="AA75" i="1"/>
  <c r="AE48" i="1"/>
  <c r="AB40" i="1"/>
  <c r="AB81" i="1"/>
  <c r="W18" i="1"/>
  <c r="AB49" i="1"/>
  <c r="X70" i="1"/>
  <c r="W67" i="1"/>
  <c r="Z28" i="1"/>
  <c r="U73" i="1"/>
  <c r="AD51" i="1"/>
  <c r="AE23" i="1"/>
  <c r="AF33" i="1"/>
  <c r="AA22" i="1"/>
  <c r="V50" i="1"/>
  <c r="AF82" i="1"/>
  <c r="AF26" i="1"/>
  <c r="U22" i="1"/>
  <c r="AC54" i="1"/>
  <c r="AC59" i="1"/>
  <c r="AA18" i="1"/>
  <c r="Z34" i="1"/>
  <c r="Z30" i="1"/>
  <c r="X54" i="1"/>
  <c r="AE40" i="1"/>
  <c r="W81" i="1"/>
  <c r="AD31" i="1"/>
  <c r="AF68" i="1"/>
  <c r="X57" i="1"/>
  <c r="AD6" i="1"/>
  <c r="AA50" i="1"/>
  <c r="U31" i="1"/>
  <c r="AE18" i="1"/>
  <c r="AD61" i="1"/>
  <c r="W54" i="1"/>
  <c r="AE57" i="1"/>
  <c r="AF28" i="1"/>
  <c r="V41" i="1"/>
  <c r="AE56" i="1"/>
  <c r="AD57" i="1"/>
  <c r="Y26" i="1"/>
  <c r="AA79" i="1"/>
  <c r="X77" i="1"/>
  <c r="AC41" i="1"/>
  <c r="Y73" i="1"/>
  <c r="Z63" i="1"/>
  <c r="AC71" i="1"/>
  <c r="AE8" i="1"/>
  <c r="W19" i="1"/>
  <c r="AB71" i="1"/>
  <c r="X46" i="1"/>
  <c r="V61" i="1"/>
  <c r="Z82" i="1"/>
  <c r="AE28" i="1"/>
  <c r="AC55" i="1"/>
  <c r="Z72" i="1"/>
  <c r="W79" i="1"/>
  <c r="AA7" i="1"/>
  <c r="V80" i="1"/>
  <c r="U29" i="1"/>
  <c r="AE52" i="1"/>
  <c r="W58" i="1"/>
  <c r="Z35" i="1"/>
  <c r="AE27" i="1"/>
  <c r="Y79" i="1"/>
  <c r="AF59" i="1"/>
  <c r="AE55" i="1"/>
  <c r="AE6" i="1"/>
  <c r="AF41" i="1"/>
  <c r="W23" i="1"/>
  <c r="AC53" i="1"/>
  <c r="U23" i="1"/>
  <c r="Y13" i="1"/>
  <c r="U12" i="1"/>
  <c r="AE13" i="1"/>
  <c r="W55" i="1"/>
  <c r="W26" i="1"/>
  <c r="AD26" i="1"/>
  <c r="AC73" i="1"/>
  <c r="AD73" i="1"/>
  <c r="Z67" i="1"/>
  <c r="AD23" i="1"/>
  <c r="AE26" i="1"/>
  <c r="AE31" i="1"/>
  <c r="Z74" i="1"/>
  <c r="V74" i="1"/>
  <c r="V44" i="1"/>
  <c r="X33" i="1"/>
  <c r="X14" i="1"/>
  <c r="AA17" i="1"/>
  <c r="AA80" i="1"/>
  <c r="AF21" i="1"/>
  <c r="AC26" i="1"/>
  <c r="AC74" i="1"/>
  <c r="AC28" i="1"/>
  <c r="AB57" i="1"/>
  <c r="AB11" i="1"/>
  <c r="Z14" i="1"/>
  <c r="AF67" i="1"/>
  <c r="AF14" i="1"/>
  <c r="U36" i="1"/>
  <c r="AC63" i="1"/>
  <c r="AD27" i="1"/>
  <c r="V56" i="1"/>
  <c r="AA56" i="1"/>
  <c r="AE79" i="1"/>
  <c r="U6" i="1"/>
  <c r="AB67" i="1"/>
  <c r="U81" i="1"/>
  <c r="AF40" i="1"/>
  <c r="AB59" i="1"/>
  <c r="Y40" i="1"/>
  <c r="AC78" i="1"/>
  <c r="X52" i="1"/>
  <c r="X29" i="1"/>
  <c r="S25" i="1" l="1"/>
  <c r="P25" i="1"/>
  <c r="P37" i="1"/>
  <c r="S37" i="1"/>
  <c r="K13" i="1"/>
  <c r="D13" i="1"/>
  <c r="M13" i="1"/>
  <c r="L13" i="1"/>
  <c r="O13" i="1"/>
  <c r="N13" i="1"/>
  <c r="R7" i="1"/>
  <c r="R8" i="1"/>
  <c r="R9" i="1"/>
  <c r="R10" i="1"/>
  <c r="R11" i="1"/>
  <c r="R12" i="1"/>
  <c r="R14" i="1"/>
  <c r="R15" i="1"/>
  <c r="R16" i="1"/>
  <c r="R17" i="1"/>
  <c r="R18" i="1"/>
  <c r="R19" i="1"/>
  <c r="R20" i="1"/>
  <c r="R21" i="1"/>
  <c r="R22" i="1"/>
  <c r="R23" i="1"/>
  <c r="R24" i="1"/>
  <c r="R26" i="1"/>
  <c r="R27" i="1"/>
  <c r="R28" i="1"/>
  <c r="R29" i="1"/>
  <c r="R30" i="1"/>
  <c r="R31" i="1"/>
  <c r="R32" i="1"/>
  <c r="R33" i="1"/>
  <c r="R34" i="1"/>
  <c r="R35" i="1"/>
  <c r="R36" i="1"/>
  <c r="R38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6" i="1"/>
  <c r="Q7" i="1"/>
  <c r="Q8" i="1"/>
  <c r="Q9" i="1"/>
  <c r="Q10" i="1"/>
  <c r="Q11" i="1"/>
  <c r="Q12" i="1"/>
  <c r="Q14" i="1"/>
  <c r="Q15" i="1"/>
  <c r="Q16" i="1"/>
  <c r="Q17" i="1"/>
  <c r="Q18" i="1"/>
  <c r="Q19" i="1"/>
  <c r="Q20" i="1"/>
  <c r="Q21" i="1"/>
  <c r="Q22" i="1"/>
  <c r="Q23" i="1"/>
  <c r="Q24" i="1"/>
  <c r="Q26" i="1"/>
  <c r="Q27" i="1"/>
  <c r="Q28" i="1"/>
  <c r="Q29" i="1"/>
  <c r="Q30" i="1"/>
  <c r="Q31" i="1"/>
  <c r="Q32" i="1"/>
  <c r="Q33" i="1"/>
  <c r="Q34" i="1"/>
  <c r="Q35" i="1"/>
  <c r="Q36" i="1"/>
  <c r="Q38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6" i="1"/>
  <c r="AI10" i="1"/>
  <c r="S13" i="1" l="1"/>
  <c r="P13" i="1"/>
  <c r="AP67" i="1"/>
  <c r="AQ67" i="1"/>
  <c r="AR67" i="1"/>
  <c r="AS66" i="1"/>
  <c r="G89" i="1" l="1"/>
  <c r="I6" i="1" l="1"/>
  <c r="O6" i="1" l="1"/>
  <c r="K6" i="1"/>
  <c r="N6" i="1"/>
  <c r="M6" i="1"/>
  <c r="L6" i="1"/>
  <c r="D5" i="1"/>
  <c r="P6" i="1" l="1"/>
  <c r="S6" i="1"/>
  <c r="D7" i="1"/>
  <c r="D51" i="1"/>
  <c r="D59" i="1"/>
  <c r="D26" i="1"/>
  <c r="D18" i="1"/>
  <c r="D61" i="1"/>
  <c r="D70" i="1"/>
  <c r="D77" i="1"/>
  <c r="D68" i="1"/>
  <c r="D44" i="1"/>
  <c r="D27" i="1"/>
  <c r="D28" i="1"/>
  <c r="D62" i="1"/>
  <c r="D78" i="1"/>
  <c r="D16" i="1"/>
  <c r="D75" i="1"/>
  <c r="D52" i="1"/>
  <c r="D9" i="1"/>
  <c r="D10" i="1"/>
  <c r="D54" i="1"/>
  <c r="D11" i="1"/>
  <c r="D20" i="1"/>
  <c r="D29" i="1"/>
  <c r="D38" i="1"/>
  <c r="D47" i="1"/>
  <c r="D55" i="1"/>
  <c r="D63" i="1"/>
  <c r="D71" i="1"/>
  <c r="D79" i="1"/>
  <c r="D33" i="1"/>
  <c r="D8" i="1"/>
  <c r="D60" i="1"/>
  <c r="D45" i="1"/>
  <c r="D36" i="1"/>
  <c r="D12" i="1"/>
  <c r="D21" i="1"/>
  <c r="D30" i="1"/>
  <c r="D40" i="1"/>
  <c r="D48" i="1"/>
  <c r="D56" i="1"/>
  <c r="D65" i="1"/>
  <c r="D72" i="1"/>
  <c r="D80" i="1"/>
  <c r="D43" i="1"/>
  <c r="D34" i="1"/>
  <c r="D69" i="1"/>
  <c r="D53" i="1"/>
  <c r="D46" i="1"/>
  <c r="D14" i="1"/>
  <c r="D22" i="1"/>
  <c r="D31" i="1"/>
  <c r="D41" i="1"/>
  <c r="D49" i="1"/>
  <c r="D57" i="1"/>
  <c r="D66" i="1"/>
  <c r="D73" i="1"/>
  <c r="D81" i="1"/>
  <c r="D24" i="1"/>
  <c r="D17" i="1"/>
  <c r="D76" i="1"/>
  <c r="D35" i="1"/>
  <c r="D19" i="1"/>
  <c r="D15" i="1"/>
  <c r="D23" i="1"/>
  <c r="D32" i="1"/>
  <c r="D42" i="1"/>
  <c r="D50" i="1"/>
  <c r="D58" i="1"/>
  <c r="D67" i="1"/>
  <c r="D74" i="1"/>
  <c r="D82" i="1"/>
  <c r="L86" i="1"/>
  <c r="M86" i="1"/>
  <c r="N86" i="1"/>
  <c r="K86" i="1"/>
  <c r="I86" i="1"/>
  <c r="G87" i="1"/>
  <c r="H87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O46" i="1" l="1"/>
  <c r="O75" i="1"/>
  <c r="O71" i="1"/>
  <c r="D6" i="1"/>
  <c r="M75" i="1"/>
  <c r="N75" i="1"/>
  <c r="L75" i="1"/>
  <c r="K75" i="1"/>
  <c r="L71" i="1"/>
  <c r="M71" i="1"/>
  <c r="N71" i="1"/>
  <c r="K71" i="1"/>
  <c r="K46" i="1"/>
  <c r="N46" i="1"/>
  <c r="M46" i="1"/>
  <c r="L46" i="1"/>
  <c r="J87" i="1"/>
  <c r="S75" i="1" l="1"/>
  <c r="P75" i="1"/>
  <c r="S71" i="1"/>
  <c r="P71" i="1"/>
  <c r="S46" i="1"/>
  <c r="P46" i="1"/>
  <c r="O26" i="1"/>
  <c r="O27" i="1"/>
  <c r="L85" i="1"/>
  <c r="K84" i="1"/>
  <c r="K85" i="1"/>
  <c r="N84" i="1"/>
  <c r="N85" i="1"/>
  <c r="M84" i="1"/>
  <c r="M85" i="1"/>
  <c r="L84" i="1"/>
  <c r="M26" i="1"/>
  <c r="N26" i="1"/>
  <c r="L26" i="1"/>
  <c r="O45" i="1" l="1"/>
  <c r="O60" i="1"/>
  <c r="K83" i="1"/>
  <c r="N83" i="1"/>
  <c r="M83" i="1"/>
  <c r="L83" i="1"/>
  <c r="K26" i="1"/>
  <c r="P26" i="1" s="1"/>
  <c r="N45" i="1"/>
  <c r="M45" i="1"/>
  <c r="L45" i="1"/>
  <c r="K45" i="1"/>
  <c r="A7" i="1"/>
  <c r="A8" i="1"/>
  <c r="A9" i="1"/>
  <c r="A10" i="1"/>
  <c r="A11" i="1"/>
  <c r="A12" i="1"/>
  <c r="A6" i="1"/>
  <c r="I7" i="1"/>
  <c r="I8" i="1"/>
  <c r="I9" i="1"/>
  <c r="I10" i="1"/>
  <c r="I11" i="1"/>
  <c r="I12" i="1"/>
  <c r="I14" i="1"/>
  <c r="I15" i="1"/>
  <c r="I16" i="1"/>
  <c r="I17" i="1"/>
  <c r="I18" i="1"/>
  <c r="I19" i="1"/>
  <c r="I20" i="1"/>
  <c r="I21" i="1"/>
  <c r="I22" i="1"/>
  <c r="I23" i="1"/>
  <c r="I24" i="1"/>
  <c r="I27" i="1"/>
  <c r="I28" i="1"/>
  <c r="I29" i="1"/>
  <c r="I30" i="1"/>
  <c r="I31" i="1"/>
  <c r="I32" i="1"/>
  <c r="I33" i="1"/>
  <c r="I34" i="1"/>
  <c r="I35" i="1"/>
  <c r="I36" i="1"/>
  <c r="I38" i="1"/>
  <c r="I40" i="1"/>
  <c r="I41" i="1"/>
  <c r="I42" i="1"/>
  <c r="I43" i="1"/>
  <c r="I44" i="1"/>
  <c r="T78" i="2"/>
  <c r="U78" i="2"/>
  <c r="S77" i="2"/>
  <c r="L78" i="2"/>
  <c r="M78" i="2"/>
  <c r="Z91" i="1"/>
  <c r="S78" i="2"/>
  <c r="V77" i="2"/>
  <c r="T77" i="2"/>
  <c r="V78" i="2"/>
  <c r="U77" i="2"/>
  <c r="Y91" i="1"/>
  <c r="S26" i="1" l="1"/>
  <c r="S45" i="1"/>
  <c r="P45" i="1"/>
  <c r="I87" i="1"/>
  <c r="N60" i="1"/>
  <c r="N27" i="1"/>
  <c r="K60" i="1"/>
  <c r="M60" i="1"/>
  <c r="L60" i="1"/>
  <c r="K27" i="1"/>
  <c r="M27" i="1"/>
  <c r="L27" i="1"/>
  <c r="O61" i="1" l="1"/>
  <c r="N61" i="1"/>
  <c r="K61" i="1"/>
  <c r="M61" i="1"/>
  <c r="L61" i="1"/>
  <c r="S61" i="1" l="1"/>
  <c r="P61" i="1"/>
  <c r="S60" i="1"/>
  <c r="P60" i="1"/>
  <c r="S27" i="1"/>
  <c r="P27" i="1"/>
  <c r="X90" i="1"/>
  <c r="Q78" i="2"/>
  <c r="AC91" i="1"/>
  <c r="O78" i="2"/>
  <c r="X78" i="2"/>
  <c r="AA90" i="1"/>
  <c r="R77" i="2"/>
  <c r="Z90" i="1"/>
  <c r="L77" i="2"/>
  <c r="N77" i="2"/>
  <c r="K78" i="2"/>
  <c r="I1" i="1"/>
  <c r="I2" i="1"/>
  <c r="K77" i="2"/>
  <c r="J77" i="2"/>
  <c r="AD90" i="1"/>
  <c r="AE90" i="1"/>
  <c r="AB91" i="1"/>
  <c r="L93" i="1"/>
  <c r="AA91" i="1"/>
  <c r="K93" i="1"/>
  <c r="W91" i="1"/>
  <c r="F1" i="1"/>
  <c r="Q77" i="2"/>
  <c r="K92" i="1"/>
  <c r="R78" i="2"/>
  <c r="P78" i="2"/>
  <c r="O77" i="2"/>
  <c r="W78" i="2"/>
  <c r="Y90" i="1"/>
  <c r="P77" i="2"/>
  <c r="H2" i="1"/>
  <c r="AB90" i="1"/>
  <c r="W77" i="2"/>
  <c r="AE91" i="1"/>
  <c r="X77" i="2"/>
  <c r="G2" i="1"/>
  <c r="AD91" i="1"/>
  <c r="M77" i="2"/>
  <c r="G4" i="1"/>
  <c r="J78" i="2"/>
  <c r="N78" i="2"/>
  <c r="L92" i="1"/>
  <c r="AC90" i="1"/>
  <c r="E2" i="1"/>
  <c r="X91" i="1"/>
  <c r="W90" i="1"/>
  <c r="N81" i="1" l="1"/>
  <c r="O81" i="1"/>
  <c r="M70" i="1"/>
  <c r="K11" i="1"/>
  <c r="C2" i="1"/>
  <c r="K38" i="1"/>
  <c r="L22" i="1"/>
  <c r="K80" i="1"/>
  <c r="K12" i="1"/>
  <c r="L28" i="1"/>
  <c r="M17" i="1"/>
  <c r="M24" i="1"/>
  <c r="O79" i="1"/>
  <c r="N79" i="1"/>
  <c r="M15" i="1"/>
  <c r="K70" i="1"/>
  <c r="K81" i="1"/>
  <c r="K67" i="1"/>
  <c r="M65" i="1"/>
  <c r="L62" i="1"/>
  <c r="K47" i="1"/>
  <c r="M44" i="1"/>
  <c r="L41" i="1"/>
  <c r="L15" i="1"/>
  <c r="M40" i="1"/>
  <c r="L55" i="1"/>
  <c r="O40" i="1"/>
  <c r="N40" i="1"/>
  <c r="L14" i="1"/>
  <c r="K59" i="1"/>
  <c r="M66" i="1"/>
  <c r="N38" i="1"/>
  <c r="O38" i="1"/>
  <c r="L47" i="1"/>
  <c r="O19" i="1"/>
  <c r="N19" i="1"/>
  <c r="L42" i="1"/>
  <c r="N32" i="1"/>
  <c r="O32" i="1"/>
  <c r="L66" i="1"/>
  <c r="L81" i="1"/>
  <c r="L56" i="1"/>
  <c r="N70" i="1"/>
  <c r="O70" i="1"/>
  <c r="M12" i="1"/>
  <c r="K22" i="1"/>
  <c r="N73" i="1"/>
  <c r="O73" i="1"/>
  <c r="L65" i="1"/>
  <c r="M33" i="1"/>
  <c r="K55" i="1"/>
  <c r="K69" i="1"/>
  <c r="N52" i="1"/>
  <c r="O52" i="1"/>
  <c r="K79" i="1"/>
  <c r="O28" i="1"/>
  <c r="N28" i="1"/>
  <c r="K14" i="1"/>
  <c r="M63" i="1"/>
  <c r="K9" i="1"/>
  <c r="M31" i="1"/>
  <c r="M28" i="1"/>
  <c r="M11" i="1"/>
  <c r="M72" i="1"/>
  <c r="N15" i="1"/>
  <c r="O15" i="1"/>
  <c r="M74" i="1"/>
  <c r="M55" i="1"/>
  <c r="O12" i="1"/>
  <c r="N12" i="1"/>
  <c r="L51" i="1"/>
  <c r="K49" i="1"/>
  <c r="M53" i="1"/>
  <c r="O22" i="1"/>
  <c r="N22" i="1"/>
  <c r="K66" i="1"/>
  <c r="K50" i="1"/>
  <c r="O24" i="1"/>
  <c r="N24" i="1"/>
  <c r="N9" i="1"/>
  <c r="O9" i="1"/>
  <c r="O11" i="1"/>
  <c r="N11" i="1"/>
  <c r="M35" i="1"/>
  <c r="M48" i="1"/>
  <c r="L33" i="1"/>
  <c r="O72" i="1"/>
  <c r="N72" i="1"/>
  <c r="N49" i="1"/>
  <c r="O49" i="1"/>
  <c r="M69" i="1"/>
  <c r="L74" i="1"/>
  <c r="K58" i="1"/>
  <c r="K68" i="1"/>
  <c r="L73" i="1"/>
  <c r="O31" i="1"/>
  <c r="N31" i="1"/>
  <c r="K51" i="1"/>
  <c r="K35" i="1"/>
  <c r="O54" i="1"/>
  <c r="N54" i="1"/>
  <c r="L12" i="1"/>
  <c r="L10" i="1"/>
  <c r="M81" i="1"/>
  <c r="L82" i="1"/>
  <c r="L79" i="1"/>
  <c r="N35" i="1"/>
  <c r="O35" i="1"/>
  <c r="N58" i="1"/>
  <c r="O58" i="1"/>
  <c r="N69" i="1"/>
  <c r="O69" i="1"/>
  <c r="K28" i="1"/>
  <c r="L44" i="1"/>
  <c r="K65" i="1"/>
  <c r="N80" i="1"/>
  <c r="O80" i="1"/>
  <c r="M68" i="1"/>
  <c r="N77" i="1"/>
  <c r="O77" i="1"/>
  <c r="O59" i="1"/>
  <c r="N59" i="1"/>
  <c r="N18" i="1"/>
  <c r="O18" i="1"/>
  <c r="L63" i="1"/>
  <c r="L31" i="1"/>
  <c r="K73" i="1"/>
  <c r="M9" i="1"/>
  <c r="K52" i="1"/>
  <c r="K10" i="1"/>
  <c r="O51" i="1"/>
  <c r="N51" i="1"/>
  <c r="O65" i="1"/>
  <c r="N65" i="1"/>
  <c r="M47" i="1"/>
  <c r="K48" i="1"/>
  <c r="M54" i="1"/>
  <c r="K74" i="1"/>
  <c r="L69" i="1"/>
  <c r="O34" i="1"/>
  <c r="N34" i="1"/>
  <c r="N50" i="1"/>
  <c r="O50" i="1"/>
  <c r="L70" i="1"/>
  <c r="M34" i="1"/>
  <c r="K31" i="1"/>
  <c r="K33" i="1"/>
  <c r="N48" i="1"/>
  <c r="O48" i="1"/>
  <c r="N74" i="1"/>
  <c r="O74" i="1"/>
  <c r="O36" i="1"/>
  <c r="N36" i="1"/>
  <c r="L80" i="1"/>
  <c r="K72" i="1"/>
  <c r="M43" i="1"/>
  <c r="M51" i="1"/>
  <c r="N41" i="1"/>
  <c r="O41" i="1"/>
  <c r="L16" i="1"/>
  <c r="M41" i="1"/>
  <c r="M56" i="1"/>
  <c r="O44" i="1"/>
  <c r="N44" i="1"/>
  <c r="O47" i="1"/>
  <c r="N47" i="1"/>
  <c r="M22" i="1"/>
  <c r="K62" i="1"/>
  <c r="L19" i="1"/>
  <c r="L9" i="1"/>
  <c r="K56" i="1"/>
  <c r="M30" i="1"/>
  <c r="O63" i="1"/>
  <c r="N63" i="1"/>
  <c r="O42" i="1"/>
  <c r="N42" i="1"/>
  <c r="N43" i="1"/>
  <c r="O43" i="1"/>
  <c r="L35" i="1"/>
  <c r="K24" i="1"/>
  <c r="K18" i="1"/>
  <c r="M58" i="1"/>
  <c r="M80" i="1"/>
  <c r="M67" i="1"/>
  <c r="K19" i="1"/>
  <c r="L48" i="1"/>
  <c r="O7" i="1"/>
  <c r="N7" i="1"/>
  <c r="K76" i="1"/>
  <c r="L72" i="1"/>
  <c r="N53" i="1"/>
  <c r="O53" i="1"/>
  <c r="K30" i="1"/>
  <c r="L54" i="1"/>
  <c r="N23" i="1"/>
  <c r="O23" i="1"/>
  <c r="L67" i="1"/>
  <c r="L11" i="1"/>
  <c r="L32" i="1"/>
  <c r="M79" i="1"/>
  <c r="L57" i="1"/>
  <c r="K34" i="1"/>
  <c r="O62" i="1"/>
  <c r="N62" i="1"/>
  <c r="O21" i="1"/>
  <c r="N21" i="1"/>
  <c r="K20" i="1"/>
  <c r="K16" i="1"/>
  <c r="O30" i="1"/>
  <c r="N30" i="1"/>
  <c r="K53" i="1"/>
  <c r="O10" i="1"/>
  <c r="N10" i="1"/>
  <c r="M7" i="1"/>
  <c r="L59" i="1"/>
  <c r="K44" i="1"/>
  <c r="L7" i="1"/>
  <c r="K7" i="1"/>
  <c r="L76" i="1"/>
  <c r="K41" i="1"/>
  <c r="M42" i="1"/>
  <c r="L40" i="1"/>
  <c r="M49" i="1"/>
  <c r="M21" i="1"/>
  <c r="L23" i="1"/>
  <c r="L8" i="1"/>
  <c r="M38" i="1"/>
  <c r="K8" i="1"/>
  <c r="M10" i="1"/>
  <c r="M52" i="1"/>
  <c r="O20" i="1"/>
  <c r="N20" i="1"/>
  <c r="L58" i="1"/>
  <c r="M32" i="1"/>
  <c r="N67" i="1"/>
  <c r="O67" i="1"/>
  <c r="K42" i="1"/>
  <c r="N29" i="1"/>
  <c r="O29" i="1"/>
  <c r="M23" i="1"/>
  <c r="N68" i="1"/>
  <c r="O68" i="1"/>
  <c r="L38" i="1"/>
  <c r="K32" i="1"/>
  <c r="L36" i="1"/>
  <c r="L18" i="1"/>
  <c r="L17" i="1"/>
  <c r="M78" i="1"/>
  <c r="T89" i="1"/>
  <c r="L29" i="1"/>
  <c r="L43" i="1"/>
  <c r="K36" i="1"/>
  <c r="M20" i="1"/>
  <c r="M77" i="1"/>
  <c r="O8" i="1"/>
  <c r="N8" i="1"/>
  <c r="L53" i="1"/>
  <c r="L77" i="1"/>
  <c r="K21" i="1"/>
  <c r="M8" i="1"/>
  <c r="L78" i="1"/>
  <c r="L49" i="1"/>
  <c r="L34" i="1"/>
  <c r="K23" i="1"/>
  <c r="K82" i="1"/>
  <c r="M76" i="1"/>
  <c r="M62" i="1"/>
  <c r="M59" i="1"/>
  <c r="M14" i="1"/>
  <c r="K78" i="1"/>
  <c r="N55" i="1"/>
  <c r="O55" i="1"/>
  <c r="M73" i="1"/>
  <c r="M18" i="1"/>
  <c r="M19" i="1"/>
  <c r="K57" i="1"/>
  <c r="M82" i="1"/>
  <c r="K40" i="1"/>
  <c r="M50" i="1"/>
  <c r="L20" i="1"/>
  <c r="N56" i="1"/>
  <c r="O56" i="1"/>
  <c r="O33" i="1"/>
  <c r="N33" i="1"/>
  <c r="K15" i="1"/>
  <c r="L50" i="1"/>
  <c r="K77" i="1"/>
  <c r="N78" i="1"/>
  <c r="O78" i="1"/>
  <c r="K43" i="1"/>
  <c r="K29" i="1"/>
  <c r="O76" i="1"/>
  <c r="N76" i="1"/>
  <c r="M36" i="1"/>
  <c r="L52" i="1"/>
  <c r="N17" i="1"/>
  <c r="O17" i="1"/>
  <c r="M29" i="1"/>
  <c r="O82" i="1"/>
  <c r="N82" i="1"/>
  <c r="L68" i="1"/>
  <c r="N14" i="1"/>
  <c r="O14" i="1"/>
  <c r="O66" i="1"/>
  <c r="N66" i="1"/>
  <c r="K54" i="1"/>
  <c r="K17" i="1"/>
  <c r="N16" i="1"/>
  <c r="O16" i="1"/>
  <c r="N57" i="1"/>
  <c r="O57" i="1"/>
  <c r="L30" i="1"/>
  <c r="K63" i="1"/>
  <c r="M57" i="1"/>
  <c r="L24" i="1"/>
  <c r="M16" i="1"/>
  <c r="L21" i="1"/>
  <c r="S78" i="1" l="1"/>
  <c r="P78" i="1"/>
  <c r="P17" i="1"/>
  <c r="S17" i="1"/>
  <c r="P58" i="1"/>
  <c r="S58" i="1"/>
  <c r="S8" i="1"/>
  <c r="P8" i="1"/>
  <c r="P52" i="1"/>
  <c r="S52" i="1"/>
  <c r="S18" i="1"/>
  <c r="P18" i="1"/>
  <c r="P23" i="1"/>
  <c r="S23" i="1"/>
  <c r="K87" i="1"/>
  <c r="P11" i="1"/>
  <c r="S11" i="1"/>
  <c r="P9" i="1"/>
  <c r="S9" i="1"/>
  <c r="P44" i="1"/>
  <c r="S44" i="1"/>
  <c r="S66" i="1"/>
  <c r="P66" i="1"/>
  <c r="S55" i="1"/>
  <c r="P55" i="1"/>
  <c r="S22" i="1"/>
  <c r="P22" i="1"/>
  <c r="S68" i="1"/>
  <c r="P68" i="1"/>
  <c r="P62" i="1"/>
  <c r="S62" i="1"/>
  <c r="P20" i="1"/>
  <c r="S20" i="1"/>
  <c r="P36" i="1"/>
  <c r="S36" i="1"/>
  <c r="S72" i="1"/>
  <c r="P72" i="1"/>
  <c r="P19" i="1"/>
  <c r="S19" i="1"/>
  <c r="S79" i="1"/>
  <c r="P79" i="1"/>
  <c r="P33" i="1"/>
  <c r="S33" i="1"/>
  <c r="P50" i="1"/>
  <c r="S50" i="1"/>
  <c r="P77" i="1"/>
  <c r="S77" i="1"/>
  <c r="P43" i="1"/>
  <c r="S43" i="1"/>
  <c r="S80" i="1"/>
  <c r="P80" i="1"/>
  <c r="S31" i="1"/>
  <c r="P31" i="1"/>
  <c r="P74" i="1"/>
  <c r="S74" i="1"/>
  <c r="S51" i="1"/>
  <c r="P51" i="1"/>
  <c r="S15" i="1"/>
  <c r="P15" i="1"/>
  <c r="S24" i="1"/>
  <c r="P24" i="1"/>
  <c r="P7" i="1"/>
  <c r="L87" i="1"/>
  <c r="S7" i="1"/>
  <c r="S67" i="1"/>
  <c r="P67" i="1"/>
  <c r="S53" i="1"/>
  <c r="P53" i="1"/>
  <c r="P29" i="1"/>
  <c r="S29" i="1"/>
  <c r="S38" i="1"/>
  <c r="P38" i="1"/>
  <c r="P40" i="1"/>
  <c r="S40" i="1"/>
  <c r="S59" i="1"/>
  <c r="P59" i="1"/>
  <c r="N87" i="1"/>
  <c r="N90" i="1" s="1"/>
  <c r="F4" i="1" s="1"/>
  <c r="S16" i="1"/>
  <c r="P16" i="1"/>
  <c r="P69" i="1"/>
  <c r="S69" i="1"/>
  <c r="P63" i="1"/>
  <c r="S63" i="1"/>
  <c r="P82" i="1"/>
  <c r="S82" i="1"/>
  <c r="P42" i="1"/>
  <c r="S42" i="1"/>
  <c r="S41" i="1"/>
  <c r="P41" i="1"/>
  <c r="M87" i="1"/>
  <c r="M90" i="1" s="1"/>
  <c r="E4" i="1" s="1"/>
  <c r="G1" i="1" s="1"/>
  <c r="S57" i="1"/>
  <c r="P57" i="1"/>
  <c r="S54" i="1"/>
  <c r="P54" i="1"/>
  <c r="P14" i="1"/>
  <c r="S14" i="1"/>
  <c r="S28" i="1"/>
  <c r="P28" i="1"/>
  <c r="S30" i="1"/>
  <c r="P30" i="1"/>
  <c r="S34" i="1"/>
  <c r="P34" i="1"/>
  <c r="S49" i="1"/>
  <c r="P49" i="1"/>
  <c r="P48" i="1"/>
  <c r="S48" i="1"/>
  <c r="P35" i="1"/>
  <c r="S35" i="1"/>
  <c r="S70" i="1"/>
  <c r="P70" i="1"/>
  <c r="S10" i="1"/>
  <c r="P10" i="1"/>
  <c r="S65" i="1"/>
  <c r="P65" i="1"/>
  <c r="P56" i="1"/>
  <c r="S56" i="1"/>
  <c r="S21" i="1"/>
  <c r="P21" i="1"/>
  <c r="P76" i="1"/>
  <c r="S76" i="1"/>
  <c r="P32" i="1"/>
  <c r="S32" i="1"/>
  <c r="S12" i="1"/>
  <c r="P12" i="1"/>
  <c r="S73" i="1"/>
  <c r="P73" i="1"/>
  <c r="P81" i="1"/>
  <c r="S81" i="1"/>
  <c r="S47" i="1"/>
  <c r="P47" i="1"/>
  <c r="S83" i="1" l="1"/>
  <c r="S85" i="1" s="1"/>
  <c r="S86" i="1" s="1"/>
  <c r="S88" i="1" s="1"/>
  <c r="T88" i="1" s="1"/>
  <c r="L90" i="1"/>
  <c r="L88" i="1"/>
  <c r="K90" i="1"/>
  <c r="K94" i="1" s="1"/>
  <c r="K88" i="1"/>
  <c r="J88" i="1" l="1"/>
  <c r="W88" i="1" s="1"/>
  <c r="C4" i="1"/>
  <c r="F89" i="1"/>
  <c r="H3" i="1" l="1"/>
  <c r="H4" i="1"/>
  <c r="H1" i="1"/>
  <c r="K2" i="1"/>
  <c r="U88" i="1" s="1"/>
  <c r="V88" i="1" s="1"/>
</calcChain>
</file>

<file path=xl/sharedStrings.xml><?xml version="1.0" encoding="utf-8"?>
<sst xmlns="http://schemas.openxmlformats.org/spreadsheetml/2006/main" count="448" uniqueCount="212">
  <si>
    <t>Código </t>
  </si>
  <si>
    <t>Ação</t>
  </si>
  <si>
    <t>Tipo</t>
  </si>
  <si>
    <t>Qtde. Teórica</t>
  </si>
  <si>
    <t>Part. (%)</t>
  </si>
  <si>
    <t>ABEV3</t>
  </si>
  <si>
    <t>AMBEV S/A</t>
  </si>
  <si>
    <t>ON</t>
  </si>
  <si>
    <t>AZUL4</t>
  </si>
  <si>
    <t>AZUL</t>
  </si>
  <si>
    <t>PN N2</t>
  </si>
  <si>
    <t>B3SA3</t>
  </si>
  <si>
    <t>B3</t>
  </si>
  <si>
    <t>ON NM</t>
  </si>
  <si>
    <t>BBAS3</t>
  </si>
  <si>
    <t>BRASIL</t>
  </si>
  <si>
    <t>BBDC3</t>
  </si>
  <si>
    <t>BRADESCO</t>
  </si>
  <si>
    <t>BBDC4</t>
  </si>
  <si>
    <t>BBSE3</t>
  </si>
  <si>
    <t>BBSEGURIDADE</t>
  </si>
  <si>
    <t>BPAC11</t>
  </si>
  <si>
    <t>BTGP BANCO</t>
  </si>
  <si>
    <t>UNT N2</t>
  </si>
  <si>
    <t>BRAP4</t>
  </si>
  <si>
    <t>BRADESPAR</t>
  </si>
  <si>
    <t>PN N1</t>
  </si>
  <si>
    <t>BRDT3</t>
  </si>
  <si>
    <t>PETROBRAS BR</t>
  </si>
  <si>
    <t>BRFS3</t>
  </si>
  <si>
    <t>BRF SA</t>
  </si>
  <si>
    <t>BRKM5</t>
  </si>
  <si>
    <t>BRASKEM</t>
  </si>
  <si>
    <t>PNA N1</t>
  </si>
  <si>
    <t>BRML3</t>
  </si>
  <si>
    <t>BR MALLS PAR</t>
  </si>
  <si>
    <t>BTOW3</t>
  </si>
  <si>
    <t>B2W DIGITAL</t>
  </si>
  <si>
    <t>CCRO3</t>
  </si>
  <si>
    <t>CCR SA</t>
  </si>
  <si>
    <t>CIEL3</t>
  </si>
  <si>
    <t>CIELO</t>
  </si>
  <si>
    <t>CMIG4</t>
  </si>
  <si>
    <t>CEMIG</t>
  </si>
  <si>
    <t>COGN3</t>
  </si>
  <si>
    <t>COGNA ON</t>
  </si>
  <si>
    <t>CSAN3</t>
  </si>
  <si>
    <t>COSAN</t>
  </si>
  <si>
    <t>CSNA3</t>
  </si>
  <si>
    <t>SID NACIONAL</t>
  </si>
  <si>
    <t>CVCB3</t>
  </si>
  <si>
    <t>CVC BRASIL</t>
  </si>
  <si>
    <t>CYRE3</t>
  </si>
  <si>
    <t>CYRELA REALT</t>
  </si>
  <si>
    <t>ECOR3</t>
  </si>
  <si>
    <t>ECORODOVIAS</t>
  </si>
  <si>
    <t>EGIE3</t>
  </si>
  <si>
    <t>ENGIE BRASIL</t>
  </si>
  <si>
    <t>ELET3</t>
  </si>
  <si>
    <t>ELETROBRAS</t>
  </si>
  <si>
    <t>ON N1</t>
  </si>
  <si>
    <t>ELET6</t>
  </si>
  <si>
    <t>PNB N1</t>
  </si>
  <si>
    <t>EMBR3</t>
  </si>
  <si>
    <t>EMBRAER</t>
  </si>
  <si>
    <t>ENBR3</t>
  </si>
  <si>
    <t>ENERGIAS BR</t>
  </si>
  <si>
    <t>EQTL3</t>
  </si>
  <si>
    <t>EQUATORIAL</t>
  </si>
  <si>
    <t>FLRY3</t>
  </si>
  <si>
    <t>FLEURY</t>
  </si>
  <si>
    <t>GGBR4</t>
  </si>
  <si>
    <t>GERDAU</t>
  </si>
  <si>
    <t>GNDI3</t>
  </si>
  <si>
    <t>INTERMEDICA</t>
  </si>
  <si>
    <t>GOAU4</t>
  </si>
  <si>
    <t>GERDAU MET</t>
  </si>
  <si>
    <t>GOLL4</t>
  </si>
  <si>
    <t>GOL</t>
  </si>
  <si>
    <t>HYPE3</t>
  </si>
  <si>
    <t>HYPERA</t>
  </si>
  <si>
    <t>IGTA3</t>
  </si>
  <si>
    <t>IGUATEMI</t>
  </si>
  <si>
    <t>IRBR3</t>
  </si>
  <si>
    <t>IRBBRASIL RE</t>
  </si>
  <si>
    <t>ITSA4</t>
  </si>
  <si>
    <t>ITAUSA</t>
  </si>
  <si>
    <t>ITUB4</t>
  </si>
  <si>
    <t>ITAUUNIBANCO</t>
  </si>
  <si>
    <t>JBSS3</t>
  </si>
  <si>
    <t>JBS</t>
  </si>
  <si>
    <t>KLBN11</t>
  </si>
  <si>
    <t>KLABIN S/A</t>
  </si>
  <si>
    <t>LAME4</t>
  </si>
  <si>
    <t>LOJAS AMERIC</t>
  </si>
  <si>
    <t>LREN3</t>
  </si>
  <si>
    <t>LOJAS RENNER</t>
  </si>
  <si>
    <t>MGLU3</t>
  </si>
  <si>
    <t>MAGAZ LUIZA</t>
  </si>
  <si>
    <t>MRFG3</t>
  </si>
  <si>
    <t>MARFRIG</t>
  </si>
  <si>
    <t>MRVE3</t>
  </si>
  <si>
    <t>MRV</t>
  </si>
  <si>
    <t>MULT3</t>
  </si>
  <si>
    <t>MULTIPLAN</t>
  </si>
  <si>
    <t>ON N2</t>
  </si>
  <si>
    <t>PCAR4</t>
  </si>
  <si>
    <t>P.ACUCAR-CBD</t>
  </si>
  <si>
    <t>PETR3</t>
  </si>
  <si>
    <t>PETROBRAS</t>
  </si>
  <si>
    <t>PETR4</t>
  </si>
  <si>
    <t>QUAL3</t>
  </si>
  <si>
    <t>QUALICORP</t>
  </si>
  <si>
    <t>RADL3</t>
  </si>
  <si>
    <t>RAIADROGASIL</t>
  </si>
  <si>
    <t>RAIL3</t>
  </si>
  <si>
    <t>RUMO S.A.</t>
  </si>
  <si>
    <t>RENT3</t>
  </si>
  <si>
    <t>LOCALIZA</t>
  </si>
  <si>
    <t>SANB11</t>
  </si>
  <si>
    <t>SANTANDER BR</t>
  </si>
  <si>
    <t>UNT</t>
  </si>
  <si>
    <t>SBSP3</t>
  </si>
  <si>
    <t>SABESP</t>
  </si>
  <si>
    <t>SUZB3</t>
  </si>
  <si>
    <t>SUZANO S.A.</t>
  </si>
  <si>
    <t>TAEE11</t>
  </si>
  <si>
    <t>TAESA</t>
  </si>
  <si>
    <t>TIMP3</t>
  </si>
  <si>
    <t>TIM PART S/A</t>
  </si>
  <si>
    <t>UGPA3</t>
  </si>
  <si>
    <t>ULTRAPAR</t>
  </si>
  <si>
    <t>USIM5</t>
  </si>
  <si>
    <t>USIMINAS</t>
  </si>
  <si>
    <t>VALE3</t>
  </si>
  <si>
    <t>VALE</t>
  </si>
  <si>
    <t>VIVT4</t>
  </si>
  <si>
    <t>TELEF BRASIL</t>
  </si>
  <si>
    <t>PN</t>
  </si>
  <si>
    <t>VVAR3</t>
  </si>
  <si>
    <t>VIAVAREJO</t>
  </si>
  <si>
    <t>WEGE3</t>
  </si>
  <si>
    <t>WEG</t>
  </si>
  <si>
    <t>YDUQ3</t>
  </si>
  <si>
    <t>YDUQS PART</t>
  </si>
  <si>
    <t>Quantidade Teórica Total</t>
  </si>
  <si>
    <t>Papel</t>
  </si>
  <si>
    <t>Última</t>
  </si>
  <si>
    <t>Var. (Var. %)</t>
  </si>
  <si>
    <t>Cpa.</t>
  </si>
  <si>
    <t>Vda.</t>
  </si>
  <si>
    <t>Fechamento</t>
  </si>
  <si>
    <t>Abertura</t>
  </si>
  <si>
    <t>Mínima</t>
  </si>
  <si>
    <t>Média</t>
  </si>
  <si>
    <t>Máxima</t>
  </si>
  <si>
    <t>Descrição</t>
  </si>
  <si>
    <t>Volume</t>
  </si>
  <si>
    <t>Último</t>
  </si>
  <si>
    <t>Compra</t>
  </si>
  <si>
    <t>Venda</t>
  </si>
  <si>
    <t>IBOV</t>
  </si>
  <si>
    <t>indfut</t>
  </si>
  <si>
    <t>Fechamento dia anterior</t>
  </si>
  <si>
    <t>Verificar</t>
  </si>
  <si>
    <t>Redutor verificar todo dia</t>
  </si>
  <si>
    <t>IBOVESPA(BOLSA)</t>
  </si>
  <si>
    <t>IBOVESPA(NOSSO)</t>
  </si>
  <si>
    <t>ULTIMO</t>
  </si>
  <si>
    <t>COMPRA</t>
  </si>
  <si>
    <t>VENDA</t>
  </si>
  <si>
    <t>VAR</t>
  </si>
  <si>
    <t>IND FUTURO</t>
  </si>
  <si>
    <t>http://bvmf.bmfbovespa.com.br/indices/ResumoCarteiraQuadrimestre.aspx?Indice=IBOV&amp;idioma=pt-br</t>
  </si>
  <si>
    <t>CRFB3</t>
  </si>
  <si>
    <t>HAPV3</t>
  </si>
  <si>
    <t>HGTX3</t>
  </si>
  <si>
    <t>NTCO3</t>
  </si>
  <si>
    <t>SULA11</t>
  </si>
  <si>
    <t>TOTS3</t>
  </si>
  <si>
    <t>CARREFOUR BR</t>
  </si>
  <si>
    <t>HAPVIDA</t>
  </si>
  <si>
    <t>CIA HERING</t>
  </si>
  <si>
    <t>GRUPO NATURA</t>
  </si>
  <si>
    <t>SUL AMERICA</t>
  </si>
  <si>
    <t>TOTVS</t>
  </si>
  <si>
    <t>VAR EM REAIS</t>
  </si>
  <si>
    <t>ATIVO</t>
  </si>
  <si>
    <t>Ult</t>
  </si>
  <si>
    <t>Var</t>
  </si>
  <si>
    <t>Ocp</t>
  </si>
  <si>
    <t>Ovd</t>
  </si>
  <si>
    <t>PCAR3</t>
  </si>
  <si>
    <t>VALORIZAÇÃO</t>
  </si>
  <si>
    <t>VR EM DÓLARES</t>
  </si>
  <si>
    <t>PONTOS DE DOLAR</t>
  </si>
  <si>
    <t>BEEF3</t>
  </si>
  <si>
    <t>CPFE3</t>
  </si>
  <si>
    <t>ENGI11</t>
  </si>
  <si>
    <t>MINERVA</t>
  </si>
  <si>
    <t>CPFL ENERGIA</t>
  </si>
  <si>
    <t>ENERGISA</t>
  </si>
  <si>
    <t>COGN4</t>
  </si>
  <si>
    <t>EZTC3</t>
  </si>
  <si>
    <t>PRIO3</t>
  </si>
  <si>
    <t>ON EJ N1</t>
  </si>
  <si>
    <t>PN EJ N1</t>
  </si>
  <si>
    <t>PN ED N1</t>
  </si>
  <si>
    <t>EZTEC</t>
  </si>
  <si>
    <t>PETRORIO</t>
  </si>
  <si>
    <t>EZETEC</t>
  </si>
  <si>
    <t>http://www.b3.com.br/pt_br/market-data-e-indices/indices/indices-amplos/indice-ibovespa-ibovespa-composicao-da-carteira.htm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</si>
</sst>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000000_-;\-* #,##0.00000000_-;_-* &quot;-&quot;??_-;_-@_-"/>
    <numFmt numFmtId="165" formatCode="#,##0.00_ ;[Red]\-#,##0.00\ "/>
    <numFmt numFmtId="166" formatCode="#,##0.000;[Red]\-#,##0.000"/>
    <numFmt numFmtId="167" formatCode="_-* #,##0.000000000_-;\-* #,##0.000000000_-;_-* &quot;-&quot;??_-;_-@_-"/>
    <numFmt numFmtId="168" formatCode="_-* #,##0.00000_-;\-* #,##0.00000_-;_-* &quot;-&quot;??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theme="6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6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6"/>
      <name val="Calibri"/>
      <family val="2"/>
      <scheme val="minor"/>
    </font>
    <font>
      <b/>
      <sz val="8"/>
      <color theme="9" tint="-0.249977111117893"/>
      <name val="Calibri"/>
      <family val="2"/>
      <scheme val="minor"/>
    </font>
    <font>
      <b/>
      <sz val="8"/>
      <color theme="4"/>
      <name val="Calibri"/>
      <family val="2"/>
      <scheme val="minor"/>
    </font>
    <font>
      <b/>
      <sz val="8"/>
      <color theme="6" tint="-0.249977111117893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40" fillId="0" borderId="0" applyNumberFormat="0" applyFill="0" applyBorder="0" applyAlignment="0" applyProtection="0"/>
  </cellStyleXfs>
  <cellXfs count="74">
    <xf numFmtId="0" fontId="0" fillId="0" borderId="0" xfId="0"/>
    <xf numFmtId="43" fontId="18" fillId="0" borderId="0" xfId="1" applyFont="1" applyAlignment="1">
      <alignment horizontal="center" vertical="center" wrapText="1"/>
    </xf>
    <xf numFmtId="43" fontId="0" fillId="0" borderId="0" xfId="1" applyFont="1"/>
    <xf numFmtId="43" fontId="0" fillId="0" borderId="0" xfId="1" applyFont="1" applyAlignment="1">
      <alignment horizontal="center"/>
    </xf>
    <xf numFmtId="43" fontId="19" fillId="0" borderId="0" xfId="1" applyFont="1" applyAlignment="1">
      <alignment horizontal="center"/>
    </xf>
    <xf numFmtId="43" fontId="20" fillId="0" borderId="0" xfId="1" applyFont="1" applyAlignment="1">
      <alignment horizontal="center" vertical="center" wrapText="1"/>
    </xf>
    <xf numFmtId="43" fontId="22" fillId="0" borderId="0" xfId="1" applyFont="1" applyAlignment="1">
      <alignment horizontal="center" vertical="center" wrapText="1"/>
    </xf>
    <xf numFmtId="43" fontId="23" fillId="0" borderId="0" xfId="1" applyFont="1" applyAlignment="1">
      <alignment horizontal="center" vertical="center" wrapText="1"/>
    </xf>
    <xf numFmtId="43" fontId="0" fillId="33" borderId="0" xfId="1" applyFont="1" applyFill="1"/>
    <xf numFmtId="43" fontId="23" fillId="33" borderId="0" xfId="1" applyFont="1" applyFill="1" applyAlignment="1">
      <alignment horizontal="center" vertical="center" wrapText="1"/>
    </xf>
    <xf numFmtId="43" fontId="0" fillId="35" borderId="0" xfId="1" applyFont="1" applyFill="1"/>
    <xf numFmtId="43" fontId="16" fillId="35" borderId="11" xfId="1" applyFont="1" applyFill="1" applyBorder="1" applyAlignment="1">
      <alignment horizontal="center"/>
    </xf>
    <xf numFmtId="43" fontId="16" fillId="0" borderId="10" xfId="1" applyFont="1" applyBorder="1" applyAlignment="1">
      <alignment horizontal="right"/>
    </xf>
    <xf numFmtId="43" fontId="16" fillId="35" borderId="14" xfId="1" applyFont="1" applyFill="1" applyBorder="1" applyAlignment="1">
      <alignment horizontal="center"/>
    </xf>
    <xf numFmtId="43" fontId="16" fillId="35" borderId="0" xfId="1" applyFont="1" applyFill="1"/>
    <xf numFmtId="43" fontId="16" fillId="35" borderId="12" xfId="1" applyFont="1" applyFill="1" applyBorder="1" applyAlignment="1">
      <alignment horizontal="center"/>
    </xf>
    <xf numFmtId="43" fontId="16" fillId="35" borderId="10" xfId="1" applyFont="1" applyFill="1" applyBorder="1" applyAlignment="1">
      <alignment horizontal="center"/>
    </xf>
    <xf numFmtId="43" fontId="16" fillId="0" borderId="10" xfId="1" applyFont="1" applyBorder="1"/>
    <xf numFmtId="43" fontId="16" fillId="35" borderId="13" xfId="1" applyFont="1" applyFill="1" applyBorder="1"/>
    <xf numFmtId="43" fontId="25" fillId="35" borderId="10" xfId="1" applyFont="1" applyFill="1" applyBorder="1" applyAlignment="1">
      <alignment horizontal="center"/>
    </xf>
    <xf numFmtId="43" fontId="24" fillId="35" borderId="10" xfId="1" applyFont="1" applyFill="1" applyBorder="1" applyAlignment="1">
      <alignment horizontal="center"/>
    </xf>
    <xf numFmtId="43" fontId="0" fillId="37" borderId="10" xfId="1" applyFont="1" applyFill="1" applyBorder="1" applyAlignment="1">
      <alignment horizontal="center"/>
    </xf>
    <xf numFmtId="43" fontId="0" fillId="37" borderId="10" xfId="1" applyFont="1" applyFill="1" applyBorder="1" applyAlignment="1">
      <alignment horizontal="left"/>
    </xf>
    <xf numFmtId="165" fontId="0" fillId="37" borderId="10" xfId="1" applyNumberFormat="1" applyFont="1" applyFill="1" applyBorder="1" applyAlignment="1">
      <alignment horizontal="center"/>
    </xf>
    <xf numFmtId="43" fontId="27" fillId="0" borderId="0" xfId="1" applyFont="1"/>
    <xf numFmtId="43" fontId="27" fillId="36" borderId="0" xfId="1" applyFont="1" applyFill="1"/>
    <xf numFmtId="43" fontId="27" fillId="33" borderId="0" xfId="1" applyFont="1" applyFill="1"/>
    <xf numFmtId="43" fontId="14" fillId="33" borderId="0" xfId="1" applyFont="1" applyFill="1" applyAlignment="1">
      <alignment horizontal="center"/>
    </xf>
    <xf numFmtId="43" fontId="29" fillId="35" borderId="10" xfId="1" applyFont="1" applyFill="1" applyBorder="1" applyAlignment="1">
      <alignment horizontal="right"/>
    </xf>
    <xf numFmtId="43" fontId="29" fillId="35" borderId="10" xfId="1" applyFont="1" applyFill="1" applyBorder="1" applyAlignment="1">
      <alignment horizontal="center"/>
    </xf>
    <xf numFmtId="43" fontId="27" fillId="33" borderId="0" xfId="1" applyFont="1" applyFill="1" applyAlignment="1">
      <alignment horizontal="center"/>
    </xf>
    <xf numFmtId="43" fontId="27" fillId="0" borderId="0" xfId="1" applyFont="1" applyAlignment="1">
      <alignment wrapText="1"/>
    </xf>
    <xf numFmtId="43" fontId="27" fillId="33" borderId="0" xfId="1" applyFont="1" applyFill="1" applyAlignment="1">
      <alignment wrapText="1"/>
    </xf>
    <xf numFmtId="43" fontId="31" fillId="0" borderId="0" xfId="1" applyFont="1" applyAlignment="1">
      <alignment wrapText="1"/>
    </xf>
    <xf numFmtId="43" fontId="32" fillId="0" borderId="0" xfId="1" applyFont="1" applyAlignment="1">
      <alignment wrapText="1"/>
    </xf>
    <xf numFmtId="43" fontId="33" fillId="0" borderId="0" xfId="1" applyFont="1" applyAlignment="1">
      <alignment wrapText="1"/>
    </xf>
    <xf numFmtId="43" fontId="34" fillId="0" borderId="0" xfId="1" applyFont="1" applyAlignment="1">
      <alignment wrapText="1"/>
    </xf>
    <xf numFmtId="43" fontId="27" fillId="0" borderId="0" xfId="1" applyFont="1" applyAlignment="1">
      <alignment horizontal="center"/>
    </xf>
    <xf numFmtId="43" fontId="27" fillId="34" borderId="0" xfId="1" applyFont="1" applyFill="1" applyAlignment="1">
      <alignment wrapText="1"/>
    </xf>
    <xf numFmtId="43" fontId="28" fillId="0" borderId="0" xfId="1" applyFont="1" applyAlignment="1">
      <alignment wrapText="1"/>
    </xf>
    <xf numFmtId="43" fontId="28" fillId="34" borderId="0" xfId="1" applyFont="1" applyFill="1" applyAlignment="1">
      <alignment wrapText="1"/>
    </xf>
    <xf numFmtId="164" fontId="28" fillId="34" borderId="0" xfId="1" applyNumberFormat="1" applyFont="1" applyFill="1" applyAlignment="1">
      <alignment wrapText="1"/>
    </xf>
    <xf numFmtId="43" fontId="35" fillId="0" borderId="0" xfId="1" applyFont="1" applyAlignment="1">
      <alignment wrapText="1"/>
    </xf>
    <xf numFmtId="0" fontId="27" fillId="0" borderId="0" xfId="0" applyFont="1"/>
    <xf numFmtId="166" fontId="26" fillId="0" borderId="0" xfId="1" applyNumberFormat="1" applyFont="1"/>
    <xf numFmtId="166" fontId="21" fillId="0" borderId="0" xfId="1" applyNumberFormat="1" applyFont="1" applyAlignment="1">
      <alignment horizontal="center" vertical="center" wrapText="1"/>
    </xf>
    <xf numFmtId="166" fontId="30" fillId="0" borderId="0" xfId="1" applyNumberFormat="1" applyFont="1" applyAlignment="1">
      <alignment wrapText="1"/>
    </xf>
    <xf numFmtId="166" fontId="30" fillId="0" borderId="0" xfId="1" applyNumberFormat="1" applyFont="1"/>
    <xf numFmtId="43" fontId="24" fillId="0" borderId="0" xfId="1" applyFont="1" applyAlignment="1">
      <alignment horizontal="center"/>
    </xf>
    <xf numFmtId="43" fontId="37" fillId="0" borderId="0" xfId="1" applyFont="1" applyAlignment="1">
      <alignment horizontal="center"/>
    </xf>
    <xf numFmtId="43" fontId="34" fillId="0" borderId="0" xfId="1" applyFont="1" applyAlignment="1">
      <alignment horizontal="center"/>
    </xf>
    <xf numFmtId="165" fontId="27" fillId="0" borderId="0" xfId="1" applyNumberFormat="1" applyFont="1" applyAlignment="1">
      <alignment horizontal="center"/>
    </xf>
    <xf numFmtId="43" fontId="16" fillId="0" borderId="14" xfId="1" applyFont="1" applyBorder="1" applyAlignment="1">
      <alignment horizontal="right"/>
    </xf>
    <xf numFmtId="165" fontId="38" fillId="0" borderId="0" xfId="1" applyNumberFormat="1" applyFont="1" applyAlignment="1">
      <alignment horizontal="center" wrapText="1"/>
    </xf>
    <xf numFmtId="165" fontId="29" fillId="35" borderId="0" xfId="1" applyNumberFormat="1" applyFont="1" applyFill="1"/>
    <xf numFmtId="43" fontId="38" fillId="35" borderId="10" xfId="1" applyFont="1" applyFill="1" applyBorder="1" applyAlignment="1">
      <alignment horizontal="right"/>
    </xf>
    <xf numFmtId="43" fontId="39" fillId="35" borderId="10" xfId="1" applyFont="1" applyFill="1" applyBorder="1" applyAlignment="1">
      <alignment horizontal="right"/>
    </xf>
    <xf numFmtId="165" fontId="16" fillId="0" borderId="0" xfId="1" applyNumberFormat="1" applyFont="1" applyAlignment="1">
      <alignment horizontal="center"/>
    </xf>
    <xf numFmtId="165" fontId="28" fillId="0" borderId="0" xfId="1" applyNumberFormat="1" applyFont="1" applyAlignment="1">
      <alignment horizontal="center"/>
    </xf>
    <xf numFmtId="43" fontId="28" fillId="0" borderId="0" xfId="1" applyNumberFormat="1" applyFont="1" applyAlignment="1">
      <alignment wrapText="1"/>
    </xf>
    <xf numFmtId="167" fontId="28" fillId="34" borderId="0" xfId="1" applyNumberFormat="1" applyFont="1" applyFill="1" applyAlignment="1">
      <alignment wrapText="1"/>
    </xf>
    <xf numFmtId="165" fontId="24" fillId="0" borderId="0" xfId="1" applyNumberFormat="1" applyFont="1" applyAlignment="1">
      <alignment horizontal="right"/>
    </xf>
    <xf numFmtId="165" fontId="37" fillId="0" borderId="0" xfId="1" applyNumberFormat="1" applyFont="1" applyAlignment="1">
      <alignment horizontal="right"/>
    </xf>
    <xf numFmtId="43" fontId="40" fillId="33" borderId="0" xfId="43" applyNumberFormat="1" applyFill="1"/>
    <xf numFmtId="165" fontId="28" fillId="0" borderId="0" xfId="1" applyNumberFormat="1" applyFont="1" applyAlignment="1">
      <alignment horizontal="left"/>
    </xf>
    <xf numFmtId="43" fontId="14" fillId="37" borderId="10" xfId="1" applyFont="1" applyFill="1" applyBorder="1" applyAlignment="1">
      <alignment horizontal="left"/>
    </xf>
    <xf numFmtId="43" fontId="41" fillId="0" borderId="0" xfId="1" applyFont="1" applyAlignment="1">
      <alignment wrapText="1"/>
    </xf>
    <xf numFmtId="168" fontId="27" fillId="0" borderId="0" xfId="1" applyNumberFormat="1" applyFont="1"/>
    <xf numFmtId="43" fontId="27" fillId="33" borderId="0" xfId="1" applyFont="1" applyFill="1" applyBorder="1" applyAlignment="1">
      <alignment horizontal="center"/>
    </xf>
    <xf numFmtId="43" fontId="27" fillId="0" borderId="0" xfId="1" applyFont="1" applyBorder="1" applyAlignment="1">
      <alignment wrapText="1"/>
    </xf>
    <xf numFmtId="165" fontId="38" fillId="0" borderId="0" xfId="1" applyNumberFormat="1" applyFont="1" applyBorder="1" applyAlignment="1">
      <alignment horizontal="center" wrapText="1"/>
    </xf>
    <xf numFmtId="43" fontId="41" fillId="0" borderId="0" xfId="1" applyFont="1" applyBorder="1" applyAlignment="1">
      <alignment wrapText="1"/>
    </xf>
    <xf numFmtId="165" fontId="11" fillId="6" borderId="4" xfId="12" applyNumberFormat="1" applyBorder="1"/>
    <xf numFmtId="165" fontId="11" fillId="35" borderId="4" xfId="12" applyNumberFormat="1" applyFill="1" applyBorder="1"/>
  </cellXfs>
  <cellStyles count="44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Hiperlink" xfId="43" builtinId="8"/>
    <cellStyle name="Neutro" xfId="9" builtinId="28" customBuiltin="1"/>
    <cellStyle name="Normal" xfId="0" builtinId="0"/>
    <cellStyle name="Nota" xfId="16" builtinId="10" customBuiltin="1"/>
    <cellStyle name="Ruim" xfId="8" builtinId="27" customBuiltin="1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tryd.rtdserver">
      <tp t="e">
        <v>#N/A</v>
        <stp/>
        <stp>COT</stp>
        <stp>YDUQ3</stp>
        <stp>Abert</stp>
        <tr r="O77" s="2"/>
        <tr r="AA82" s="1"/>
      </tp>
      <tp t="e">
        <v>#N/A</v>
        <stp/>
        <stp>COT</stp>
        <stp>IBOV</stp>
        <stp>Fech</stp>
        <tr r="N78" s="2"/>
        <tr r="AA91" s="1"/>
      </tp>
      <tp t="e">
        <v>#N/A</v>
        <stp/>
        <stp>COT</stp>
        <stp>IBOV</stp>
        <stp>Desc</stp>
        <tr r="W78" s="2"/>
      </tp>
      <tp t="e">
        <v>#N/A</v>
        <stp/>
        <stp>COT</stp>
        <stp>YDUQ3</stp>
        <stp>Media</stp>
        <tr r="Q77" s="2"/>
        <tr r="AC82" s="1"/>
      </tp>
      <tp t="e">
        <v>#N/A</v>
        <stp/>
        <stp>COT</stp>
        <stp>IBOV</stp>
        <stp>PrcCpa</stp>
        <tr r="L78" s="2"/>
        <tr r="Y91" s="1"/>
      </tp>
      <tp t="e">
        <v>#N/A</v>
        <stp/>
        <stp>COT</stp>
        <stp>ENGI11</stp>
        <stp>VarVarPer</stp>
        <tr r="W37" s="1"/>
      </tp>
      <tp t="e">
        <v>#N/A</v>
        <stp/>
        <stp>COT</stp>
        <stp>KLBN11</stp>
        <stp>VarVarPer</stp>
        <tr r="W53" s="1"/>
      </tp>
      <tp t="e">
        <v>#N/A</v>
        <stp/>
        <stp>COT</stp>
        <stp>SANB11</stp>
        <stp>Fech</stp>
        <tr r="Z69" s="1"/>
      </tp>
      <tp t="e">
        <v>#N/A</v>
        <stp/>
        <stp>COT</stp>
        <stp>SULA11</stp>
        <stp>Desc</stp>
        <tr r="AE71" s="1"/>
      </tp>
      <tp t="e">
        <v>#N/A</v>
        <stp/>
        <stp>COT</stp>
        <stp>SANB11</stp>
        <stp>Desc</stp>
        <tr r="AE69" s="1"/>
      </tp>
      <tp t="e">
        <v>#N/A</v>
        <stp/>
        <stp>COT</stp>
        <stp>SULA11</stp>
        <stp>Fech</stp>
        <tr r="Z71" s="1"/>
      </tp>
      <tp t="e">
        <v>#N/A</v>
        <stp/>
        <stp>COT</stp>
        <stp>VIVT4</stp>
        <stp>Abert</stp>
        <tr r="AA79" s="1"/>
      </tp>
      <tp t="e">
        <v>#N/A</v>
        <stp/>
        <stp>COT</stp>
        <stp>PRIO3</stp>
        <stp>Media</stp>
        <tr r="AC64" s="1"/>
      </tp>
      <tp t="e">
        <v>#N/A</v>
        <stp/>
        <stp>COT</stp>
        <stp>PETR3</stp>
        <stp>Media</stp>
        <tr r="AC62" s="1"/>
      </tp>
      <tp t="e">
        <v>#N/A</v>
        <stp/>
        <stp>COT</stp>
        <stp>PCAR3</stp>
        <stp>Media</stp>
        <tr r="AC61" s="1"/>
      </tp>
      <tp t="e">
        <v>#N/A</v>
        <stp/>
        <stp>COT</stp>
        <stp>QUAL3</stp>
        <stp>Abert</stp>
        <tr r="AA65" s="1"/>
      </tp>
      <tp t="e">
        <v>#N/A</v>
        <stp/>
        <stp>COT</stp>
        <stp>QUAL3</stp>
        <stp>Media</stp>
        <tr r="AC65" s="1"/>
      </tp>
      <tp t="e">
        <v>#N/A</v>
        <stp/>
        <stp>COT</stp>
        <stp>PETR3</stp>
        <stp>Abert</stp>
        <tr r="AA62" s="1"/>
      </tp>
      <tp t="e">
        <v>#N/A</v>
        <stp/>
        <stp>COT</stp>
        <stp>PCAR3</stp>
        <stp>Abert</stp>
        <tr r="AA61" s="1"/>
      </tp>
      <tp t="e">
        <v>#N/A</v>
        <stp/>
        <stp>COT</stp>
        <stp>VIVT4</stp>
        <stp>Media</stp>
        <tr r="AC79" s="1"/>
      </tp>
      <tp t="e">
        <v>#N/A</v>
        <stp/>
        <stp>COT</stp>
        <stp>PRIO3</stp>
        <stp>Abert</stp>
        <tr r="AA64" s="1"/>
      </tp>
      <tp t="e">
        <v>#N/A</v>
        <stp/>
        <stp>COT</stp>
        <stp>indfut</stp>
        <stp>PrcCpa</stp>
        <tr r="Y90" s="1"/>
      </tp>
      <tp t="e">
        <v>#N/A</v>
        <stp/>
        <stp>COT</stp>
        <stp>TAEE11</stp>
        <stp>VarVarPer</stp>
        <tr r="W73" s="1"/>
      </tp>
      <tp t="e">
        <v>#N/A</v>
        <stp/>
        <stp>COT</stp>
        <stp>SANB11</stp>
        <stp>VarVarPer</stp>
        <tr r="W69" s="1"/>
      </tp>
      <tp t="e">
        <v>#N/A</v>
        <stp/>
        <stp>COT</stp>
        <stp>SBSP3</stp>
        <stp>Abert</stp>
        <tr r="AA70" s="1"/>
      </tp>
      <tp t="e">
        <v>#N/A</v>
        <stp/>
        <stp>COT</stp>
        <stp>RENT3</stp>
        <stp>Media</stp>
        <tr r="AC68" s="1"/>
      </tp>
      <tp t="e">
        <v>#N/A</v>
        <stp/>
        <stp>COT</stp>
        <stp>RADL3</stp>
        <stp>Media</stp>
        <tr r="AC66" s="1"/>
      </tp>
      <tp t="e">
        <v>#N/A</v>
        <stp/>
        <stp>COT</stp>
        <stp>RAIL3</stp>
        <stp>Media</stp>
        <tr r="AC67" s="1"/>
      </tp>
      <tp t="e">
        <v>#N/A</v>
        <stp/>
        <stp>COT</stp>
        <stp>SUZB3</stp>
        <stp>Abert</stp>
        <tr r="AA72" s="1"/>
      </tp>
      <tp t="e">
        <v>#N/A</v>
        <stp/>
        <stp>COT</stp>
        <stp>USIM5</stp>
        <stp>Abert</stp>
        <tr r="AA77" s="1"/>
      </tp>
      <tp t="e">
        <v>#N/A</v>
        <stp/>
        <stp>COT</stp>
        <stp>IBOV</stp>
        <stp>FechAjAnt</stp>
        <tr r="V78" s="2"/>
      </tp>
      <tp t="e">
        <v>#N/A</v>
        <stp/>
        <stp>COT</stp>
        <stp>SUZB3</stp>
        <stp>Media</stp>
        <tr r="AC72" s="1"/>
      </tp>
      <tp t="e">
        <v>#N/A</v>
        <stp/>
        <stp>COT</stp>
        <stp>USIM5</stp>
        <stp>Media</stp>
        <tr r="AC77" s="1"/>
      </tp>
      <tp t="e">
        <v>#N/A</v>
        <stp/>
        <stp>COT</stp>
        <stp>RENT3</stp>
        <stp>Abert</stp>
        <tr r="AA68" s="1"/>
      </tp>
      <tp t="e">
        <v>#N/A</v>
        <stp/>
        <stp>COT</stp>
        <stp>RAIL3</stp>
        <stp>Abert</stp>
        <tr r="AA67" s="1"/>
      </tp>
      <tp t="e">
        <v>#N/A</v>
        <stp/>
        <stp>COT</stp>
        <stp>RADL3</stp>
        <stp>Abert</stp>
        <tr r="AA66" s="1"/>
      </tp>
      <tp t="e">
        <v>#N/A</v>
        <stp/>
        <stp>COT</stp>
        <stp>SBSP3</stp>
        <stp>Media</stp>
        <tr r="AC70" s="1"/>
      </tp>
      <tp t="e">
        <v>#N/A</v>
        <stp/>
        <stp>COT</stp>
        <stp>IBOV</stp>
        <stp>VarVarPer</stp>
        <tr r="K78" s="2"/>
        <tr r="L93" s="1"/>
        <tr r="X91" s="1"/>
        <tr r="G4" s="1"/>
      </tp>
      <tp t="e">
        <v>#N/A</v>
        <stp/>
        <stp>COT</stp>
        <stp>UGPA3</stp>
        <stp>Abert</stp>
        <tr r="AA76" s="1"/>
      </tp>
      <tp t="e">
        <v>#N/A</v>
        <stp/>
        <stp>COT</stp>
        <stp>TOTS3</stp>
        <stp>Media</stp>
        <tr r="AC75" s="1"/>
      </tp>
      <tp t="e">
        <v>#N/A</v>
        <stp/>
        <stp>COT</stp>
        <stp>TIMP3</stp>
        <stp>Media</stp>
        <tr r="AC74" s="1"/>
      </tp>
      <tp t="e">
        <v>#N/A</v>
        <stp/>
        <stp>COT</stp>
        <stp>TOTS3</stp>
        <stp>Abert</stp>
        <tr r="AA75" s="1"/>
      </tp>
      <tp t="e">
        <v>#N/A</v>
        <stp/>
        <stp>COT</stp>
        <stp>TIMP3</stp>
        <stp>Abert</stp>
        <tr r="AA74" s="1"/>
      </tp>
      <tp t="e">
        <v>#N/A</v>
        <stp/>
        <stp>COT</stp>
        <stp>UGPA3</stp>
        <stp>Media</stp>
        <tr r="AC76" s="1"/>
      </tp>
      <tp t="e">
        <v>#N/A</v>
        <stp/>
        <stp>COT</stp>
        <stp>VVAR3</stp>
        <stp>Media</stp>
        <tr r="AC80" s="1"/>
      </tp>
      <tp t="e">
        <v>#N/A</v>
        <stp/>
        <stp>COT</stp>
        <stp>PETR4</stp>
        <stp>Abert</stp>
        <tr r="AA63" s="1"/>
      </tp>
      <tp t="e">
        <v>#N/A</v>
        <stp/>
        <stp>COT</stp>
        <stp>WEGE3</stp>
        <stp>Abert</stp>
        <tr r="AA81" s="1"/>
      </tp>
      <tp t="e">
        <v>#N/A</v>
        <stp/>
        <stp>COT</stp>
        <stp>VALE3</stp>
        <stp>Media</stp>
        <tr r="AC78" s="1"/>
      </tp>
      <tp t="e">
        <v>#N/A</v>
        <stp/>
        <stp>COT</stp>
        <stp>IBOV</stp>
        <stp>AjPU</stp>
        <tr r="S78" s="2"/>
      </tp>
      <tp t="e">
        <v>#N/A</v>
        <stp/>
        <stp>COT</stp>
        <stp>TAEE11</stp>
        <stp>Fech</stp>
        <tr r="Z73" s="1"/>
      </tp>
      <tp t="e">
        <v>#N/A</v>
        <stp/>
        <stp>COT</stp>
        <stp>TAEE11</stp>
        <stp>Desc</stp>
        <tr r="AE73" s="1"/>
      </tp>
      <tp t="e">
        <v>#N/A</v>
        <stp/>
        <stp>COT</stp>
        <stp>VALE3</stp>
        <stp>Abert</stp>
        <tr r="AA78" s="1"/>
      </tp>
      <tp t="e">
        <v>#N/A</v>
        <stp/>
        <stp>COT</stp>
        <stp>WEGE3</stp>
        <stp>Media</stp>
        <tr r="AC81" s="1"/>
      </tp>
      <tp t="e">
        <v>#N/A</v>
        <stp/>
        <stp>COT</stp>
        <stp>PETR4</stp>
        <stp>Media</stp>
        <tr r="AC63" s="1"/>
      </tp>
      <tp t="e">
        <v>#N/A</v>
        <stp/>
        <stp>COT</stp>
        <stp>VVAR3</stp>
        <stp>Abert</stp>
        <tr r="AA80" s="1"/>
      </tp>
      <tp t="e">
        <v>#N/A</v>
        <stp/>
        <stp>COT</stp>
        <stp>KLBN11</stp>
        <stp>Fech</stp>
        <tr r="Z53" s="1"/>
      </tp>
      <tp t="e">
        <v>#N/A</v>
        <stp/>
        <stp>COT</stp>
        <stp>KLBN11</stp>
        <stp>Desc</stp>
        <tr r="AE53" s="1"/>
      </tp>
      <tp t="e">
        <v>#N/A</v>
        <stp/>
        <stp>COT</stp>
        <stp>IGTA3</stp>
        <stp>Abert</stp>
        <tr r="AA48" s="1"/>
      </tp>
      <tp t="e">
        <v>#N/A</v>
        <stp/>
        <stp>COT</stp>
        <stp>HYPE3</stp>
        <stp>Media</stp>
        <tr r="AC47" s="1"/>
      </tp>
      <tp t="e">
        <v>#N/A</v>
        <stp/>
        <stp>COT</stp>
        <stp>HGTX3</stp>
        <stp>Media</stp>
        <tr r="AC46" s="1"/>
      </tp>
      <tp t="e">
        <v>#N/A</v>
        <stp/>
        <stp>COT</stp>
        <stp>HAPV3</stp>
        <stp>Media</stp>
        <tr r="AC45" s="1"/>
      </tp>
      <tp t="e">
        <v>#N/A</v>
        <stp/>
        <stp>COT</stp>
        <stp>IRBR3</stp>
        <stp>Abert</stp>
        <tr r="AA49" s="1"/>
      </tp>
      <tp t="e">
        <v>#N/A</v>
        <stp/>
        <stp>COT</stp>
        <stp>IRBR3</stp>
        <stp>Media</stp>
        <tr r="AC49" s="1"/>
      </tp>
      <tp t="e">
        <v>#N/A</v>
        <stp/>
        <stp>COT</stp>
        <stp>HGTX3</stp>
        <stp>Abert</stp>
        <tr r="AA46" s="1"/>
      </tp>
      <tp t="e">
        <v>#N/A</v>
        <stp/>
        <stp>COT</stp>
        <stp>HAPV3</stp>
        <stp>Abert</stp>
        <tr r="AA45" s="1"/>
      </tp>
      <tp t="e">
        <v>#N/A</v>
        <stp/>
        <stp>COT</stp>
        <stp>IGTA3</stp>
        <stp>Media</stp>
        <tr r="AC48" s="1"/>
      </tp>
      <tp t="e">
        <v>#N/A</v>
        <stp/>
        <stp>COT</stp>
        <stp>HYPE3</stp>
        <stp>Abert</stp>
        <tr r="AA47" s="1"/>
      </tp>
      <tp t="e">
        <v>#N/A</v>
        <stp/>
        <stp>COT</stp>
        <stp>LAME4</stp>
        <stp>Abert</stp>
        <tr r="AA54" s="1"/>
      </tp>
      <tp t="e">
        <v>#N/A</v>
        <stp/>
        <stp>COT</stp>
        <stp>JBSS3</stp>
        <stp>Media</stp>
        <tr r="AC52" s="1"/>
      </tp>
      <tp t="e">
        <v>#N/A</v>
        <stp/>
        <stp>COT</stp>
        <stp>JBSS3</stp>
        <stp>Abert</stp>
        <tr r="AA52" s="1"/>
      </tp>
      <tp t="e">
        <v>#N/A</v>
        <stp/>
        <stp>COT</stp>
        <stp>LAME4</stp>
        <stp>Media</stp>
        <tr r="AC54" s="1"/>
      </tp>
      <tp t="e">
        <v>#N/A</v>
        <stp/>
        <stp>COT</stp>
        <stp>LREN3</stp>
        <stp>Media</stp>
        <tr r="AC55" s="1"/>
      </tp>
      <tp t="e">
        <v>#N/A</v>
        <stp/>
        <stp>COT</stp>
        <stp>MGLU3</stp>
        <stp>Abert</stp>
        <tr r="AA56" s="1"/>
      </tp>
      <tp t="e">
        <v>#N/A</v>
        <stp/>
        <stp>COT</stp>
        <stp>MULT3</stp>
        <stp>Abert</stp>
        <tr r="AA59" s="1"/>
      </tp>
      <tp t="e">
        <v>#N/A</v>
        <stp/>
        <stp>COT</stp>
        <stp>MRVE3</stp>
        <stp>Abert</stp>
        <tr r="AA58" s="1"/>
      </tp>
      <tp t="e">
        <v>#N/A</v>
        <stp/>
        <stp>COT</stp>
        <stp>MRFG3</stp>
        <stp>Abert</stp>
        <tr r="AA57" s="1"/>
      </tp>
      <tp t="e">
        <v>#N/A</v>
        <stp/>
        <stp>COT</stp>
        <stp>MULT3</stp>
        <stp>Media</stp>
        <tr r="AC59" s="1"/>
      </tp>
      <tp t="e">
        <v>#N/A</v>
        <stp/>
        <stp>COT</stp>
        <stp>MRFG3</stp>
        <stp>Media</stp>
        <tr r="AC57" s="1"/>
      </tp>
      <tp t="e">
        <v>#N/A</v>
        <stp/>
        <stp>COT</stp>
        <stp>MRVE3</stp>
        <stp>Media</stp>
        <tr r="AC58" s="1"/>
      </tp>
      <tp t="e">
        <v>#N/A</v>
        <stp/>
        <stp>COT</stp>
        <stp>MGLU3</stp>
        <stp>Media</stp>
        <tr r="AC56" s="1"/>
      </tp>
      <tp t="e">
        <v>#N/A</v>
        <stp/>
        <stp>COT</stp>
        <stp>LREN3</stp>
        <stp>Abert</stp>
        <tr r="AA55" s="1"/>
      </tp>
      <tp t="e">
        <v>#N/A</v>
        <stp/>
        <stp>COT</stp>
        <stp>IBOV</stp>
        <stp>PrcVda</stp>
        <tr r="M78" s="2"/>
        <tr r="Z91" s="1"/>
      </tp>
      <tp t="e">
        <v>#N/A</v>
        <stp/>
        <stp>COT</stp>
        <stp>NTCO3</stp>
        <stp>Media</stp>
        <tr r="AC60" s="1"/>
      </tp>
      <tp t="e">
        <v>#N/A</v>
        <stp/>
        <stp>COT</stp>
        <stp>ITUB4</stp>
        <stp>Media</stp>
        <tr r="AC51" s="1"/>
      </tp>
      <tp t="e">
        <v>#N/A</v>
        <stp/>
        <stp>COT</stp>
        <stp>ITSA4</stp>
        <stp>Media</stp>
        <tr r="AC50" s="1"/>
      </tp>
      <tp t="e">
        <v>#N/A</v>
        <stp/>
        <stp>COT</stp>
        <stp>ITUB4</stp>
        <stp>Abert</stp>
        <tr r="AA51" s="1"/>
      </tp>
      <tp t="e">
        <v>#N/A</v>
        <stp/>
        <stp>COT</stp>
        <stp>ITSA4</stp>
        <stp>Abert</stp>
        <tr r="AA50" s="1"/>
      </tp>
      <tp t="e">
        <v>#N/A</v>
        <stp/>
        <stp>COT</stp>
        <stp>NTCO3</stp>
        <stp>Abert</stp>
        <tr r="AA60" s="1"/>
      </tp>
      <tp t="e">
        <v>#N/A</v>
        <stp/>
        <stp>GRF</stp>
        <stp>DOLM20_MINUTE05_BAR_0</stp>
        <tr r="AI10" s="1"/>
      </tp>
      <tp t="e">
        <v>#N/A</v>
        <stp/>
        <stp>COT</stp>
        <stp>ABEV3</stp>
        <stp>Abert</stp>
        <tr r="AA6" s="1"/>
      </tp>
      <tp t="e">
        <v>#N/A</v>
        <stp/>
        <stp>COT</stp>
        <stp>GGBR4</stp>
        <stp>Media</stp>
        <tr r="AC41" s="1"/>
      </tp>
      <tp t="e">
        <v>#N/A</v>
        <stp/>
        <stp>COT</stp>
        <stp>ELET6</stp>
        <stp>Media</stp>
        <tr r="AC34" s="1"/>
      </tp>
      <tp t="e">
        <v>#N/A</v>
        <stp/>
        <stp>COT</stp>
        <stp>GOAU4</stp>
        <stp>Media</stp>
        <tr r="AC43" s="1"/>
      </tp>
      <tp t="e">
        <v>#N/A</v>
        <stp/>
        <stp>COT</stp>
        <stp>GOLL4</stp>
        <stp>Media</stp>
        <tr r="AC44" s="1"/>
      </tp>
      <tp t="e">
        <v>#N/A</v>
        <stp/>
        <stp>COT</stp>
        <stp>BPAC11</stp>
        <stp>Desc</stp>
        <tr r="AE14" s="1"/>
      </tp>
      <tp t="e">
        <v>#N/A</v>
        <stp/>
        <stp>COT</stp>
        <stp>BPAC11</stp>
        <stp>Fech</stp>
        <tr r="Z14" s="1"/>
      </tp>
      <tp t="e">
        <v>#N/A</v>
        <stp/>
        <stp>COT</stp>
        <stp>GOLL4</stp>
        <stp>Abert</stp>
        <tr r="AA44" s="1"/>
      </tp>
      <tp t="e">
        <v>#N/A</v>
        <stp/>
        <stp>COT</stp>
        <stp>GOAU4</stp>
        <stp>Abert</stp>
        <tr r="AA43" s="1"/>
      </tp>
      <tp t="e">
        <v>#N/A</v>
        <stp/>
        <stp>COT</stp>
        <stp>ELET6</stp>
        <stp>Abert</stp>
        <tr r="AA34" s="1"/>
      </tp>
      <tp t="e">
        <v>#N/A</v>
        <stp/>
        <stp>COT</stp>
        <stp>GGBR4</stp>
        <stp>Abert</stp>
        <tr r="AA41" s="1"/>
      </tp>
      <tp t="e">
        <v>#N/A</v>
        <stp/>
        <stp>COT</stp>
        <stp>ABEV3</stp>
        <stp>Media</stp>
        <tr r="AC6" s="1"/>
      </tp>
      <tp t="e">
        <v>#N/A</v>
        <stp/>
        <stp>COT</stp>
        <stp>B3SA3</stp>
        <stp>Media</stp>
        <tr r="AC8" s="1"/>
      </tp>
      <tp t="e">
        <v>#N/A</v>
        <stp/>
        <stp>COT</stp>
        <stp>IBOV</stp>
        <stp>AjPUAnt</stp>
        <tr r="T78" s="2"/>
      </tp>
      <tp t="e">
        <v>#N/A</v>
        <stp/>
        <stp>COT</stp>
        <stp>BTOW3</stp>
        <stp>Media</stp>
        <tr r="AC20" s="1"/>
      </tp>
      <tp t="e">
        <v>#N/A</v>
        <stp/>
        <stp>COT</stp>
        <stp>COGN3</stp>
        <stp>Abert</stp>
        <tr r="AA24" s="1"/>
      </tp>
      <tp t="e">
        <v>#N/A</v>
        <stp/>
        <stp>COT</stp>
        <stp>BRFS3</stp>
        <stp>Media</stp>
        <tr r="AC17" s="1"/>
      </tp>
      <tp t="e">
        <v>#N/A</v>
        <stp/>
        <stp>COT</stp>
        <stp>BRDT3</stp>
        <stp>Media</stp>
        <tr r="AC16" s="1"/>
      </tp>
      <tp t="e">
        <v>#N/A</v>
        <stp/>
        <stp>COT</stp>
        <stp>BRML3</stp>
        <stp>Media</stp>
        <tr r="AC19" s="1"/>
      </tp>
      <tp t="e">
        <v>#N/A</v>
        <stp/>
        <stp>COT</stp>
        <stp>CIEL3</stp>
        <stp>Abert</stp>
        <tr r="AA22" s="1"/>
      </tp>
      <tp t="e">
        <v>#N/A</v>
        <stp/>
        <stp>COT</stp>
        <stp>CCRO3</stp>
        <stp>Abert</stp>
        <tr r="AA21" s="1"/>
      </tp>
      <tp t="e">
        <v>#N/A</v>
        <stp/>
        <stp>COT</stp>
        <stp>BBDC3</stp>
        <stp>Media</stp>
        <tr r="AC10" s="1"/>
      </tp>
      <tp t="e">
        <v>#N/A</v>
        <stp/>
        <stp>COT</stp>
        <stp>BBAS3</stp>
        <stp>Media</stp>
        <tr r="AC9" s="1"/>
      </tp>
      <tp t="e">
        <v>#N/A</v>
        <stp/>
        <stp>COT</stp>
        <stp>CYRE3</stp>
        <stp>Abert</stp>
        <tr r="AA30" s="1"/>
      </tp>
      <tp t="e">
        <v>#N/A</v>
        <stp/>
        <stp>COT</stp>
        <stp>BBSE3</stp>
        <stp>Media</stp>
        <tr r="AC12" s="1"/>
        <tr r="AC13" s="1"/>
      </tp>
      <tp t="e">
        <v>#N/A</v>
        <stp/>
        <stp>COT</stp>
        <stp>CVCB3</stp>
        <stp>Abert</stp>
        <tr r="AA29" s="1"/>
      </tp>
      <tp t="e">
        <v>#N/A</v>
        <stp/>
        <stp>COT</stp>
        <stp>CSNA3</stp>
        <stp>Abert</stp>
        <tr r="AA28" s="1"/>
      </tp>
      <tp t="e">
        <v>#N/A</v>
        <stp/>
        <stp>COT</stp>
        <stp>CSAN3</stp>
        <stp>Abert</stp>
        <tr r="AA27" s="1"/>
      </tp>
      <tp t="e">
        <v>#N/A</v>
        <stp/>
        <stp>COT</stp>
        <stp>CRFB3</stp>
        <stp>Abert</stp>
        <tr r="AA26" s="1"/>
      </tp>
      <tp t="e">
        <v>#N/A</v>
        <stp/>
        <stp>COT</stp>
        <stp>CPFE3</stp>
        <stp>Abert</stp>
        <tr r="AA25" s="1"/>
      </tp>
      <tp t="e">
        <v>#N/A</v>
        <stp/>
        <stp>COT</stp>
        <stp>B3SA3</stp>
        <stp>Abert</stp>
        <tr r="AA8" s="1"/>
      </tp>
      <tp t="e">
        <v>#N/A</v>
        <stp/>
        <stp>COT</stp>
        <stp>BPAC11</stp>
        <stp>VarVarPer</stp>
        <tr r="W14" s="1"/>
      </tp>
      <tp t="e">
        <v>#N/A</v>
        <stp/>
        <stp>COT</stp>
        <stp>CVCB3</stp>
        <stp>Media</stp>
        <tr r="AC29" s="1"/>
      </tp>
      <tp t="e">
        <v>#N/A</v>
        <stp/>
        <stp>COT</stp>
        <stp>CPFE3</stp>
        <stp>Media</stp>
        <tr r="AC25" s="1"/>
      </tp>
      <tp t="e">
        <v>#N/A</v>
        <stp/>
        <stp>COT</stp>
        <stp>CRFB3</stp>
        <stp>Media</stp>
        <tr r="AC26" s="1"/>
      </tp>
      <tp t="e">
        <v>#N/A</v>
        <stp/>
        <stp>COT</stp>
        <stp>CSAN3</stp>
        <stp>Media</stp>
        <tr r="AC27" s="1"/>
      </tp>
      <tp t="e">
        <v>#N/A</v>
        <stp/>
        <stp>COT</stp>
        <stp>CSNA3</stp>
        <stp>Media</stp>
        <tr r="AC28" s="1"/>
      </tp>
      <tp t="e">
        <v>#N/A</v>
        <stp/>
        <stp>COT</stp>
        <stp>BBSE3</stp>
        <stp>Abert</stp>
        <tr r="AA13" s="1"/>
        <tr r="AA12" s="1"/>
      </tp>
      <tp t="e">
        <v>#N/A</v>
        <stp/>
        <stp>COT</stp>
        <stp>CYRE3</stp>
        <stp>Media</stp>
        <tr r="AC30" s="1"/>
      </tp>
      <tp t="e">
        <v>#N/A</v>
        <stp/>
        <stp>COT</stp>
        <stp>BBDC3</stp>
        <stp>Abert</stp>
        <tr r="AA10" s="1"/>
      </tp>
      <tp t="e">
        <v>#N/A</v>
        <stp/>
        <stp>COT</stp>
        <stp>BBAS3</stp>
        <stp>Abert</stp>
        <tr r="AA9" s="1"/>
      </tp>
      <tp t="e">
        <v>#N/A</v>
        <stp/>
        <stp>COT</stp>
        <stp>CCRO3</stp>
        <stp>Media</stp>
        <tr r="AC21" s="1"/>
      </tp>
      <tp t="e">
        <v>#N/A</v>
        <stp/>
        <stp>COT</stp>
        <stp>COGN3</stp>
        <stp>Media</stp>
        <tr r="AC24" s="1"/>
      </tp>
      <tp t="e">
        <v>#N/A</v>
        <stp/>
        <stp>COT</stp>
        <stp>BTOW3</stp>
        <stp>Abert</stp>
        <tr r="AA20" s="1"/>
      </tp>
      <tp t="e">
        <v>#N/A</v>
        <stp/>
        <stp>COT</stp>
        <stp>CIEL3</stp>
        <stp>Media</stp>
        <tr r="AC22" s="1"/>
      </tp>
      <tp t="e">
        <v>#N/A</v>
        <stp/>
        <stp>COT</stp>
        <stp>BRML3</stp>
        <stp>Abert</stp>
        <tr r="AA19" s="1"/>
      </tp>
      <tp t="e">
        <v>#N/A</v>
        <stp/>
        <stp>COT</stp>
        <stp>BRFS3</stp>
        <stp>Abert</stp>
        <tr r="AA17" s="1"/>
      </tp>
      <tp t="e">
        <v>#N/A</v>
        <stp/>
        <stp>COT</stp>
        <stp>BRDT3</stp>
        <stp>Abert</stp>
        <tr r="AA16" s="1"/>
      </tp>
      <tp t="e">
        <v>#N/A</v>
        <stp/>
        <stp>COT</stp>
        <stp>ENBR3</stp>
        <stp>Abert</stp>
        <tr r="AA36" s="1"/>
      </tp>
      <tp t="e">
        <v>#N/A</v>
        <stp/>
        <stp>COT</stp>
        <stp>EMBR3</stp>
        <stp>Abert</stp>
        <tr r="AA35" s="1"/>
      </tp>
      <tp t="e">
        <v>#N/A</v>
        <stp/>
        <stp>COT</stp>
        <stp>ELET3</stp>
        <stp>Abert</stp>
        <tr r="AA33" s="1"/>
      </tp>
      <tp t="e">
        <v>#N/A</v>
        <stp/>
        <stp>COT</stp>
        <stp>BRKM5</stp>
        <stp>Media</stp>
        <tr r="AC18" s="1"/>
      </tp>
      <tp t="e">
        <v>#N/A</v>
        <stp/>
        <stp>COT</stp>
        <stp>EGIE3</stp>
        <stp>Abert</stp>
        <tr r="AA32" s="1"/>
      </tp>
      <tp t="e">
        <v>#N/A</v>
        <stp/>
        <stp>COT</stp>
        <stp>ECOR3</stp>
        <stp>Abert</stp>
        <tr r="AA31" s="1"/>
      </tp>
      <tp t="e">
        <v>#N/A</v>
        <stp/>
        <stp>COT</stp>
        <stp>BBDC4</stp>
        <stp>Abert</stp>
        <tr r="AA11" s="1"/>
      </tp>
      <tp t="e">
        <v>#N/A</v>
        <stp/>
        <stp>COT</stp>
        <stp>EZTC3</stp>
        <stp>Abert</stp>
        <tr r="AC39" s="1"/>
        <tr r="AD39" s="1"/>
        <tr r="AB39" s="1"/>
        <tr r="AA39" s="1"/>
      </tp>
      <tp t="e">
        <v>#N/A</v>
        <stp/>
        <stp>COT</stp>
        <stp>CMIG4</stp>
        <stp>Media</stp>
        <tr r="AC23" s="1"/>
      </tp>
      <tp t="e">
        <v>#N/A</v>
        <stp/>
        <stp>COT</stp>
        <stp>BRAP4</stp>
        <stp>Abert</stp>
        <tr r="AA15" s="1"/>
      </tp>
      <tp t="e">
        <v>#N/A</v>
        <stp/>
        <stp>COT</stp>
        <stp>EQTL3</stp>
        <stp>Abert</stp>
        <tr r="AA38" s="1"/>
      </tp>
      <tp t="e">
        <v>#N/A</v>
        <stp/>
        <stp>COT</stp>
        <stp>CMIG4</stp>
        <stp>Abert</stp>
        <tr r="AA23" s="1"/>
      </tp>
      <tp t="e">
        <v>#N/A</v>
        <stp/>
        <stp>COT</stp>
        <stp>EQTL3</stp>
        <stp>Media</stp>
        <tr r="AC38" s="1"/>
      </tp>
      <tp t="e">
        <v>#N/A</v>
        <stp/>
        <stp>COT</stp>
        <stp>BRAP4</stp>
        <stp>Media</stp>
        <tr r="AC15" s="1"/>
      </tp>
      <tp t="e">
        <v>#N/A</v>
        <stp/>
        <stp>COT</stp>
        <stp>EGIE3</stp>
        <stp>Media</stp>
        <tr r="AC32" s="1"/>
      </tp>
      <tp t="e">
        <v>#N/A</v>
        <stp/>
        <stp>COT</stp>
        <stp>BBDC4</stp>
        <stp>Media</stp>
        <tr r="AC11" s="1"/>
      </tp>
      <tp t="e">
        <v>#N/A</v>
        <stp/>
        <stp>COT</stp>
        <stp>ECOR3</stp>
        <stp>Media</stp>
        <tr r="AC31" s="1"/>
      </tp>
      <tp t="e">
        <v>#N/A</v>
        <stp/>
        <stp>COT</stp>
        <stp>ELET3</stp>
        <stp>Media</stp>
        <tr r="AC33" s="1"/>
      </tp>
      <tp t="e">
        <v>#N/A</v>
        <stp/>
        <stp>COT</stp>
        <stp>EMBR3</stp>
        <stp>Media</stp>
        <tr r="AC35" s="1"/>
      </tp>
      <tp t="e">
        <v>#N/A</v>
        <stp/>
        <stp>COT</stp>
        <stp>ENBR3</stp>
        <stp>Media</stp>
        <tr r="AC36" s="1"/>
      </tp>
      <tp t="e">
        <v>#N/A</v>
        <stp/>
        <stp>COT</stp>
        <stp>BRKM5</stp>
        <stp>Abert</stp>
        <tr r="AA18" s="1"/>
      </tp>
      <tp t="e">
        <v>#N/A</v>
        <stp/>
        <stp>COT</stp>
        <stp>ENGI11</stp>
        <stp>Fech</stp>
        <tr r="Z37" s="1"/>
      </tp>
      <tp t="e">
        <v>#N/A</v>
        <stp/>
        <stp>COT</stp>
        <stp>SULA11</stp>
        <stp>VarVarPer</stp>
        <tr r="W71" s="1"/>
      </tp>
      <tp t="e">
        <v>#N/A</v>
        <stp/>
        <stp>COT</stp>
        <stp>GNDI3</stp>
        <stp>Abert</stp>
        <tr r="AA42" s="1"/>
      </tp>
      <tp t="e">
        <v>#N/A</v>
        <stp/>
        <stp>COT</stp>
        <stp>AZUL4</stp>
        <stp>Media</stp>
        <tr r="AC7" s="1"/>
      </tp>
      <tp t="e">
        <v>#N/A</v>
        <stp/>
        <stp>COT</stp>
        <stp>FLRY3</stp>
        <stp>Media</stp>
        <tr r="AC40" s="1"/>
      </tp>
      <tp t="e">
        <v>#N/A</v>
        <stp/>
        <stp>COT</stp>
        <stp>indfut</stp>
        <stp>PrcVda</stp>
        <tr r="Z90" s="1"/>
      </tp>
      <tp t="e">
        <v>#N/A</v>
        <stp/>
        <stp>COT</stp>
        <stp>FLRY3</stp>
        <stp>Abert</stp>
        <tr r="AA40" s="1"/>
      </tp>
      <tp t="e">
        <v>#N/A</v>
        <stp/>
        <stp>COT</stp>
        <stp>AZUL4</stp>
        <stp>Abert</stp>
        <tr r="AA7" s="1"/>
      </tp>
      <tp t="e">
        <v>#N/A</v>
        <stp/>
        <stp>COT</stp>
        <stp>GNDI3</stp>
        <stp>Media</stp>
        <tr r="AC42" s="1"/>
      </tp>
      <tp t="e">
        <v>#N/A</v>
        <stp/>
        <stp>COT</stp>
        <stp>SANB11</stp>
        <stp>PrcCpa</stp>
        <tr r="X69" s="1"/>
      </tp>
      <tp t="e">
        <v>#N/A</v>
        <stp/>
        <stp>COT</stp>
        <stp>BRFS3</stp>
        <stp>Min</stp>
        <tr r="AB17" s="1"/>
      </tp>
      <tp t="e">
        <v>#N/A</v>
        <stp/>
        <stp>COT</stp>
        <stp>BRFS3</stp>
        <stp>Max</stp>
        <tr r="AD17" s="1"/>
      </tp>
      <tp t="e">
        <v>#N/A</v>
        <stp/>
        <stp>COT</stp>
        <stp>MRFG3</stp>
        <stp>Min</stp>
        <tr r="AB57" s="1"/>
      </tp>
      <tp t="e">
        <v>#N/A</v>
        <stp/>
        <stp>COT</stp>
        <stp>CPFE3</stp>
        <stp>Min</stp>
        <tr r="AB25" s="1"/>
      </tp>
      <tp t="e">
        <v>#N/A</v>
        <stp/>
        <stp>COT</stp>
        <stp>CRFB3</stp>
        <stp>Min</stp>
        <tr r="AB26" s="1"/>
      </tp>
      <tp t="e">
        <v>#N/A</v>
        <stp/>
        <stp>COT</stp>
        <stp>MRFG3</stp>
        <stp>Max</stp>
        <tr r="AD57" s="1"/>
      </tp>
      <tp t="e">
        <v>#N/A</v>
        <stp/>
        <stp>COT</stp>
        <stp>CPFE3</stp>
        <stp>Max</stp>
        <tr r="AD25" s="1"/>
      </tp>
      <tp t="e">
        <v>#N/A</v>
        <stp/>
        <stp>COT</stp>
        <stp>CRFB3</stp>
        <stp>Max</stp>
        <tr r="AD26" s="1"/>
      </tp>
      <tp t="e">
        <v>#N/A</v>
        <stp/>
        <stp>COT</stp>
        <stp>COGN3</stp>
        <stp>Max</stp>
        <tr r="AD24" s="1"/>
      </tp>
      <tp t="e">
        <v>#N/A</v>
        <stp/>
        <stp>COT</stp>
        <stp>WEGE3</stp>
        <stp>Min</stp>
        <tr r="AB81" s="1"/>
      </tp>
      <tp t="e">
        <v>#N/A</v>
        <stp/>
        <stp>COT</stp>
        <stp>COGN3</stp>
        <stp>Min</stp>
        <tr r="AB24" s="1"/>
      </tp>
      <tp t="e">
        <v>#N/A</v>
        <stp/>
        <stp>COT</stp>
        <stp>WEGE3</stp>
        <stp>Max</stp>
        <tr r="AD81" s="1"/>
      </tp>
      <tp t="e">
        <v>#N/A</v>
        <stp/>
        <stp>COT</stp>
        <stp>SULA11</stp>
        <stp>PrcCpa</stp>
        <tr r="X71" s="1"/>
      </tp>
      <tp t="e">
        <v>#N/A</v>
        <stp/>
        <stp>COT</stp>
        <stp>BRDT3</stp>
        <stp>Min</stp>
        <tr r="AB16" s="1"/>
      </tp>
      <tp t="e">
        <v>#N/A</v>
        <stp/>
        <stp>COT</stp>
        <stp>BRDT3</stp>
        <stp>Max</stp>
        <tr r="AD16" s="1"/>
      </tp>
      <tp t="e">
        <v>#N/A</v>
        <stp/>
        <stp>COT</stp>
        <stp>RADL3</stp>
        <stp>Max</stp>
        <tr r="AD66" s="1"/>
      </tp>
      <tp t="e">
        <v>#N/A</v>
        <stp/>
        <stp>COT</stp>
        <stp>BBDC3</stp>
        <stp>Min</stp>
        <tr r="AB10" s="1"/>
      </tp>
      <tp t="e">
        <v>#N/A</v>
        <stp/>
        <stp>COT</stp>
        <stp>BBDC4</stp>
        <stp>Min</stp>
        <tr r="AB11" s="1"/>
      </tp>
      <tp t="e">
        <v>#N/A</v>
        <stp/>
        <stp>COT</stp>
        <stp>GNDI3</stp>
        <stp>Max</stp>
        <tr r="AD42" s="1"/>
      </tp>
      <tp t="e">
        <v>#N/A</v>
        <stp/>
        <stp>COT</stp>
        <stp>RADL3</stp>
        <stp>Min</stp>
        <tr r="AB66" s="1"/>
      </tp>
      <tp t="e">
        <v>#N/A</v>
        <stp/>
        <stp>COT</stp>
        <stp>BBDC4</stp>
        <stp>Max</stp>
        <tr r="AD11" s="1"/>
      </tp>
      <tp t="e">
        <v>#N/A</v>
        <stp/>
        <stp>COT</stp>
        <stp>BBDC3</stp>
        <stp>Max</stp>
        <tr r="AD10" s="1"/>
      </tp>
      <tp t="e">
        <v>#N/A</v>
        <stp/>
        <stp>COT</stp>
        <stp>GNDI3</stp>
        <stp>Min</stp>
        <tr r="AB42" s="1"/>
      </tp>
      <tp t="e">
        <v>#N/A</v>
        <stp/>
        <stp>COT</stp>
        <stp>ABEV3</stp>
        <stp>Min</stp>
        <tr r="AB6" s="1"/>
      </tp>
      <tp t="e">
        <v>#N/A</v>
        <stp/>
        <stp>COT</stp>
        <stp>ELET6</stp>
        <stp>Min</stp>
        <tr r="AB34" s="1"/>
      </tp>
      <tp t="e">
        <v>#N/A</v>
        <stp/>
        <stp>COT</stp>
        <stp>ELET3</stp>
        <stp>Min</stp>
        <tr r="AB33" s="1"/>
      </tp>
      <tp t="e">
        <v>#N/A</v>
        <stp/>
        <stp>COT</stp>
        <stp>ABEV3</stp>
        <stp>Max</stp>
        <tr r="AD6" s="1"/>
      </tp>
      <tp t="e">
        <v>#N/A</v>
        <stp/>
        <stp>COT</stp>
        <stp>ELET3</stp>
        <stp>Max</stp>
        <tr r="AD33" s="1"/>
      </tp>
      <tp t="e">
        <v>#N/A</v>
        <stp/>
        <stp>COT</stp>
        <stp>ELET6</stp>
        <stp>Max</stp>
        <tr r="AD34" s="1"/>
      </tp>
      <tp t="e">
        <v>#N/A</v>
        <stp/>
        <stp>COT</stp>
        <stp>LREN3</stp>
        <stp>Max</stp>
        <tr r="AD55" s="1"/>
      </tp>
      <tp t="e">
        <v>#N/A</v>
        <stp/>
        <stp>COT</stp>
        <stp>CIEL3</stp>
        <stp>Max</stp>
        <tr r="AD22" s="1"/>
      </tp>
      <tp t="e">
        <v>#N/A</v>
        <stp/>
        <stp>COT</stp>
        <stp>LREN3</stp>
        <stp>Min</stp>
        <tr r="AB55" s="1"/>
      </tp>
      <tp t="e">
        <v>#N/A</v>
        <stp/>
        <stp>COT</stp>
        <stp>CIEL3</stp>
        <stp>Min</stp>
        <tr r="AB22" s="1"/>
      </tp>
      <tp t="e">
        <v>#N/A</v>
        <stp/>
        <stp>COT</stp>
        <stp>GGBR4</stp>
        <stp>Min</stp>
        <tr r="AB41" s="1"/>
      </tp>
      <tp t="e">
        <v>#N/A</v>
        <stp/>
        <stp>COT</stp>
        <stp>ENBR3</stp>
        <stp>Min</stp>
        <tr r="AB36" s="1"/>
      </tp>
      <tp t="e">
        <v>#N/A</v>
        <stp/>
        <stp>COT</stp>
        <stp>EMBR3</stp>
        <stp>Min</stp>
        <tr r="AB35" s="1"/>
      </tp>
      <tp t="e">
        <v>#N/A</v>
        <stp/>
        <stp>COT</stp>
        <stp>IRBR3</stp>
        <stp>Min</stp>
        <tr r="AB49" s="1"/>
      </tp>
      <tp t="e">
        <v>#N/A</v>
        <stp/>
        <stp>COT</stp>
        <stp>ENBR3</stp>
        <stp>Max</stp>
        <tr r="AD36" s="1"/>
      </tp>
      <tp t="e">
        <v>#N/A</v>
        <stp/>
        <stp>COT</stp>
        <stp>EMBR3</stp>
        <stp>Max</stp>
        <tr r="AD35" s="1"/>
      </tp>
      <tp t="e">
        <v>#N/A</v>
        <stp/>
        <stp>COT</stp>
        <stp>GGBR4</stp>
        <stp>Max</stp>
        <tr r="AD41" s="1"/>
      </tp>
      <tp t="e">
        <v>#N/A</v>
        <stp/>
        <stp>COT</stp>
        <stp>IRBR3</stp>
        <stp>Max</stp>
        <tr r="AD49" s="1"/>
      </tp>
      <tp t="e">
        <v>#N/A</v>
        <stp/>
        <stp>COT</stp>
        <stp>SUZB3</stp>
        <stp>Ult</stp>
        <tr r="U72" s="1"/>
      </tp>
      <tp t="e">
        <v>#N/A</v>
        <stp/>
        <stp>COT</stp>
        <stp>NTCO3</stp>
        <stp>Max</stp>
        <tr r="AD60" s="1"/>
      </tp>
      <tp t="e">
        <v>#N/A</v>
        <stp/>
        <stp>COT</stp>
        <stp>CVCB3</stp>
        <stp>Min</stp>
        <tr r="AB29" s="1"/>
      </tp>
      <tp t="e">
        <v>#N/A</v>
        <stp/>
        <stp>COT</stp>
        <stp>NTCO3</stp>
        <stp>Min</stp>
        <tr r="AB60" s="1"/>
      </tp>
      <tp t="e">
        <v>#N/A</v>
        <stp/>
        <stp>COT</stp>
        <stp>CVCB3</stp>
        <stp>Max</stp>
        <tr r="AD29" s="1"/>
      </tp>
      <tp t="e">
        <v>#N/A</v>
        <stp/>
        <stp>COT</stp>
        <stp>indfut</stp>
        <stp>Media</stp>
        <tr r="AD90" s="1"/>
      </tp>
      <tp t="e">
        <v>#N/A</v>
        <stp/>
        <stp>COT</stp>
        <stp>indfut</stp>
        <stp>Abert</stp>
        <tr r="AB90" s="1"/>
      </tp>
      <tp t="e">
        <v>#N/A</v>
        <stp/>
        <stp>COT</stp>
        <stp>GOAU4</stp>
        <stp>Min</stp>
        <tr r="AB43" s="1"/>
      </tp>
      <tp t="e">
        <v>#N/A</v>
        <stp/>
        <stp>COT</stp>
        <stp>BBAS3</stp>
        <stp>Min</stp>
        <tr r="AB9" s="1"/>
      </tp>
      <tp t="e">
        <v>#N/A</v>
        <stp/>
        <stp>COT</stp>
        <stp>PCAR3</stp>
        <stp>Min</stp>
        <tr r="AB61" s="1"/>
      </tp>
      <tp t="e">
        <v>#N/A</v>
        <stp/>
        <stp>COT</stp>
        <stp>VVAR3</stp>
        <stp>Min</stp>
        <tr r="AB80" s="1"/>
      </tp>
      <tp t="e">
        <v>#N/A</v>
        <stp/>
        <stp>COT</stp>
        <stp>BRAP4</stp>
        <stp>Min</stp>
        <tr r="AB15" s="1"/>
      </tp>
      <tp t="e">
        <v>#N/A</v>
        <stp/>
        <stp>COT</stp>
        <stp>GOAU4</stp>
        <stp>Max</stp>
        <tr r="AD43" s="1"/>
      </tp>
      <tp t="e">
        <v>#N/A</v>
        <stp/>
        <stp>COT</stp>
        <stp>BBAS3</stp>
        <stp>Max</stp>
        <tr r="AD9" s="1"/>
      </tp>
      <tp t="e">
        <v>#N/A</v>
        <stp/>
        <stp>COT</stp>
        <stp>VVAR3</stp>
        <stp>Max</stp>
        <tr r="AD80" s="1"/>
      </tp>
      <tp t="e">
        <v>#N/A</v>
        <stp/>
        <stp>COT</stp>
        <stp>PCAR3</stp>
        <stp>Max</stp>
        <tr r="AD61" s="1"/>
      </tp>
      <tp t="e">
        <v>#N/A</v>
        <stp/>
        <stp>COT</stp>
        <stp>BRAP4</stp>
        <stp>Max</stp>
        <tr r="AD15" s="1"/>
      </tp>
      <tp t="e">
        <v>#N/A</v>
        <stp/>
        <stp>COT</stp>
        <stp>CSAN3</stp>
        <stp>Max</stp>
        <tr r="AD27" s="1"/>
      </tp>
      <tp t="e">
        <v>#N/A</v>
        <stp/>
        <stp>COT</stp>
        <stp>SUZB3</stp>
        <stp>Vol</stp>
        <tr r="AF72" s="1"/>
      </tp>
      <tp t="e">
        <v>#N/A</v>
        <stp/>
        <stp>COT</stp>
        <stp>QUAL3</stp>
        <stp>Max</stp>
        <tr r="AD65" s="1"/>
      </tp>
      <tp t="e">
        <v>#N/A</v>
        <stp/>
        <stp>COT</stp>
        <stp>CSAN3</stp>
        <stp>Min</stp>
        <tr r="AB27" s="1"/>
      </tp>
      <tp t="e">
        <v>#N/A</v>
        <stp/>
        <stp>COT</stp>
        <stp>QUAL3</stp>
        <stp>Min</stp>
        <tr r="AB65" s="1"/>
      </tp>
      <tp t="e">
        <v>#N/A</v>
        <stp/>
        <stp>COT</stp>
        <stp>IBOV</stp>
        <stp>FechAj</stp>
        <tr r="U78" s="2"/>
      </tp>
      <tp t="e">
        <v>#N/A</v>
        <stp/>
        <stp>COT</stp>
        <stp>YDUQ3</stp>
        <stp>Vol</stp>
        <tr r="X77" s="2"/>
        <tr r="AF82" s="1"/>
      </tp>
      <tp t="e">
        <v>#N/A</v>
        <stp/>
        <stp>COT</stp>
        <stp>RENT3</stp>
        <stp>Min</stp>
        <tr r="AB68" s="1"/>
      </tp>
      <tp t="e">
        <v>#N/A</v>
        <stp/>
        <stp>COT</stp>
        <stp>VIVT4</stp>
        <stp>Ult</stp>
        <tr r="U79" s="1"/>
      </tp>
      <tp t="e">
        <v>#N/A</v>
        <stp/>
        <stp>COT</stp>
        <stp>RENT3</stp>
        <stp>Max</stp>
        <tr r="AD68" s="1"/>
      </tp>
      <tp t="e">
        <v>#N/A</v>
        <stp/>
        <stp>COT</stp>
        <stp>ITUB4</stp>
        <stp>Vol</stp>
        <tr r="AF51" s="1"/>
      </tp>
      <tp t="e">
        <v>#N/A</v>
        <stp/>
        <stp>COT</stp>
        <stp>CSNA3</stp>
        <stp>Min</stp>
        <tr r="AB28" s="1"/>
      </tp>
      <tp t="e">
        <v>#N/A</v>
        <stp/>
        <stp>COT</stp>
        <stp>MRVE3</stp>
        <stp>Ult</stp>
        <tr r="U58" s="1"/>
      </tp>
      <tp t="e">
        <v>#N/A</v>
        <stp/>
        <stp>COT</stp>
        <stp>AZUL4</stp>
        <stp>Vol</stp>
        <tr r="AF7" s="1"/>
      </tp>
      <tp t="e">
        <v>#N/A</v>
        <stp/>
        <stp>COT</stp>
        <stp>CSNA3</stp>
        <stp>Max</stp>
        <tr r="AD28" s="1"/>
      </tp>
      <tp t="e">
        <v>#N/A</v>
        <stp/>
        <stp>COT</stp>
        <stp>ENGI11</stp>
        <stp>PrcCpa</stp>
        <tr r="X37" s="1"/>
      </tp>
      <tp t="e">
        <v>#N/A</v>
        <stp/>
        <stp>COT</stp>
        <stp>BTOW3</stp>
        <stp>Min</stp>
        <tr r="AB20" s="1"/>
      </tp>
      <tp t="e">
        <v>#N/A</v>
        <stp/>
        <stp>COT</stp>
        <stp>TOTS3</stp>
        <stp>Vol</stp>
        <tr r="AF75" s="1"/>
      </tp>
      <tp t="e">
        <v>#N/A</v>
        <stp/>
        <stp>COT</stp>
        <stp>PETR3</stp>
        <stp>Vol</stp>
        <tr r="AF62" s="1"/>
      </tp>
      <tp t="e">
        <v>#N/A</v>
        <stp/>
        <stp>COT</stp>
        <stp>PETR4</stp>
        <stp>Vol</stp>
        <tr r="AF63" s="1"/>
      </tp>
      <tp t="e">
        <v>#N/A</v>
        <stp/>
        <stp>COT</stp>
        <stp>ECOR3</stp>
        <stp>Min</stp>
        <tr r="AB31" s="1"/>
      </tp>
      <tp t="e">
        <v>#N/A</v>
        <stp/>
        <stp>COT</stp>
        <stp>BTOW3</stp>
        <stp>Max</stp>
        <tr r="AD20" s="1"/>
      </tp>
      <tp t="e">
        <v>#N/A</v>
        <stp/>
        <stp>COT</stp>
        <stp>HGTX3</stp>
        <stp>Vol</stp>
        <tr r="AF46" s="1"/>
      </tp>
      <tp t="e">
        <v>#N/A</v>
        <stp/>
        <stp>COT</stp>
        <stp>ECOR3</stp>
        <stp>Max</stp>
        <tr r="AD31" s="1"/>
      </tp>
      <tp t="e">
        <v>#N/A</v>
        <stp/>
        <stp>COT</stp>
        <stp>IGTA3</stp>
        <stp>Vol</stp>
        <tr r="AF48" s="1"/>
      </tp>
      <tp t="e">
        <v>#N/A</v>
        <stp/>
        <stp>COT</stp>
        <stp>EQTL3</stp>
        <stp>Vol</stp>
        <tr r="AF38" s="1"/>
      </tp>
      <tp t="e">
        <v>#N/A</v>
        <stp/>
        <stp>COT</stp>
        <stp>PETR3</stp>
        <stp>Ult</stp>
        <tr r="U62" s="1"/>
      </tp>
      <tp t="e">
        <v>#N/A</v>
        <stp/>
        <stp>COT</stp>
        <stp>PETR4</stp>
        <stp>Ult</stp>
        <tr r="U63" s="1"/>
      </tp>
      <tp t="e">
        <v>#N/A</v>
        <stp/>
        <stp>COT</stp>
        <stp>TOTS3</stp>
        <stp>Ult</stp>
        <tr r="U75" s="1"/>
      </tp>
      <tp t="e">
        <v>#N/A</v>
        <stp/>
        <stp>COT</stp>
        <stp>MGLU3</stp>
        <stp>Min</stp>
        <tr r="AB56" s="1"/>
      </tp>
      <tp t="e">
        <v>#N/A</v>
        <stp/>
        <stp>COT</stp>
        <stp>MULT3</stp>
        <stp>Min</stp>
        <tr r="AB59" s="1"/>
      </tp>
      <tp t="e">
        <v>#N/A</v>
        <stp/>
        <stp>COT</stp>
        <stp>MGLU3</stp>
        <stp>Max</stp>
        <tr r="AD56" s="1"/>
      </tp>
      <tp t="e">
        <v>#N/A</v>
        <stp/>
        <stp>COT</stp>
        <stp>MULT3</stp>
        <stp>Max</stp>
        <tr r="AD59" s="1"/>
      </tp>
      <tp t="e">
        <v>#N/A</v>
        <stp/>
        <stp>COT</stp>
        <stp>EZTC3</stp>
        <stp>Ult</stp>
        <tr r="U39" s="1"/>
      </tp>
      <tp t="e">
        <v>#N/A</v>
        <stp/>
        <stp>COT</stp>
        <stp>VALE3</stp>
        <stp>Min</stp>
        <tr r="AB78" s="1"/>
      </tp>
      <tp t="e">
        <v>#N/A</v>
        <stp/>
        <stp>COT</stp>
        <stp>IGTA3</stp>
        <stp>Ult</stp>
        <tr r="U48" s="1"/>
      </tp>
      <tp t="e">
        <v>#N/A</v>
        <stp/>
        <stp>COT</stp>
        <stp>GOLL4</stp>
        <stp>Max</stp>
        <tr r="AD44" s="1"/>
      </tp>
      <tp t="e">
        <v>#N/A</v>
        <stp/>
        <stp>COT</stp>
        <stp>VALE3</stp>
        <stp>Max</stp>
        <tr r="AD78" s="1"/>
      </tp>
      <tp t="e">
        <v>#N/A</v>
        <stp/>
        <stp>COT</stp>
        <stp>GOLL4</stp>
        <stp>Min</stp>
        <tr r="AB44" s="1"/>
      </tp>
      <tp t="e">
        <v>#N/A</v>
        <stp/>
        <stp>COT</stp>
        <stp>EQTL3</stp>
        <stp>Ult</stp>
        <tr r="U38" s="1"/>
      </tp>
      <tp t="e">
        <v>#N/A</v>
        <stp/>
        <stp>COT</stp>
        <stp>HGTx3</stp>
        <stp>Ult</stp>
        <tr r="U46" s="1"/>
      </tp>
      <tp t="e">
        <v>#N/A</v>
        <stp/>
        <stp>COT</stp>
        <stp>TAEE11</stp>
        <stp>PrcCpa</stp>
        <tr r="X73" s="1"/>
      </tp>
      <tp t="e">
        <v>#N/A</v>
        <stp/>
        <stp>COT</stp>
        <stp>YDUQ3</stp>
        <stp>Ult</stp>
        <tr r="J77" s="2"/>
        <tr r="U82" s="1"/>
      </tp>
      <tp t="e">
        <v>#N/A</v>
        <stp/>
        <stp>COT</stp>
        <stp>VIVT4</stp>
        <stp>Vol</stp>
        <tr r="AF79" s="1"/>
      </tp>
      <tp t="e">
        <v>#N/A</v>
        <stp/>
        <stp>COT</stp>
        <stp>TIMP3</stp>
        <stp>Min</stp>
        <tr r="AB74" s="1"/>
      </tp>
      <tp t="e">
        <v>#N/A</v>
        <stp/>
        <stp>COT</stp>
        <stp>TIMP3</stp>
        <stp>Max</stp>
        <tr r="AD74" s="1"/>
      </tp>
      <tp t="e">
        <v>#N/A</v>
        <stp/>
        <stp>COT</stp>
        <stp>ITUB4</stp>
        <stp>Ult</stp>
        <tr r="U51" s="1"/>
      </tp>
      <tp t="e">
        <v>#N/A</v>
        <stp/>
        <stp>COT</stp>
        <stp>LAME4</stp>
        <stp>Min</stp>
        <tr r="AB54" s="1"/>
      </tp>
      <tp t="e">
        <v>#N/A</v>
        <stp/>
        <stp>COT</stp>
        <stp>BRML3</stp>
        <stp>Max</stp>
        <tr r="AD19" s="1"/>
      </tp>
      <tp t="e">
        <v>#N/A</v>
        <stp/>
        <stp>COT</stp>
        <stp>MRVE3</stp>
        <stp>Vol</stp>
        <tr r="AF58" s="1"/>
      </tp>
      <tp t="e">
        <v>#N/A</v>
        <stp/>
        <stp>COT</stp>
        <stp>LAME4</stp>
        <stp>Max</stp>
        <tr r="AD54" s="1"/>
      </tp>
      <tp t="e">
        <v>#N/A</v>
        <stp/>
        <stp>COT</stp>
        <stp>BRML3</stp>
        <stp>Min</stp>
        <tr r="AB19" s="1"/>
      </tp>
      <tp t="e">
        <v>#N/A</v>
        <stp/>
        <stp>COT</stp>
        <stp>AZUL4</stp>
        <stp>Ult</stp>
        <tr r="U7" s="1"/>
      </tp>
      <tp t="e">
        <v>#N/A</v>
        <stp/>
        <stp>COT</stp>
        <stp>KLBN11</stp>
        <stp>PrcCpa</stp>
        <tr r="X53" s="1"/>
      </tp>
      <tp t="e">
        <v>#N/A</v>
        <stp/>
        <stp>COT</stp>
        <stp>FLRY3</stp>
        <stp>Ult</stp>
        <tr r="U40" s="1"/>
      </tp>
      <tp t="e">
        <v>#N/A</v>
        <stp/>
        <stp>COT</stp>
        <stp>CYRE3</stp>
        <stp>Ult</stp>
        <tr r="U30" s="1"/>
      </tp>
      <tp t="e">
        <v>#N/A</v>
        <stp/>
        <stp>COT</stp>
        <stp>CCRO3</stp>
        <stp>Ult</stp>
        <tr r="U21" s="1"/>
      </tp>
      <tp t="e">
        <v>#N/A</v>
        <stp/>
        <stp>COT</stp>
        <stp>JBSS3</stp>
        <stp>Ult</stp>
        <tr r="U52" s="1"/>
      </tp>
      <tp t="e">
        <v>#N/A</v>
        <stp/>
        <stp>COT</stp>
        <stp>SBSP3</stp>
        <stp>Ult</stp>
        <tr r="U70" s="1"/>
      </tp>
      <tp t="e">
        <v>#N/A</v>
        <stp/>
        <stp>COT</stp>
        <stp>HAPV3</stp>
        <stp>Vol</stp>
        <tr r="AF45" s="1"/>
      </tp>
      <tp t="e">
        <v>#N/A</v>
        <stp/>
        <stp>COT</stp>
        <stp>UGPA3</stp>
        <stp>Vol</stp>
        <tr r="AF76" s="1"/>
      </tp>
      <tp t="e">
        <v>#N/A</v>
        <stp/>
        <stp>COT</stp>
        <stp>BRKM5</stp>
        <stp>Max</stp>
        <tr r="AD18" s="1"/>
      </tp>
      <tp t="e">
        <v>#N/A</v>
        <stp/>
        <stp>COT</stp>
        <stp>ITSA4</stp>
        <stp>Ult</stp>
        <tr r="U50" s="1"/>
      </tp>
      <tp t="e">
        <v>#N/A</v>
        <stp/>
        <stp>COT</stp>
        <stp>B3SA3</stp>
        <stp>Ult</stp>
        <tr r="U8" s="1"/>
      </tp>
      <tp t="e">
        <v>#N/A</v>
        <stp/>
        <stp>COT</stp>
        <stp>HYPE3</stp>
        <stp>Vol</stp>
        <tr r="AF47" s="1"/>
      </tp>
      <tp t="e">
        <v>#N/A</v>
        <stp/>
        <stp>COT</stp>
        <stp>BBSE3</stp>
        <stp>Ult</stp>
        <tr r="U13" s="1"/>
        <tr r="U12" s="1"/>
      </tp>
      <tp t="e">
        <v>#N/A</v>
        <stp/>
        <stp>COT</stp>
        <stp>BRKM5</stp>
        <stp>Min</stp>
        <tr r="AB18" s="1"/>
      </tp>
      <tp t="e">
        <v>#N/A</v>
        <stp/>
        <stp>COT</stp>
        <stp>SBSP3</stp>
        <stp>Vol</stp>
        <tr r="AF70" s="1"/>
      </tp>
      <tp t="e">
        <v>#N/A</v>
        <stp/>
        <stp>COT</stp>
        <stp>JBSS3</stp>
        <stp>Vol</stp>
        <tr r="AF52" s="1"/>
      </tp>
      <tp t="e">
        <v>#N/A</v>
        <stp/>
        <stp>COT</stp>
        <stp>HAPV3</stp>
        <stp>Ult</stp>
        <tr r="U45" s="1"/>
      </tp>
      <tp t="e">
        <v>#N/A</v>
        <stp/>
        <stp>COT</stp>
        <stp>B3SA3</stp>
        <stp>Vol</stp>
        <tr r="AF8" s="1"/>
      </tp>
      <tp t="e">
        <v>#N/A</v>
        <stp/>
        <stp>COT</stp>
        <stp>ITSA4</stp>
        <stp>Vol</stp>
        <tr r="AF50" s="1"/>
      </tp>
      <tp t="e">
        <v>#N/A</v>
        <stp/>
        <stp>COT</stp>
        <stp>UGPA3</stp>
        <stp>Ult</stp>
        <tr r="U76" s="1"/>
      </tp>
      <tp t="e">
        <v>#N/A</v>
        <stp/>
        <stp>COT</stp>
        <stp>BBSE3</stp>
        <stp>Vol</stp>
        <tr r="AF13" s="1"/>
        <tr r="AF12" s="1"/>
      </tp>
      <tp t="e">
        <v>#N/A</v>
        <stp/>
        <stp>COT</stp>
        <stp>HYPE3</stp>
        <stp>Ult</stp>
        <tr r="U47" s="1"/>
      </tp>
      <tp t="e">
        <v>#N/A</v>
        <stp/>
        <stp>COT</stp>
        <stp>B3SA3</stp>
        <stp>PrcCpa</stp>
        <tr r="X8" s="1"/>
      </tp>
      <tp t="e">
        <v>#N/A</v>
        <stp/>
        <stp>COT</stp>
        <stp>BPAC11</stp>
        <stp>PrcCpa</stp>
        <tr r="X14" s="1"/>
      </tp>
      <tp t="e">
        <v>#N/A</v>
        <stp/>
        <stp>COT</stp>
        <stp>FLRY3</stp>
        <stp>Vol</stp>
        <tr r="AF40" s="1"/>
      </tp>
      <tp t="e">
        <v>#N/A</v>
        <stp/>
        <stp>COT</stp>
        <stp>PRIO3</stp>
        <stp>Max</stp>
        <tr r="AD64" s="1"/>
      </tp>
      <tp t="e">
        <v>#N/A</v>
        <stp/>
        <stp>COT</stp>
        <stp>CMIG4</stp>
        <stp>Min</stp>
        <tr r="AB23" s="1"/>
      </tp>
      <tp t="e">
        <v>#N/A</v>
        <stp/>
        <stp>COT</stp>
        <stp>USIM5</stp>
        <stp>Max</stp>
        <tr r="AD77" s="1"/>
      </tp>
      <tp t="e">
        <v>#N/A</v>
        <stp/>
        <stp>COT</stp>
        <stp>EGIE3</stp>
        <stp>Min</stp>
        <tr r="AB32" s="1"/>
      </tp>
      <tp t="e">
        <v>#N/A</v>
        <stp/>
        <stp>COT</stp>
        <stp>RAIL3</stp>
        <stp>Max</stp>
        <tr r="AD67" s="1"/>
      </tp>
      <tp t="e">
        <v>#N/A</v>
        <stp/>
        <stp>COT</stp>
        <stp>CYRE3</stp>
        <stp>Vol</stp>
        <tr r="AF30" s="1"/>
      </tp>
      <tp t="e">
        <v>#N/A</v>
        <stp/>
        <stp>COT</stp>
        <stp>CMIG4</stp>
        <stp>Max</stp>
        <tr r="AD23" s="1"/>
      </tp>
      <tp t="e">
        <v>#N/A</v>
        <stp/>
        <stp>COT</stp>
        <stp>PRIO3</stp>
        <stp>Min</stp>
        <tr r="AB64" s="1"/>
      </tp>
      <tp t="e">
        <v>#N/A</v>
        <stp/>
        <stp>COT</stp>
        <stp>USIM5</stp>
        <stp>Min</stp>
        <tr r="AB77" s="1"/>
      </tp>
      <tp t="e">
        <v>#N/A</v>
        <stp/>
        <stp>COT</stp>
        <stp>EGIE3</stp>
        <stp>Max</stp>
        <tr r="AD32" s="1"/>
      </tp>
      <tp t="e">
        <v>#N/A</v>
        <stp/>
        <stp>COT</stp>
        <stp>RAIL3</stp>
        <stp>Min</stp>
        <tr r="AB67" s="1"/>
      </tp>
      <tp t="e">
        <v>#N/A</v>
        <stp/>
        <stp>COT</stp>
        <stp>CCRO3</stp>
        <stp>Vol</stp>
        <tr r="AF21" s="1"/>
      </tp>
      <tp t="e">
        <v>#N/A</v>
        <stp/>
        <stp>COT</stp>
        <stp>TIMP3</stp>
        <stp>Vol</stp>
        <tr r="AF74" s="1"/>
      </tp>
      <tp t="e">
        <v>#N/A</v>
        <stp/>
        <stp>COT</stp>
        <stp>VIVT4</stp>
        <stp>Min</stp>
        <tr r="AB79" s="1"/>
      </tp>
      <tp t="e">
        <v>#N/A</v>
        <stp/>
        <stp>COT</stp>
        <stp>RENT3</stp>
        <stp>Ult</stp>
        <tr r="U68" s="1"/>
      </tp>
      <tp t="e">
        <v>#N/A</v>
        <stp/>
        <stp>COT</stp>
        <stp>VIVT4</stp>
        <stp>Max</stp>
        <tr r="AD79" s="1"/>
      </tp>
      <tp t="e">
        <v>#N/A</v>
        <stp/>
        <stp>COT</stp>
        <stp>MRVE3</stp>
        <stp>Min</stp>
        <tr r="AB58" s="1"/>
      </tp>
      <tp t="e">
        <v>#N/A</v>
        <stp/>
        <stp>COT</stp>
        <stp>CSNA3</stp>
        <stp>Ult</stp>
        <tr r="U28" s="1"/>
      </tp>
      <tp t="e">
        <v>#N/A</v>
        <stp/>
        <stp>COT</stp>
        <stp>LAME4</stp>
        <stp>Vol</stp>
        <tr r="AF54" s="1"/>
      </tp>
      <tp t="e">
        <v>#N/A</v>
        <stp/>
        <stp>COT</stp>
        <stp>MRVE3</stp>
        <stp>Max</stp>
        <tr r="AD58" s="1"/>
      </tp>
      <tp t="e">
        <v>#N/A</v>
        <stp/>
        <stp>COT</stp>
        <stp>BRML3</stp>
        <stp>Vol</stp>
        <tr r="AF19" s="1"/>
      </tp>
      <tp t="e">
        <v>#N/A</v>
        <stp/>
        <stp>COT</stp>
        <stp>SULA11</stp>
        <stp>VarPer</stp>
        <tr r="V71" s="1"/>
      </tp>
      <tp t="e">
        <v>#N/A</v>
        <stp/>
        <stp>COT</stp>
        <stp>ECOR3</stp>
        <stp>Ult</stp>
        <tr r="U31" s="1"/>
      </tp>
      <tp t="e">
        <v>#N/A</v>
        <stp/>
        <stp>COT</stp>
        <stp>MGLU3</stp>
        <stp>Vol</stp>
        <tr r="AF56" s="1"/>
      </tp>
      <tp t="e">
        <v>#N/A</v>
        <stp/>
        <stp>COT</stp>
        <stp>BTOW3</stp>
        <stp>Ult</stp>
        <tr r="U20" s="1"/>
      </tp>
      <tp t="e">
        <v>#N/A</v>
        <stp/>
        <stp>COT</stp>
        <stp>MULT3</stp>
        <stp>Vol</stp>
        <tr r="AF60" s="1"/>
        <tr r="AF59" s="1"/>
      </tp>
      <tp t="e">
        <v>#N/A</v>
        <stp/>
        <stp>COT</stp>
        <stp>VALE3</stp>
        <stp>Vol</stp>
        <tr r="AF78" s="1"/>
      </tp>
      <tp t="e">
        <v>#N/A</v>
        <stp/>
        <stp>COT</stp>
        <stp>GOLL4</stp>
        <stp>Vol</stp>
        <tr r="AF44" s="1"/>
      </tp>
      <tp t="e">
        <v>#N/A</v>
        <stp/>
        <stp>COT</stp>
        <stp>ECOR3</stp>
        <stp>Vol</stp>
        <tr r="AF31" s="1"/>
      </tp>
      <tp t="e">
        <v>#N/A</v>
        <stp/>
        <stp>COT</stp>
        <stp>TOTS3</stp>
        <stp>Min</stp>
        <tr r="AB75" s="1"/>
      </tp>
      <tp t="e">
        <v>#N/A</v>
        <stp/>
        <stp>COT</stp>
        <stp>PETR3</stp>
        <stp>Min</stp>
        <tr r="AB62" s="1"/>
      </tp>
      <tp t="e">
        <v>#N/A</v>
        <stp/>
        <stp>COT</stp>
        <stp>PETR4</stp>
        <stp>Min</stp>
        <tr r="AB63" s="1"/>
      </tp>
      <tp t="e">
        <v>#N/A</v>
        <stp/>
        <stp>COT</stp>
        <stp>MULT3</stp>
        <stp>Ult</stp>
        <tr r="U59" s="1"/>
      </tp>
      <tp t="e">
        <v>#N/A</v>
        <stp/>
        <stp>COT</stp>
        <stp>BTOW3</stp>
        <stp>Vol</stp>
        <tr r="AF20" s="1"/>
      </tp>
      <tp t="e">
        <v>#N/A</v>
        <stp/>
        <stp>COT</stp>
        <stp>MGLU3</stp>
        <stp>Ult</stp>
        <tr r="U56" s="1"/>
      </tp>
      <tp t="e">
        <v>#N/A</v>
        <stp/>
        <stp>COT</stp>
        <stp>HGTX3</stp>
        <stp>Max</stp>
        <tr r="AD46" s="1"/>
      </tp>
      <tp t="e">
        <v>#N/A</v>
        <stp/>
        <stp>COT</stp>
        <stp>TOTS3</stp>
        <stp>Max</stp>
        <tr r="AD75" s="1"/>
      </tp>
      <tp t="e">
        <v>#N/A</v>
        <stp/>
        <stp>COT</stp>
        <stp>PETR4</stp>
        <stp>Max</stp>
        <tr r="AD63" s="1"/>
      </tp>
      <tp t="e">
        <v>#N/A</v>
        <stp/>
        <stp>COT</stp>
        <stp>PETR3</stp>
        <stp>Max</stp>
        <tr r="AD62" s="1"/>
      </tp>
      <tp t="e">
        <v>#N/A</v>
        <stp/>
        <stp>COT</stp>
        <stp>HGTX3</stp>
        <stp>Min</stp>
        <tr r="AB46" s="1"/>
      </tp>
      <tp t="e">
        <v>#N/A</v>
        <stp/>
        <stp>COT</stp>
        <stp>EQTL3</stp>
        <stp>Max</stp>
        <tr r="AD38" s="1"/>
      </tp>
      <tp t="e">
        <v>#N/A</v>
        <stp/>
        <stp>COT</stp>
        <stp>IGTA3</stp>
        <stp>Min</stp>
        <tr r="AB48" s="1"/>
      </tp>
      <tp t="e">
        <v>#N/A</v>
        <stp/>
        <stp>COT</stp>
        <stp>VALE3</stp>
        <stp>Ult</stp>
        <tr r="U78" s="1"/>
      </tp>
      <tp t="e">
        <v>#N/A</v>
        <stp/>
        <stp>COT</stp>
        <stp>EQTL3</stp>
        <stp>Min</stp>
        <tr r="AB38" s="1"/>
      </tp>
      <tp t="e">
        <v>#N/A</v>
        <stp/>
        <stp>COT</stp>
        <stp>GOLL4</stp>
        <stp>Ult</stp>
        <tr r="U44" s="1"/>
      </tp>
      <tp t="e">
        <v>#N/A</v>
        <stp/>
        <stp>COT</stp>
        <stp>IGTA3</stp>
        <stp>Max</stp>
        <tr r="AD48" s="1"/>
      </tp>
      <tp t="e">
        <v>#N/A</v>
        <stp/>
        <stp>COT</stp>
        <stp>SANB11</stp>
        <stp>VarPer</stp>
        <tr r="V69" s="1"/>
      </tp>
      <tp t="e">
        <v>#N/A</v>
        <stp/>
        <stp>COT</stp>
        <stp>TIMP3</stp>
        <stp>Ult</stp>
        <tr r="U74" s="1"/>
      </tp>
      <tp t="e">
        <v>#N/A</v>
        <stp/>
        <stp>COT</stp>
        <stp>RENT3</stp>
        <stp>Vol</stp>
        <tr r="AF68" s="1"/>
      </tp>
      <tp t="e">
        <v>#N/A</v>
        <stp/>
        <stp>COT</stp>
        <stp>YDUQ3</stp>
        <stp>Min</stp>
        <tr r="P77" s="2"/>
        <tr r="AB82" s="1"/>
      </tp>
      <tp t="e">
        <v>#N/A</v>
        <stp/>
        <stp>COT</stp>
        <stp>YDUQ3</stp>
        <stp>Max</stp>
        <tr r="R77" s="2"/>
        <tr r="AD82" s="1"/>
      </tp>
      <tp t="e">
        <v>#N/A</v>
        <stp/>
        <stp>COT</stp>
        <stp>CSNA3</stp>
        <stp>Vol</stp>
        <tr r="AF28" s="1"/>
      </tp>
      <tp t="e">
        <v>#N/A</v>
        <stp/>
        <stp>COT</stp>
        <stp>AZUL4</stp>
        <stp>Max</stp>
        <tr r="AD7" s="1"/>
      </tp>
      <tp t="e">
        <v>#N/A</v>
        <stp/>
        <stp>COT</stp>
        <stp>ITUB4</stp>
        <stp>Min</stp>
        <tr r="AB51" s="1"/>
      </tp>
      <tp t="e">
        <v>#N/A</v>
        <stp/>
        <stp>COT</stp>
        <stp>LAME4</stp>
        <stp>Ult</stp>
        <tr r="U54" s="1"/>
      </tp>
      <tp t="e">
        <v>#N/A</v>
        <stp/>
        <stp>COT</stp>
        <stp>AZUL4</stp>
        <stp>Min</stp>
        <tr r="AB7" s="1"/>
      </tp>
      <tp t="e">
        <v>#N/A</v>
        <stp/>
        <stp>COT</stp>
        <stp>ITUB4</stp>
        <stp>Max</stp>
        <tr r="AD51" s="1"/>
      </tp>
      <tp t="e">
        <v>#N/A</v>
        <stp/>
        <stp>COT</stp>
        <stp>BRML3</stp>
        <stp>Ult</stp>
        <tr r="U19" s="1"/>
      </tp>
      <tp t="e">
        <v>#N/A</v>
        <stp/>
        <stp>COT</stp>
        <stp>FLRY3</stp>
        <stp>Max</stp>
        <tr r="AD40" s="1"/>
      </tp>
      <tp t="e">
        <v>#N/A</v>
        <stp/>
        <stp>COT</stp>
        <stp>FLRY3</stp>
        <stp>Min</stp>
        <tr r="AB40" s="1"/>
      </tp>
      <tp t="e">
        <v>#N/A</v>
        <stp/>
        <stp>COT</stp>
        <stp>CCRO3</stp>
        <stp>Max</stp>
        <tr r="AD21" s="1"/>
      </tp>
      <tp t="e">
        <v>#N/A</v>
        <stp/>
        <stp>COT</stp>
        <stp>CYRE3</stp>
        <stp>Min</stp>
        <tr r="AB30" s="1"/>
      </tp>
      <tp t="e">
        <v>#N/A</v>
        <stp/>
        <stp>COT</stp>
        <stp>EGIE3</stp>
        <stp>Vol</stp>
        <tr r="AF32" s="1"/>
      </tp>
      <tp t="e">
        <v>#N/A</v>
        <stp/>
        <stp>COT</stp>
        <stp>CMIG4</stp>
        <stp>Vol</stp>
        <tr r="AF23" s="1"/>
      </tp>
      <tp t="e">
        <v>#N/A</v>
        <stp/>
        <stp>COT</stp>
        <stp>CCRO3</stp>
        <stp>Min</stp>
        <tr r="AB21" s="1"/>
      </tp>
      <tp t="e">
        <v>#N/A</v>
        <stp/>
        <stp>COT</stp>
        <stp>CYRE3</stp>
        <stp>Max</stp>
        <tr r="AD30" s="1"/>
      </tp>
      <tp t="e">
        <v>#N/A</v>
        <stp/>
        <stp>COT</stp>
        <stp>USIM5</stp>
        <stp>Vol</stp>
        <tr r="AF77" s="1"/>
      </tp>
      <tp t="e">
        <v>#N/A</v>
        <stp/>
        <stp>COT</stp>
        <stp>RAIL3</stp>
        <stp>Vol</stp>
        <tr r="AF67" s="1"/>
      </tp>
      <tp t="e">
        <v>#N/A</v>
        <stp/>
        <stp>COT</stp>
        <stp>SANB11</stp>
        <stp>PrcVda</stp>
        <tr r="Y69" s="1"/>
      </tp>
      <tp t="e">
        <v>#N/A</v>
        <stp/>
        <stp>COT</stp>
        <stp>JBSS3</stp>
        <stp>Min</stp>
        <tr r="AB52" s="1"/>
      </tp>
      <tp t="e">
        <v>#N/A</v>
        <stp/>
        <stp>COT</stp>
        <stp>SBSP3</stp>
        <stp>Min</stp>
        <tr r="AB70" s="1"/>
      </tp>
      <tp t="e">
        <v>#N/A</v>
        <stp/>
        <stp>COT</stp>
        <stp>JBSS3</stp>
        <stp>Max</stp>
        <tr r="AD52" s="1"/>
      </tp>
      <tp t="e">
        <v>#N/A</v>
        <stp/>
        <stp>COT</stp>
        <stp>SBSP3</stp>
        <stp>Max</stp>
        <tr r="AD70" s="1"/>
      </tp>
      <tp t="e">
        <v>#N/A</v>
        <stp/>
        <stp>COT</stp>
        <stp>BBSE3</stp>
        <stp>Min</stp>
        <tr r="AB12" s="1"/>
        <tr r="AB13" s="1"/>
      </tp>
      <tp t="e">
        <v>#N/A</v>
        <stp/>
        <stp>COT</stp>
        <stp>B3SA3</stp>
        <stp>Min</stp>
        <tr r="AB8" s="1"/>
      </tp>
      <tp t="e">
        <v>#N/A</v>
        <stp/>
        <stp>COT</stp>
        <stp>ITSA4</stp>
        <stp>Min</stp>
        <tr r="AB50" s="1"/>
      </tp>
      <tp t="e">
        <v>#N/A</v>
        <stp/>
        <stp>COT</stp>
        <stp>BBSE3</stp>
        <stp>Max</stp>
        <tr r="AD12" s="1"/>
        <tr r="AD13" s="1"/>
      </tp>
      <tp t="e">
        <v>#N/A</v>
        <stp/>
        <stp>COT</stp>
        <stp>B3SA3</stp>
        <stp>Max</stp>
        <tr r="AD8" s="1"/>
      </tp>
      <tp t="e">
        <v>#N/A</v>
        <stp/>
        <stp>COT</stp>
        <stp>ITSA4</stp>
        <stp>Max</stp>
        <tr r="AD50" s="1"/>
      </tp>
      <tp t="e">
        <v>#N/A</v>
        <stp/>
        <stp>COT</stp>
        <stp>BRKM5</stp>
        <stp>Ult</stp>
        <tr r="U18" s="1"/>
      </tp>
      <tp t="e">
        <v>#N/A</v>
        <stp/>
        <stp>COT</stp>
        <stp>HAPV3</stp>
        <stp>Min</stp>
        <tr r="AB45" s="1"/>
      </tp>
      <tp t="e">
        <v>#N/A</v>
        <stp/>
        <stp>COT</stp>
        <stp>HAPV3</stp>
        <stp>Max</stp>
        <tr r="AD45" s="1"/>
      </tp>
      <tp t="e">
        <v>#N/A</v>
        <stp/>
        <stp>COT</stp>
        <stp>HYPE3</stp>
        <stp>Min</stp>
        <tr r="AB47" s="1"/>
      </tp>
      <tp t="e">
        <v>#N/A</v>
        <stp/>
        <stp>COT</stp>
        <stp>UGPA3</stp>
        <stp>Min</stp>
        <tr r="AB76" s="1"/>
      </tp>
      <tp t="e">
        <v>#N/A</v>
        <stp/>
        <stp>COT</stp>
        <stp>HYPE3</stp>
        <stp>Max</stp>
        <tr r="AD47" s="1"/>
      </tp>
      <tp t="e">
        <v>#N/A</v>
        <stp/>
        <stp>COT</stp>
        <stp>BRKM5</stp>
        <stp>Vol</stp>
        <tr r="AF18" s="1"/>
      </tp>
      <tp t="e">
        <v>#N/A</v>
        <stp/>
        <stp>COT</stp>
        <stp>UGPA3</stp>
        <stp>Max</stp>
        <tr r="AD76" s="1"/>
      </tp>
      <tp t="e">
        <v>#N/A</v>
        <stp/>
        <stp>COT</stp>
        <stp>SULA11</stp>
        <stp>PrcVda</stp>
        <tr r="Y71" s="1"/>
      </tp>
      <tp t="e">
        <v>#N/A</v>
        <stp/>
        <stp>COT</stp>
        <stp>CMIG4</stp>
        <stp>Ult</stp>
        <tr r="U23" s="1"/>
      </tp>
      <tp t="e">
        <v>#N/A</v>
        <stp/>
        <stp>COT</stp>
        <stp>EGIE3</stp>
        <stp>Ult</stp>
        <tr r="U32" s="1"/>
      </tp>
      <tp t="e">
        <v>#N/A</v>
        <stp/>
        <stp>COT</stp>
        <stp>PRIO3</stp>
        <stp>Ult</stp>
        <tr r="U64" s="1"/>
      </tp>
      <tp t="e">
        <v>#N/A</v>
        <stp/>
        <stp>COT</stp>
        <stp>RAIL3</stp>
        <stp>Ult</stp>
        <tr r="U67" s="1"/>
      </tp>
      <tp t="e">
        <v>#N/A</v>
        <stp/>
        <stp>COT</stp>
        <stp>USIM5</stp>
        <stp>Ult</stp>
        <tr r="U77" s="1"/>
      </tp>
      <tp t="e">
        <v>#N/A</v>
        <stp/>
        <stp>COT</stp>
        <stp>TAEE11</stp>
        <stp>VarPer</stp>
        <tr r="V73" s="1"/>
      </tp>
      <tp t="e">
        <v>#N/A</v>
        <stp/>
        <stp>COT</stp>
        <stp>BRFS3</stp>
        <stp>Ult</stp>
        <tr r="U17" s="1"/>
      </tp>
      <tp t="e">
        <v>#N/A</v>
        <stp/>
        <stp>COT</stp>
        <stp>ELET6</stp>
        <stp>Vol</stp>
        <tr r="AF34" s="1"/>
      </tp>
      <tp t="e">
        <v>#N/A</v>
        <stp/>
        <stp>COT</stp>
        <stp>ELET3</stp>
        <stp>Vol</stp>
        <tr r="AF33" s="1"/>
      </tp>
      <tp t="e">
        <v>#N/A</v>
        <stp/>
        <stp>COT</stp>
        <stp>ABEV3</stp>
        <stp>Vol</stp>
        <tr r="AF6" s="1"/>
      </tp>
      <tp t="e">
        <v>#N/A</v>
        <stp/>
        <stp>COT</stp>
        <stp>CRFB3</stp>
        <stp>Ult</stp>
        <tr r="U26" s="1"/>
      </tp>
      <tp t="e">
        <v>#N/A</v>
        <stp/>
        <stp>COT</stp>
        <stp>MRFG3</stp>
        <stp>Ult</stp>
        <tr r="U57" s="1"/>
      </tp>
      <tp t="e">
        <v>#N/A</v>
        <stp/>
        <stp>COT</stp>
        <stp>CPFE3</stp>
        <stp>Ult</stp>
        <tr r="U25" s="1"/>
      </tp>
      <tp t="e">
        <v>#N/A</v>
        <stp/>
        <stp>COT</stp>
        <stp>CIEL3</stp>
        <stp>Vol</stp>
        <tr r="AF22" s="1"/>
      </tp>
      <tp t="e">
        <v>#N/A</v>
        <stp/>
        <stp>COT</stp>
        <stp>LREN3</stp>
        <stp>Vol</stp>
        <tr r="AF55" s="1"/>
      </tp>
      <tp t="e">
        <v>#N/A</v>
        <stp/>
        <stp>COT</stp>
        <stp>KLBN11</stp>
        <stp>PrcVda</stp>
        <tr r="Y53" s="1"/>
      </tp>
      <tp t="e">
        <v>#N/A</v>
        <stp/>
        <stp>COT</stp>
        <stp>BRDT3</stp>
        <stp>Vol</stp>
        <tr r="AF16" s="1"/>
      </tp>
      <tp t="e">
        <v>#N/A</v>
        <stp/>
        <stp>COT</stp>
        <stp>BBDC3</stp>
        <stp>Vol</stp>
        <tr r="AF10" s="1"/>
      </tp>
      <tp t="e">
        <v>#N/A</v>
        <stp/>
        <stp>COT</stp>
        <stp>BBDC4</stp>
        <stp>Vol</stp>
        <tr r="AF11" s="1"/>
      </tp>
      <tp t="e">
        <v>#N/A</v>
        <stp/>
        <stp>COT</stp>
        <stp>WEGE3</stp>
        <stp>Ult</stp>
        <tr r="U81" s="1"/>
      </tp>
      <tp t="e">
        <v>#N/A</v>
        <stp/>
        <stp>COT</stp>
        <stp>GNDI3</stp>
        <stp>Vol</stp>
        <tr r="AF42" s="1"/>
      </tp>
      <tp t="e">
        <v>#N/A</v>
        <stp/>
        <stp>COT</stp>
        <stp>COGN3</stp>
        <stp>Ult</stp>
        <tr r="U24" s="1"/>
      </tp>
      <tp t="e">
        <v>#N/A</v>
        <stp/>
        <stp>COT</stp>
        <stp>RADL3</stp>
        <stp>Vol</stp>
        <tr r="AF66" s="1"/>
      </tp>
      <tp t="e">
        <v>#N/A</v>
        <stp/>
        <stp>COT</stp>
        <stp>ENGI11</stp>
        <stp>VarPer</stp>
        <tr r="V37" s="1"/>
      </tp>
      <tp t="e">
        <v>#N/A</v>
        <stp/>
        <stp>COT</stp>
        <stp>BPAC11</stp>
        <stp>PrcVda</stp>
        <tr r="Y14" s="1"/>
      </tp>
      <tp t="e">
        <v>#N/A</v>
        <stp/>
        <stp>COT</stp>
        <stp>BRDT3</stp>
        <stp>Ult</stp>
        <tr r="U16" s="1"/>
      </tp>
      <tp t="e">
        <v>#N/A</v>
        <stp/>
        <stp>COT</stp>
        <stp>BBDC3</stp>
        <stp>Ult</stp>
        <tr r="U10" s="1"/>
      </tp>
      <tp t="e">
        <v>#N/A</v>
        <stp/>
        <stp>COT</stp>
        <stp>BBDC4</stp>
        <stp>Ult</stp>
        <tr r="U11" s="1"/>
      </tp>
      <tp t="e">
        <v>#N/A</v>
        <stp/>
        <stp>COT</stp>
        <stp>WEGE3</stp>
        <stp>Vol</stp>
        <tr r="AF81" s="1"/>
      </tp>
      <tp t="e">
        <v>#N/A</v>
        <stp/>
        <stp>COT</stp>
        <stp>GNDI3</stp>
        <stp>Ult</stp>
        <tr r="U42" s="1"/>
      </tp>
      <tp t="e">
        <v>#N/A</v>
        <stp/>
        <stp>COT</stp>
        <stp>RADL3</stp>
        <stp>Ult</stp>
        <tr r="U66" s="1"/>
      </tp>
      <tp t="e">
        <v>#N/A</v>
        <stp/>
        <stp>COT</stp>
        <stp>COGN3</stp>
        <stp>Vol</stp>
        <tr r="AF24" s="1"/>
      </tp>
      <tp t="e">
        <v>#N/A</v>
        <stp/>
        <stp>COT</stp>
        <stp>BRFS3</stp>
        <stp>Vol</stp>
        <tr r="AF17" s="1"/>
      </tp>
      <tp t="e">
        <v>#N/A</v>
        <stp/>
        <stp>COT</stp>
        <stp>ABEV3</stp>
        <stp>Ult</stp>
        <tr r="U6" s="1"/>
      </tp>
      <tp t="e">
        <v>#N/A</v>
        <stp/>
        <stp>COT</stp>
        <stp>ELET6</stp>
        <stp>Ult</stp>
        <tr r="U34" s="1"/>
      </tp>
      <tp t="e">
        <v>#N/A</v>
        <stp/>
        <stp>COT</stp>
        <stp>ELET3</stp>
        <stp>Ult</stp>
        <tr r="U33" s="1"/>
      </tp>
      <tp t="e">
        <v>#N/A</v>
        <stp/>
        <stp>COT</stp>
        <stp>B3SA3</stp>
        <stp>PrcVda</stp>
        <tr r="Y8" s="1"/>
      </tp>
      <tp t="e">
        <v>#N/A</v>
        <stp/>
        <stp>COT</stp>
        <stp>CRFB3</stp>
        <stp>Vol</stp>
        <tr r="AF26" s="1"/>
      </tp>
      <tp t="e">
        <v>#N/A</v>
        <stp/>
        <stp>COT</stp>
        <stp>CPFE3</stp>
        <stp>Vol</stp>
        <tr r="AF25" s="1"/>
      </tp>
      <tp t="e">
        <v>#N/A</v>
        <stp/>
        <stp>COT</stp>
        <stp>MRFG3</stp>
        <stp>Vol</stp>
        <tr r="AF57" s="1"/>
      </tp>
      <tp t="e">
        <v>#N/A</v>
        <stp/>
        <stp>COT</stp>
        <stp>LREN3</stp>
        <stp>Ult</stp>
        <tr r="U55" s="1"/>
      </tp>
      <tp t="e">
        <v>#N/A</v>
        <stp/>
        <stp>COT</stp>
        <stp>CIEL3</stp>
        <stp>Ult</stp>
        <tr r="U22" s="1"/>
      </tp>
      <tp t="e">
        <v>#N/A</v>
        <stp/>
        <stp>COT</stp>
        <stp>ENGI11</stp>
        <stp>PrcVda</stp>
        <tr r="Y37" s="1"/>
      </tp>
      <tp t="e">
        <v>#N/A</v>
        <stp/>
        <stp>COT</stp>
        <stp>BPAC11</stp>
        <stp>VarPer</stp>
        <tr r="V14" s="1"/>
      </tp>
      <tp t="e">
        <v>#N/A</v>
        <stp/>
        <stp>COT</stp>
        <stp>IRBR3</stp>
        <stp>Ult</stp>
        <tr r="U49" s="1"/>
      </tp>
      <tp t="e">
        <v>#N/A</v>
        <stp/>
        <stp>COT</stp>
        <stp>GGBR4</stp>
        <stp>Ult</stp>
        <tr r="U41" s="1"/>
      </tp>
      <tp t="e">
        <v>#N/A</v>
        <stp/>
        <stp>COT</stp>
        <stp>ENBR3</stp>
        <stp>Ult</stp>
        <tr r="U36" s="1"/>
      </tp>
      <tp t="e">
        <v>#N/A</v>
        <stp/>
        <stp>COT</stp>
        <stp>EMBR3</stp>
        <stp>Ult</stp>
        <tr r="U35" s="1"/>
      </tp>
      <tp t="e">
        <v>#N/A</v>
        <stp/>
        <stp>COT</stp>
        <stp>BRAP4</stp>
        <stp>Vol</stp>
        <tr r="AF15" s="1"/>
      </tp>
      <tp t="e">
        <v>#N/A</v>
        <stp/>
        <stp>COT</stp>
        <stp>BBAS3</stp>
        <stp>Vol</stp>
        <tr r="AF9" s="1"/>
      </tp>
      <tp t="e">
        <v>#N/A</v>
        <stp/>
        <stp>COT</stp>
        <stp>PCAR3</stp>
        <stp>Vol</stp>
        <tr r="AF61" s="1"/>
      </tp>
      <tp t="e">
        <v>#N/A</v>
        <stp/>
        <stp>COT</stp>
        <stp>VVAR3</stp>
        <stp>Vol</stp>
        <tr r="AF80" s="1"/>
      </tp>
      <tp t="e">
        <v>#N/A</v>
        <stp/>
        <stp>COT</stp>
        <stp>GOAU4</stp>
        <stp>Vol</stp>
        <tr r="AF43" s="1"/>
      </tp>
      <tp t="e">
        <v>#N/A</v>
        <stp/>
        <stp>COT</stp>
        <stp>SUZB3</stp>
        <stp>Min</stp>
        <tr r="AB72" s="1"/>
      </tp>
      <tp t="e">
        <v>#N/A</v>
        <stp/>
        <stp>COT</stp>
        <stp>QUAL3</stp>
        <stp>Vol</stp>
        <tr r="AF65" s="1"/>
      </tp>
      <tp t="e">
        <v>#N/A</v>
        <stp/>
        <stp>COT</stp>
        <stp>SUZB3</stp>
        <stp>Max</stp>
        <tr r="AD72" s="1"/>
      </tp>
      <tp t="e">
        <v>#N/A</v>
        <stp/>
        <stp>COT</stp>
        <stp>CSAN3</stp>
        <stp>Vol</stp>
        <tr r="AF27" s="1"/>
      </tp>
      <tp t="e">
        <v>#N/A</v>
        <stp/>
        <stp>COT</stp>
        <stp>B3SA3</stp>
        <stp>VarPer</stp>
        <tr r="V8" s="1"/>
      </tp>
      <tp t="e">
        <v>#N/A</v>
        <stp/>
        <stp>COT</stp>
        <stp>CVCB3</stp>
        <stp>Ult</stp>
        <tr r="U29" s="1"/>
      </tp>
      <tp t="e">
        <v>#N/A</v>
        <stp/>
        <stp>COT</stp>
        <stp>NTCO3</stp>
        <stp>Ult</stp>
        <tr r="U60" s="1"/>
      </tp>
      <tp t="e">
        <v>#N/A</v>
        <stp/>
        <stp>COT</stp>
        <stp>TAEE11</stp>
        <stp>PrcVda</stp>
        <tr r="Y73" s="1"/>
      </tp>
      <tp t="e">
        <v>#N/A</v>
        <stp/>
        <stp>COT</stp>
        <stp>CVCB3</stp>
        <stp>Vol</stp>
        <tr r="AF29" s="1"/>
      </tp>
      <tp t="e">
        <v>#N/A</v>
        <stp/>
        <stp>COT</stp>
        <stp>KLBN11</stp>
        <stp>VarPer</stp>
        <tr r="V53" s="1"/>
      </tp>
      <tp t="e">
        <v>#N/A</v>
        <stp/>
        <stp>COT</stp>
        <stp>PCAR3</stp>
        <stp>Ult</stp>
        <tr r="U61" s="1"/>
      </tp>
      <tp t="e">
        <v>#N/A</v>
        <stp/>
        <stp>COT</stp>
        <stp>VVAR3</stp>
        <stp>Ult</stp>
        <tr r="U80" s="1"/>
      </tp>
      <tp t="e">
        <v>#N/A</v>
        <stp/>
        <stp>COT</stp>
        <stp>BBAS3</stp>
        <stp>Ult</stp>
        <tr r="U9" s="1"/>
      </tp>
      <tp t="e">
        <v>#N/A</v>
        <stp/>
        <stp>COT</stp>
        <stp>BRAP4</stp>
        <stp>Ult</stp>
        <tr r="U15" s="1"/>
      </tp>
      <tp t="e">
        <v>#N/A</v>
        <stp/>
        <stp>COT</stp>
        <stp>GGBR4</stp>
        <stp>Vol</stp>
        <tr r="AF41" s="1"/>
      </tp>
      <tp t="e">
        <v>#N/A</v>
        <stp/>
        <stp>COT</stp>
        <stp>ENBR3</stp>
        <stp>Vol</stp>
        <tr r="AF36" s="1"/>
      </tp>
      <tp t="e">
        <v>#N/A</v>
        <stp/>
        <stp>COT</stp>
        <stp>EMBR3</stp>
        <stp>Vol</stp>
        <tr r="AF35" s="1"/>
      </tp>
      <tp t="e">
        <v>#N/A</v>
        <stp/>
        <stp>COT</stp>
        <stp>IRBR3</stp>
        <stp>Vol</stp>
        <tr r="AF49" s="1"/>
      </tp>
      <tp t="e">
        <v>#N/A</v>
        <stp/>
        <stp>COT</stp>
        <stp>GOAU4</stp>
        <stp>Ult</stp>
        <tr r="U43" s="1"/>
      </tp>
      <tp t="e">
        <v>#N/A</v>
        <stp/>
        <stp>COT</stp>
        <stp>CSAN3</stp>
        <stp>Ult</stp>
        <tr r="U27" s="1"/>
      </tp>
      <tp t="e">
        <v>#N/A</v>
        <stp/>
        <stp>COT</stp>
        <stp>QUAL3</stp>
        <stp>Ult</stp>
        <tr r="U65" s="1"/>
      </tp>
      <tp t="e">
        <v>#N/A</v>
        <stp/>
        <stp>COT</stp>
        <stp>KLBN11</stp>
        <stp>Abert</stp>
        <tr r="AA53" s="1"/>
      </tp>
      <tp t="e">
        <v>#N/A</v>
        <stp/>
        <stp>COT</stp>
        <stp>ENBR3</stp>
        <stp>VarPer</stp>
        <tr r="V36" s="1"/>
      </tp>
      <tp t="e">
        <v>#N/A</v>
        <stp/>
        <stp>COT</stp>
        <stp>GNDI3</stp>
        <stp>VarPer</stp>
        <tr r="V42" s="1"/>
      </tp>
      <tp t="e">
        <v>#N/A</v>
        <stp/>
        <stp>COT</stp>
        <stp>KLBN11</stp>
        <stp>Media</stp>
        <tr r="AC53" s="1"/>
      </tp>
      <tp t="e">
        <v>#N/A</v>
        <stp/>
        <stp>COT</stp>
        <stp>ENgi11</stp>
        <stp>Ult</stp>
        <tr r="U37" s="1"/>
      </tp>
      <tp t="e">
        <v>#N/A</v>
        <stp/>
        <stp>COT</stp>
        <stp>VIVT4</stp>
        <stp>PrcVda</stp>
        <tr r="Y79" s="1"/>
      </tp>
      <tp t="e">
        <v>#N/A</v>
        <stp/>
        <stp>COT</stp>
        <stp>TOTS3</stp>
        <stp>VarPer</stp>
        <tr r="V75" s="1"/>
      </tp>
      <tp t="e">
        <v>#N/A</v>
        <stp/>
        <stp>COT</stp>
        <stp>TIMP3</stp>
        <stp>PrcVda</stp>
        <tr r="Y74" s="1"/>
      </tp>
      <tp t="e">
        <v>#N/A</v>
        <stp/>
        <stp>COT</stp>
        <stp>GOLL4</stp>
        <stp>VarPer</stp>
        <tr r="V44" s="1"/>
      </tp>
      <tp t="e">
        <v>#N/A</v>
        <stp/>
        <stp>COT</stp>
        <stp>GOAU4</stp>
        <stp>VarPer</stp>
        <tr r="V43" s="1"/>
      </tp>
      <tp t="e">
        <v>#N/A</v>
        <stp/>
        <stp>COT</stp>
        <stp>CIEL3</stp>
        <stp>PrcVda</stp>
        <tr r="Y22" s="1"/>
      </tp>
      <tp t="e">
        <v>#N/A</v>
        <stp/>
        <stp>COT</stp>
        <stp>COGN3</stp>
        <stp>VarPer</stp>
        <tr r="V24" s="1"/>
      </tp>
      <tp t="e">
        <v>#N/A</v>
        <stp/>
        <stp>COT</stp>
        <stp>FLRY3</stp>
        <stp>Desc</stp>
        <tr r="AE40" s="1"/>
      </tp>
      <tp t="e">
        <v>#N/A</v>
        <stp/>
        <stp>COT</stp>
        <stp>FLRY3</stp>
        <stp>Fech</stp>
        <tr r="Z40" s="1"/>
      </tp>
      <tp t="e">
        <v>#N/A</v>
        <stp/>
        <stp>COT</stp>
        <stp>ENGI11</stp>
        <stp>Abert</stp>
        <tr r="AA37" s="1"/>
      </tp>
      <tp t="e">
        <v>#N/A</v>
        <stp/>
        <stp>COT</stp>
        <stp>FLRY3</stp>
        <stp>VarPer</stp>
        <tr r="V40" s="1"/>
      </tp>
      <tp t="e">
        <v>#N/A</v>
        <stp/>
        <stp>COT</stp>
        <stp>ELET3</stp>
        <stp>VarPer</stp>
        <tr r="V33" s="1"/>
      </tp>
      <tp t="e">
        <v>#N/A</v>
        <stp/>
        <stp>COT</stp>
        <stp>ELET6</stp>
        <stp>VarPer</stp>
        <tr r="V34" s="1"/>
      </tp>
      <tp t="e">
        <v>#N/A</v>
        <stp/>
        <stp>COT</stp>
        <stp>ENGI11</stp>
        <stp>Media</stp>
        <tr r="AC37" s="1"/>
      </tp>
      <tp t="e">
        <v>#N/A</v>
        <stp/>
        <stp>COT</stp>
        <stp>HGTX3</stp>
        <stp>Desc</stp>
        <tr r="AE46" s="1"/>
      </tp>
      <tp t="e">
        <v>#N/A</v>
        <stp/>
        <stp>COT</stp>
        <stp>HGTX3</stp>
        <stp>Fech</stp>
        <tr r="Z46" s="1"/>
      </tp>
      <tp t="e">
        <v>#N/A</v>
        <stp/>
        <stp>COT</stp>
        <stp>CMIG4</stp>
        <stp>VarPer</stp>
        <tr r="V23" s="1"/>
      </tp>
      <tp t="e">
        <v>#N/A</v>
        <stp/>
        <stp>COT</stp>
        <stp>EMBR3</stp>
        <stp>VarPer</stp>
        <tr r="V35" s="1"/>
      </tp>
      <tp t="e">
        <v>#N/A</v>
        <stp/>
        <stp>COT</stp>
        <stp>FLRY3</stp>
        <stp>PrcVda</stp>
        <tr r="Y40" s="1"/>
      </tp>
      <tp t="e">
        <v>#N/A</v>
        <stp/>
        <stp>COT</stp>
        <stp>CYRE3</stp>
        <stp>PrcCpa</stp>
        <tr r="X30" s="1"/>
      </tp>
      <tp t="e">
        <v>#N/A</v>
        <stp/>
        <stp>COT</stp>
        <stp>ELET3</stp>
        <stp>PrcVda</stp>
        <tr r="Y33" s="1"/>
      </tp>
      <tp t="e">
        <v>#N/A</v>
        <stp/>
        <stp>COT</stp>
        <stp>ELET6</stp>
        <stp>PrcVda</stp>
        <tr r="Y34" s="1"/>
      </tp>
      <tp t="e">
        <v>#N/A</v>
        <stp/>
        <stp>COT</stp>
        <stp>HYPE3</stp>
        <stp>PrcCpa</stp>
        <tr r="X47" s="1"/>
      </tp>
      <tp t="e">
        <v>#N/A</v>
        <stp/>
        <stp>COT</stp>
        <stp>YDUQ3</stp>
        <stp>AjPU</stp>
        <tr r="S77" s="2"/>
      </tp>
      <tp t="e">
        <v>#N/A</v>
        <stp/>
        <stp>COT</stp>
        <stp>CMIG4</stp>
        <stp>PrcVda</stp>
        <tr r="Y23" s="1"/>
      </tp>
      <tp t="e">
        <v>#N/A</v>
        <stp/>
        <stp>COT</stp>
        <stp>EMBR3</stp>
        <stp>PrcVda</stp>
        <tr r="Y35" s="1"/>
      </tp>
      <tp t="e">
        <v>#N/A</v>
        <stp/>
        <stp>COT</stp>
        <stp>GNDI3</stp>
        <stp>PrcVda</stp>
        <tr r="Y42" s="1"/>
      </tp>
      <tp t="e">
        <v>#N/A</v>
        <stp/>
        <stp>COT</stp>
        <stp>ENBR3</stp>
        <stp>PrcVda</stp>
        <tr r="Y36" s="1"/>
      </tp>
      <tp t="e">
        <v>#N/A</v>
        <stp/>
        <stp>COT</stp>
        <stp>YDUQ3</stp>
        <stp>FechAjAnt</stp>
        <tr r="V77" s="2"/>
      </tp>
      <tp t="e">
        <v>#N/A</v>
        <stp/>
        <stp>COT</stp>
        <stp>YDUQ3</stp>
        <stp>VarVarPer</stp>
        <tr r="K77" s="2"/>
        <tr r="W82" s="1"/>
      </tp>
      <tp t="e">
        <v>#N/A</v>
        <stp/>
        <stp>COT</stp>
        <stp>TOTS3</stp>
        <stp>PrcVda</stp>
        <tr r="Y75" s="1"/>
      </tp>
      <tp t="e">
        <v>#N/A</v>
        <stp/>
        <stp>COT</stp>
        <stp>VIVT4</stp>
        <stp>VarPer</stp>
        <tr r="V79" s="1"/>
      </tp>
      <tp t="e">
        <v>#N/A</v>
        <stp/>
        <stp>COT</stp>
        <stp>GOLL4</stp>
        <stp>PrcVda</stp>
        <tr r="Y44" s="1"/>
      </tp>
      <tp t="e">
        <v>#N/A</v>
        <stp/>
        <stp>COT</stp>
        <stp>TIMP3</stp>
        <stp>VarPer</stp>
        <tr r="V74" s="1"/>
      </tp>
      <tp t="e">
        <v>#N/A</v>
        <stp/>
        <stp>COT</stp>
        <stp>COGN3</stp>
        <stp>PrcVda</stp>
        <tr r="Y24" s="1"/>
      </tp>
      <tp t="e">
        <v>#N/A</v>
        <stp/>
        <stp>COT</stp>
        <stp>CIEL3</stp>
        <stp>VarPer</stp>
        <tr r="V22" s="1"/>
      </tp>
      <tp t="e">
        <v>#N/A</v>
        <stp/>
        <stp>COT</stp>
        <stp>AZUL4</stp>
        <stp>PrcCpa</stp>
        <tr r="X7" s="1"/>
      </tp>
      <tp t="e">
        <v>#N/A</v>
        <stp/>
        <stp>COT</stp>
        <stp>GOAU4</stp>
        <stp>PrcVda</stp>
        <tr r="Y43" s="1"/>
      </tp>
      <tp t="e">
        <v>#N/A</v>
        <stp/>
        <stp>COT</stp>
        <stp>EZTC3</stp>
        <stp>PrcCpa</stp>
        <tr r="X39" s="1"/>
      </tp>
      <tp t="e">
        <v>#N/A</v>
        <stp/>
        <stp>COT</stp>
        <stp>JBSS3</stp>
        <stp>Desc</stp>
        <tr r="AE52" s="1"/>
      </tp>
      <tp t="e">
        <v>#N/A</v>
        <stp/>
        <stp>COT</stp>
        <stp>TOTS3</stp>
        <stp>Fech</stp>
        <tr r="Z75" s="1"/>
      </tp>
      <tp t="e">
        <v>#N/A</v>
        <stp/>
        <stp>COT</stp>
        <stp>BRFS3</stp>
        <stp>Desc</stp>
        <tr r="AE17" s="1"/>
      </tp>
      <tp t="e">
        <v>#N/A</v>
        <stp/>
        <stp>COT</stp>
        <stp>BBAS3</stp>
        <stp>Desc</stp>
        <tr r="AE9" s="1"/>
      </tp>
      <tp t="e">
        <v>#N/A</v>
        <stp/>
        <stp>COT</stp>
        <stp>JBSS3</stp>
        <stp>Fech</stp>
        <tr r="Z52" s="1"/>
      </tp>
      <tp t="e">
        <v>#N/A</v>
        <stp/>
        <stp>COT</stp>
        <stp>TOTS3</stp>
        <stp>Desc</stp>
        <tr r="AE75" s="1"/>
      </tp>
      <tp t="e">
        <v>#N/A</v>
        <stp/>
        <stp>COT</stp>
        <stp>BRFS3</stp>
        <stp>Fech</stp>
        <tr r="Z17" s="1"/>
      </tp>
      <tp t="e">
        <v>#N/A</v>
        <stp/>
        <stp>COT</stp>
        <stp>BBAS3</stp>
        <stp>Fech</stp>
        <tr r="Z9" s="1"/>
      </tp>
      <tp t="e">
        <v>#N/A</v>
        <stp/>
        <stp>COT</stp>
        <stp>VALE3</stp>
        <stp>VarVarPer</stp>
        <tr r="W78" s="1"/>
      </tp>
      <tp t="e">
        <v>#N/A</v>
        <stp/>
        <stp>COT</stp>
        <stp>VVAR3</stp>
        <stp>VarVarPer</stp>
        <tr r="W80" s="1"/>
      </tp>
      <tp t="e">
        <v>#N/A</v>
        <stp/>
        <stp>COT</stp>
        <stp>MULT3</stp>
        <stp>PrcCpa</stp>
        <tr r="X59" s="1"/>
      </tp>
      <tp t="e">
        <v>#N/A</v>
        <stp/>
        <stp>COT</stp>
        <stp>QUAL3</stp>
        <stp>PrcCpa</stp>
        <tr r="X65" s="1"/>
      </tp>
      <tp t="e">
        <v>#N/A</v>
        <stp/>
        <stp>COT</stp>
        <stp>SUZB3</stp>
        <stp>PrcCpa</stp>
        <tr r="X72" s="1"/>
      </tp>
      <tp t="e">
        <v>#N/A</v>
        <stp/>
        <stp>COT</stp>
        <stp>IRBR3</stp>
        <stp>Desc</stp>
        <tr r="AE49" s="1"/>
      </tp>
      <tp t="e">
        <v>#N/A</v>
        <stp/>
        <stp>COT</stp>
        <stp>PETR4</stp>
        <stp>Fech</stp>
        <tr r="Z63" s="1"/>
      </tp>
      <tp t="e">
        <v>#N/A</v>
        <stp/>
        <stp>COT</stp>
        <stp>VVAR3</stp>
        <stp>Fech</stp>
        <tr r="Z80" s="1"/>
      </tp>
      <tp t="e">
        <v>#N/A</v>
        <stp/>
        <stp>COT</stp>
        <stp>ENBR3</stp>
        <stp>Desc</stp>
        <tr r="AE36" s="1"/>
        <tr r="AE37" s="1"/>
      </tp>
      <tp t="e">
        <v>#N/A</v>
        <stp/>
        <stp>COT</stp>
        <stp>EMBR3</stp>
        <stp>Desc</stp>
        <tr r="AE35" s="1"/>
      </tp>
      <tp t="e">
        <v>#N/A</v>
        <stp/>
        <stp>COT</stp>
        <stp>ECOR3</stp>
        <stp>Desc</stp>
        <tr r="AE31" s="1"/>
      </tp>
      <tp t="e">
        <v>#N/A</v>
        <stp/>
        <stp>COT</stp>
        <stp>PETR3</stp>
        <stp>Fech</stp>
        <tr r="Z62" s="1"/>
      </tp>
      <tp t="e">
        <v>#N/A</v>
        <stp/>
        <stp>COT</stp>
        <stp>PCAR3</stp>
        <stp>Fech</stp>
        <tr r="Z61" s="1"/>
      </tp>
      <tp t="e">
        <v>#N/A</v>
        <stp/>
        <stp>COT</stp>
        <stp>GGBR4</stp>
        <stp>Desc</stp>
        <tr r="AE41" s="1"/>
      </tp>
      <tp t="e">
        <v>#N/A</v>
        <stp/>
        <stp>COT</stp>
        <stp>IRBR3</stp>
        <stp>Fech</stp>
        <tr r="Z49" s="1"/>
      </tp>
      <tp t="e">
        <v>#N/A</v>
        <stp/>
        <stp>COT</stp>
        <stp>PETR4</stp>
        <stp>Desc</stp>
        <tr r="AE63" s="1"/>
      </tp>
      <tp t="e">
        <v>#N/A</v>
        <stp/>
        <stp>COT</stp>
        <stp>VVAR3</stp>
        <stp>Desc</stp>
        <tr r="AE80" s="1"/>
      </tp>
      <tp t="e">
        <v>#N/A</v>
        <stp/>
        <stp>COT</stp>
        <stp>ECOR3</stp>
        <stp>Fech</stp>
        <tr r="Z31" s="1"/>
      </tp>
      <tp t="e">
        <v>#N/A</v>
        <stp/>
        <stp>COT</stp>
        <stp>EMBR3</stp>
        <stp>Fech</stp>
        <tr r="Z35" s="1"/>
      </tp>
      <tp t="e">
        <v>#N/A</v>
        <stp/>
        <stp>COT</stp>
        <stp>ENBR3</stp>
        <stp>Fech</stp>
        <tr r="Z36" s="1"/>
      </tp>
      <tp t="e">
        <v>#N/A</v>
        <stp/>
        <stp>COT</stp>
        <stp>GGBR4</stp>
        <stp>Fech</stp>
        <tr r="Z41" s="1"/>
      </tp>
      <tp t="e">
        <v>#N/A</v>
        <stp/>
        <stp>COT</stp>
        <stp>PETR3</stp>
        <stp>Desc</stp>
        <tr r="AE62" s="1"/>
      </tp>
      <tp t="e">
        <v>#N/A</v>
        <stp/>
        <stp>COT</stp>
        <stp>PCAR3</stp>
        <stp>Desc</stp>
        <tr r="AE61" s="1"/>
      </tp>
      <tp t="e">
        <v>#N/A</v>
        <stp/>
        <stp>COT</stp>
        <stp>WEGE3</stp>
        <stp>VarVarPer</stp>
        <tr r="W81" s="1"/>
      </tp>
      <tp t="e">
        <v>#N/A</v>
        <stp/>
        <stp>COT</stp>
        <stp>PETR4</stp>
        <stp>VarVarPer</stp>
        <tr r="W63" s="1"/>
      </tp>
      <tp t="e">
        <v>#N/A</v>
        <stp/>
        <stp>COT</stp>
        <stp>BTOW3</stp>
        <stp>PrcCpa</stp>
        <tr r="X20" s="1"/>
      </tp>
      <tp t="e">
        <v>#N/A</v>
        <stp/>
        <stp>COT</stp>
        <stp>NTCO3</stp>
        <stp>PrcCpa</stp>
        <tr r="X60" s="1"/>
      </tp>
      <tp t="e">
        <v>#N/A</v>
        <stp/>
        <stp>COT</stp>
        <stp>UGPA3</stp>
        <stp>VarPer</stp>
        <tr r="V76" s="1"/>
      </tp>
      <tp t="e">
        <v>#N/A</v>
        <stp/>
        <stp>COT</stp>
        <stp>IGTA3</stp>
        <stp>VarPer</stp>
        <tr r="V48" s="1"/>
      </tp>
      <tp t="e">
        <v>#N/A</v>
        <stp/>
        <stp>COT</stp>
        <stp>HGTX3</stp>
        <stp>VarPer</stp>
        <tr r="V46" s="1"/>
      </tp>
      <tp t="e">
        <v>#N/A</v>
        <stp/>
        <stp>COT</stp>
        <stp>HAPV3</stp>
        <stp>PrcVda</stp>
        <tr r="Y45" s="1"/>
      </tp>
      <tp t="e">
        <v>#N/A</v>
        <stp/>
        <stp>COT</stp>
        <stp>EGIE3</stp>
        <stp>VarPer</stp>
        <tr r="V32" s="1"/>
      </tp>
      <tp t="e">
        <v>#N/A</v>
        <stp/>
        <stp>COT</stp>
        <stp>LAME4</stp>
        <stp>PrcVda</stp>
        <tr r="Y54" s="1"/>
      </tp>
      <tp t="e">
        <v>#N/A</v>
        <stp/>
        <stp>COT</stp>
        <stp>VALE3</stp>
        <stp>PrcVda</stp>
        <tr r="Y78" s="1"/>
      </tp>
      <tp t="e">
        <v>#N/A</v>
        <stp/>
        <stp>COT</stp>
        <stp>MGLU3</stp>
        <stp>VarPer</stp>
        <tr r="V56" s="1"/>
      </tp>
      <tp t="e">
        <v>#N/A</v>
        <stp/>
        <stp>COT</stp>
        <stp>RAIL3</stp>
        <stp>PrcVda</stp>
        <tr r="Y67" s="1"/>
      </tp>
      <tp t="e">
        <v>#N/A</v>
        <stp/>
        <stp>COT</stp>
        <stp>ITSA4</stp>
        <stp>PrcCpa</stp>
        <tr r="X50" s="1"/>
      </tp>
      <tp t="e">
        <v>#N/A</v>
        <stp/>
        <stp>COT</stp>
        <stp>GGBR4</stp>
        <stp>VarPer</stp>
        <tr r="V41" s="1"/>
      </tp>
      <tp t="e">
        <v>#N/A</v>
        <stp/>
        <stp>COT</stp>
        <stp>RADL3</stp>
        <stp>PrcVda</stp>
        <tr r="Y66" s="1"/>
      </tp>
      <tp t="e">
        <v>#N/A</v>
        <stp/>
        <stp>COT</stp>
        <stp>ITUB4</stp>
        <stp>PrcCpa</stp>
        <tr r="X51" s="1"/>
      </tp>
      <tp t="e">
        <v>#N/A</v>
        <stp/>
        <stp>COT</stp>
        <stp>YDUQ3</stp>
        <stp>Fech</stp>
        <tr r="N77" s="2"/>
        <tr r="Z82" s="1"/>
      </tp>
      <tp t="e">
        <v>#N/A</v>
        <stp/>
        <stp>COT</stp>
        <stp>YDUQ3</stp>
        <stp>Desc</stp>
        <tr r="W77" s="2"/>
        <tr r="AE82" s="1"/>
      </tp>
      <tp t="e">
        <v>#N/A</v>
        <stp/>
        <stp>COT</stp>
        <stp>TIMP3</stp>
        <stp>VarVarPer</stp>
        <tr r="W74" s="1"/>
      </tp>
      <tp t="e">
        <v>#N/A</v>
        <stp/>
        <stp>COT</stp>
        <stp>TOTS3</stp>
        <stp>VarVarPer</stp>
        <tr r="W75" s="1"/>
      </tp>
      <tp t="e">
        <v>#N/A</v>
        <stp/>
        <stp>COT</stp>
        <stp>BBSE3</stp>
        <stp>PrcVda</stp>
        <tr r="Y12" s="1"/>
        <tr r="Y13" s="1"/>
      </tp>
      <tp t="e">
        <v>#N/A</v>
        <stp/>
        <stp>COT</stp>
        <stp>SBSP3</stp>
        <stp>PrcVda</stp>
        <tr r="Y70" s="1"/>
      </tp>
      <tp t="e">
        <v>#N/A</v>
        <stp/>
        <stp>COT</stp>
        <stp>JBSS3</stp>
        <stp>PrcVda</stp>
        <tr r="Y52" s="1"/>
      </tp>
      <tp t="e">
        <v>#N/A</v>
        <stp/>
        <stp>COT</stp>
        <stp>YDUQ3</stp>
        <stp>VarPer</stp>
        <tr r="V82" s="1"/>
      </tp>
      <tp t="e">
        <v>#N/A</v>
        <stp/>
        <stp>COT</stp>
        <stp>ABEV3</stp>
        <stp>PrcVda</stp>
        <tr r="Y6" s="1"/>
      </tp>
      <tp t="e">
        <v>#N/A</v>
        <stp/>
        <stp>COT</stp>
        <stp>BBDC4</stp>
        <stp>PrcVda</stp>
        <tr r="Y11" s="1"/>
      </tp>
      <tp t="e">
        <v>#N/A</v>
        <stp/>
        <stp>COT</stp>
        <stp>BBDC3</stp>
        <stp>PrcVda</stp>
        <tr r="Y10" s="1"/>
      </tp>
      <tp t="e">
        <v>#N/A</v>
        <stp/>
        <stp>COT</stp>
        <stp>BBAS3</stp>
        <stp>PrcVda</stp>
        <tr r="Y9" s="1"/>
      </tp>
      <tp t="e">
        <v>#N/A</v>
        <stp/>
        <stp>COT</stp>
        <stp>BRAP4</stp>
        <stp>Desc</stp>
        <tr r="AE15" s="1"/>
      </tp>
      <tp t="e">
        <v>#N/A</v>
        <stp/>
        <stp>COT</stp>
        <stp>TIMP3</stp>
        <stp>Fech</stp>
        <tr r="Z74" s="1"/>
      </tp>
      <tp t="e">
        <v>#N/A</v>
        <stp/>
        <stp>COT</stp>
        <stp>SBSP3</stp>
        <stp>Fech</stp>
        <tr r="Z70" s="1"/>
      </tp>
      <tp t="e">
        <v>#N/A</v>
        <stp/>
        <stp>COT</stp>
        <stp>BRAP4</stp>
        <stp>Fech</stp>
        <tr r="Z15" s="1"/>
      </tp>
      <tp t="e">
        <v>#N/A</v>
        <stp/>
        <stp>COT</stp>
        <stp>TIMP3</stp>
        <stp>Desc</stp>
        <tr r="AE74" s="1"/>
      </tp>
      <tp t="e">
        <v>#N/A</v>
        <stp/>
        <stp>COT</stp>
        <stp>SBSP3</stp>
        <stp>Desc</stp>
        <tr r="AE70" s="1"/>
      </tp>
      <tp t="e">
        <v>#N/A</v>
        <stp/>
        <stp>COT</stp>
        <stp>UGPA3</stp>
        <stp>VarVarPer</stp>
        <tr r="W76" s="1"/>
      </tp>
      <tp t="e">
        <v>#N/A</v>
        <stp/>
        <stp>COT</stp>
        <stp>CVCB3</stp>
        <stp>PrcCpa</stp>
        <tr r="X29" s="1"/>
      </tp>
      <tp t="e">
        <v>#N/A</v>
        <stp/>
        <stp>COT</stp>
        <stp>VVAR3</stp>
        <stp>PrcCpa</stp>
        <tr r="X80" s="1"/>
      </tp>
      <tp t="e">
        <v>#N/A</v>
        <stp/>
        <stp>COT</stp>
        <stp>PETR4</stp>
        <stp>VarPer</stp>
        <tr r="V63" s="1"/>
      </tp>
      <tp t="e">
        <v>#N/A</v>
        <stp/>
        <stp>COT</stp>
        <stp>PETR3</stp>
        <stp>VarPer</stp>
        <tr r="V62" s="1"/>
      </tp>
      <tp t="e">
        <v>#N/A</v>
        <stp/>
        <stp>COT</stp>
        <stp>CCRO3</stp>
        <stp>PrcVda</stp>
        <tr r="Y21" s="1"/>
      </tp>
      <tp t="e">
        <v>#N/A</v>
        <stp/>
        <stp>COT</stp>
        <stp>ECOR3</stp>
        <stp>PrcVda</stp>
        <tr r="Y31" s="1"/>
      </tp>
      <tp t="e">
        <v>#N/A</v>
        <stp/>
        <stp>COT</stp>
        <stp>RENT3</stp>
        <stp>VarPer</stp>
        <tr r="V68" s="1"/>
      </tp>
      <tp t="e">
        <v>#N/A</v>
        <stp/>
        <stp>COT</stp>
        <stp>PCAR3</stp>
        <stp>PrcVda</stp>
        <tr r="Y61" s="1"/>
      </tp>
      <tp t="e">
        <v>#N/A</v>
        <stp/>
        <stp>COT</stp>
        <stp>WEGE3</stp>
        <stp>VarPer</stp>
        <tr r="V81" s="1"/>
      </tp>
      <tp t="e">
        <v>#N/A</v>
        <stp/>
        <stp>COT</stp>
        <stp>TAEE11</stp>
        <stp>Media</stp>
        <tr r="AC73" s="1"/>
      </tp>
      <tp t="e">
        <v>#N/A</v>
        <stp/>
        <stp>COT</stp>
        <stp>SANB11</stp>
        <stp>Media</stp>
        <tr r="AC69" s="1"/>
      </tp>
      <tp t="e">
        <v>#N/A</v>
        <stp/>
        <stp>COT</stp>
        <stp>IBOV</stp>
        <stp>Vol</stp>
        <tr r="X78" s="2"/>
      </tp>
      <tp t="e">
        <v>#N/A</v>
        <stp/>
        <stp>COT</stp>
        <stp>BTOW3</stp>
        <stp>Desc</stp>
        <tr r="AE20" s="1"/>
      </tp>
      <tp t="e">
        <v>#N/A</v>
        <stp/>
        <stp>COT</stp>
        <stp>BTOW3</stp>
        <stp>Fech</stp>
        <tr r="Z20" s="1"/>
      </tp>
      <tp t="e">
        <v>#N/A</v>
        <stp/>
        <stp>COT</stp>
        <stp>RAIL3</stp>
        <stp>VarVarPer</stp>
        <tr r="W67" s="1"/>
      </tp>
      <tp t="e">
        <v>#N/A</v>
        <stp/>
        <stp>COT</stp>
        <stp>RADL3</stp>
        <stp>VarVarPer</stp>
        <tr r="W66" s="1"/>
      </tp>
      <tp t="e">
        <v>#N/A</v>
        <stp/>
        <stp>COT</stp>
        <stp>RENT3</stp>
        <stp>VarVarPer</stp>
        <tr r="W68" s="1"/>
      </tp>
      <tp t="e">
        <v>#N/A</v>
        <stp/>
        <stp>COT</stp>
        <stp>IBOV</stp>
        <stp>Abert</stp>
        <tr r="O78" s="2"/>
        <tr r="AB91" s="1"/>
      </tp>
      <tp t="e">
        <v>#N/A</v>
        <stp/>
        <stp>COT</stp>
        <stp>YDUQ3</stp>
        <stp>PrcVda</stp>
        <tr r="M77" s="2"/>
        <tr r="Y82" s="1"/>
      </tp>
      <tp t="e">
        <v>#N/A</v>
        <stp/>
        <stp>COT</stp>
        <stp>BBSE3</stp>
        <stp>VarPer</stp>
        <tr r="V13" s="1"/>
        <tr r="V12" s="1"/>
      </tp>
      <tp t="e">
        <v>#N/A</v>
        <stp/>
        <stp>COT</stp>
        <stp>SBSP3</stp>
        <stp>VarPer</stp>
        <tr r="V70" s="1"/>
      </tp>
      <tp t="e">
        <v>#N/A</v>
        <stp/>
        <stp>COT</stp>
        <stp>JBSS3</stp>
        <stp>VarPer</stp>
        <tr r="V52" s="1"/>
      </tp>
      <tp t="e">
        <v>#N/A</v>
        <stp/>
        <stp>COT</stp>
        <stp>BBAS3</stp>
        <stp>VarPer</stp>
        <tr r="V9" s="1"/>
      </tp>
      <tp t="e">
        <v>#N/A</v>
        <stp/>
        <stp>COT</stp>
        <stp>BBDC4</stp>
        <stp>VarPer</stp>
        <tr r="V11" s="1"/>
      </tp>
      <tp t="e">
        <v>#N/A</v>
        <stp/>
        <stp>COT</stp>
        <stp>BBDC3</stp>
        <stp>VarPer</stp>
        <tr r="V10" s="1"/>
      </tp>
      <tp t="e">
        <v>#N/A</v>
        <stp/>
        <stp>COT</stp>
        <stp>ABEV3</stp>
        <stp>VarPer</stp>
        <tr r="V6" s="1"/>
      </tp>
      <tp t="e">
        <v>#N/A</v>
        <stp/>
        <stp>COT</stp>
        <stp>EQTL3</stp>
        <stp>PrcCpa</stp>
        <tr r="X38" s="1"/>
      </tp>
      <tp t="e">
        <v>#N/A</v>
        <stp/>
        <stp>COT</stp>
        <stp>HAPV3</stp>
        <stp>Desc</stp>
        <tr r="AE45" s="1"/>
      </tp>
      <tp t="e">
        <v>#N/A</v>
        <stp/>
        <stp>COT</stp>
        <stp>ABEV3</stp>
        <stp>Desc</stp>
        <tr r="AE6" s="1"/>
      </tp>
      <tp t="e">
        <v>#N/A</v>
        <stp/>
        <stp>COT</stp>
        <stp>SANB11</stp>
        <stp>Abert</stp>
        <tr r="AA69" s="1"/>
      </tp>
      <tp t="e">
        <v>#N/A</v>
        <stp/>
        <stp>COT</stp>
        <stp>HAPV3</stp>
        <stp>Fech</stp>
        <tr r="Z45" s="1"/>
      </tp>
      <tp t="e">
        <v>#N/A</v>
        <stp/>
        <stp>COT</stp>
        <stp>TAEE11</stp>
        <stp>Abert</stp>
        <tr r="AA73" s="1"/>
      </tp>
      <tp t="e">
        <v>#N/A</v>
        <stp/>
        <stp>COT</stp>
        <stp>ABEV3</stp>
        <stp>Fech</stp>
        <tr r="Z6" s="1"/>
      </tp>
      <tp t="e">
        <v>#N/A</v>
        <stp/>
        <stp>COT</stp>
        <stp>SBSP3</stp>
        <stp>VarVarPer</stp>
        <tr r="W70" s="1"/>
      </tp>
      <tp t="e">
        <v>#N/A</v>
        <stp/>
        <stp>COT</stp>
        <stp>IBOV</stp>
        <stp>Media</stp>
        <tr r="Q78" s="2"/>
        <tr r="AD91" s="1"/>
      </tp>
      <tp t="e">
        <v>#N/A</v>
        <stp/>
        <stp>COT</stp>
        <stp>USIM5</stp>
        <stp>VarVarPer</stp>
        <tr r="W77" s="1"/>
      </tp>
      <tp t="e">
        <v>#N/A</v>
        <stp/>
        <stp>COT</stp>
        <stp>SUZB3</stp>
        <stp>VarVarPer</stp>
        <tr r="W72" s="1"/>
      </tp>
      <tp t="e">
        <v>#N/A</v>
        <stp/>
        <stp>COT</stp>
        <stp>CCRO3</stp>
        <stp>VarPer</stp>
        <tr r="V21" s="1"/>
      </tp>
      <tp t="e">
        <v>#N/A</v>
        <stp/>
        <stp>COT</stp>
        <stp>PETR4</stp>
        <stp>PrcVda</stp>
        <tr r="Y63" s="1"/>
      </tp>
      <tp t="e">
        <v>#N/A</v>
        <stp/>
        <stp>COT</stp>
        <stp>PETR3</stp>
        <stp>PrcVda</stp>
        <tr r="Y62" s="1"/>
      </tp>
      <tp t="e">
        <v>#N/A</v>
        <stp/>
        <stp>COT</stp>
        <stp>CPFE3</stp>
        <stp>PrcCpa</stp>
        <tr r="X25" s="1"/>
      </tp>
      <tp t="e">
        <v>#N/A</v>
        <stp/>
        <stp>COT</stp>
        <stp>RENT3</stp>
        <stp>PrcVda</stp>
        <tr r="Y68" s="1"/>
      </tp>
      <tp t="e">
        <v>#N/A</v>
        <stp/>
        <stp>COT</stp>
        <stp>ECOR3</stp>
        <stp>VarPer</stp>
        <tr r="V31" s="1"/>
      </tp>
      <tp t="e">
        <v>#N/A</v>
        <stp/>
        <stp>COT</stp>
        <stp>WEGE3</stp>
        <stp>PrcVda</stp>
        <tr r="Y81" s="1"/>
      </tp>
      <tp t="e">
        <v>#N/A</v>
        <stp/>
        <stp>COT</stp>
        <stp>PCAR3</stp>
        <stp>VarPer</stp>
        <tr r="V61" s="1"/>
      </tp>
      <tp t="e">
        <v>#N/A</v>
        <stp/>
        <stp>COT</stp>
        <stp>MGLU3</stp>
        <stp>Desc</stp>
        <tr r="AE56" s="1"/>
      </tp>
      <tp t="e">
        <v>#N/A</v>
        <stp/>
        <stp>COT</stp>
        <stp>GOAU4</stp>
        <stp>Desc</stp>
        <tr r="AE43" s="1"/>
      </tp>
      <tp t="e">
        <v>#N/A</v>
        <stp/>
        <stp>COT</stp>
        <stp>MGLU3</stp>
        <stp>Fech</stp>
        <tr r="Z56" s="1"/>
      </tp>
      <tp t="e">
        <v>#N/A</v>
        <stp/>
        <stp>COT</stp>
        <stp>GOAU4</stp>
        <stp>Fech</stp>
        <tr r="Z43" s="1"/>
      </tp>
      <tp t="e">
        <v>#N/A</v>
        <stp/>
        <stp>COT</stp>
        <stp>PCAR3</stp>
        <stp>VarVarPer</stp>
        <tr r="W61" s="1"/>
      </tp>
      <tp t="e">
        <v>#N/A</v>
        <stp/>
        <stp>COT</stp>
        <stp>PETR3</stp>
        <stp>VarVarPer</stp>
        <tr r="W62" s="1"/>
      </tp>
      <tp t="e">
        <v>#N/A</v>
        <stp/>
        <stp>COT</stp>
        <stp>PRIO3</stp>
        <stp>VarVarPer</stp>
        <tr r="W64" s="1"/>
      </tp>
      <tp t="e">
        <v>#N/A</v>
        <stp/>
        <stp>COT</stp>
        <stp>USIM5</stp>
        <stp>PrcCpa</stp>
        <tr r="X77" s="1"/>
      </tp>
      <tp t="e">
        <v>#N/A</v>
        <stp/>
        <stp>COT</stp>
        <stp>CSNA3</stp>
        <stp>PrcCpa</stp>
        <tr r="X28" s="1"/>
      </tp>
      <tp t="e">
        <v>#N/A</v>
        <stp/>
        <stp>COT</stp>
        <stp>CSAN3</stp>
        <stp>PrcCpa</stp>
        <tr r="X27" s="1"/>
      </tp>
      <tp t="e">
        <v>#N/A</v>
        <stp/>
        <stp>COT</stp>
        <stp>DOLfut</stp>
        <stp>Ult</stp>
        <tr r="F1" s="1"/>
      </tp>
      <tp t="e">
        <v>#N/A</v>
        <stp/>
        <stp>COT</stp>
        <stp>indfut</stp>
        <stp>Ult</stp>
        <tr r="W90" s="1"/>
        <tr r="G2" s="1"/>
        <tr r="K92" s="1"/>
      </tp>
      <tp t="e">
        <v>#N/A</v>
        <stp/>
        <stp>COT</stp>
        <stp>MULT3</stp>
        <stp>Desc</stp>
        <tr r="AE59" s="1"/>
        <tr r="AE60" s="1"/>
      </tp>
      <tp t="e">
        <v>#N/A</v>
        <stp/>
        <stp>COT</stp>
        <stp>IBOV</stp>
        <stp>Ult</stp>
        <tr r="J78" s="2"/>
        <tr r="K93" s="1"/>
        <tr r="W91" s="1"/>
      </tp>
      <tp t="e">
        <v>#N/A</v>
        <stp/>
        <stp>COT</stp>
        <stp>ELET3</stp>
        <stp>Desc</stp>
        <tr r="AE33" s="1"/>
      </tp>
      <tp t="e">
        <v>#N/A</v>
        <stp/>
        <stp>COT</stp>
        <stp>BRDT3</stp>
        <stp>Desc</stp>
        <tr r="AE16" s="1"/>
      </tp>
      <tp t="e">
        <v>#N/A</v>
        <stp/>
        <stp>COT</stp>
        <stp>RENT3</stp>
        <stp>Fech</stp>
        <tr r="Z68" s="1"/>
      </tp>
      <tp t="e">
        <v>#N/A</v>
        <stp/>
        <stp>COT</stp>
        <stp>VIVT4</stp>
        <stp>Fech</stp>
        <tr r="Z79" s="1"/>
      </tp>
      <tp t="e">
        <v>#N/A</v>
        <stp/>
        <stp>COT</stp>
        <stp>ELET6</stp>
        <stp>Desc</stp>
        <tr r="AE34" s="1"/>
      </tp>
      <tp t="e">
        <v>#N/A</v>
        <stp/>
        <stp>COT</stp>
        <stp>MULT3</stp>
        <stp>Fech</stp>
        <tr r="Z59" s="1"/>
      </tp>
      <tp t="e">
        <v>#N/A</v>
        <stp/>
        <stp>COT</stp>
        <stp>ELET3</stp>
        <stp>Fech</stp>
        <tr r="Z33" s="1"/>
      </tp>
      <tp t="e">
        <v>#N/A</v>
        <stp/>
        <stp>COT</stp>
        <stp>BRDT3</stp>
        <stp>Fech</stp>
        <tr r="Z16" s="1"/>
      </tp>
      <tp t="e">
        <v>#N/A</v>
        <stp/>
        <stp>COT</stp>
        <stp>RENT3</stp>
        <stp>Desc</stp>
        <tr r="AE68" s="1"/>
      </tp>
      <tp t="e">
        <v>#N/A</v>
        <stp/>
        <stp>COT</stp>
        <stp>VIVT4</stp>
        <stp>Desc</stp>
        <tr r="AE79" s="1"/>
      </tp>
      <tp t="e">
        <v>#N/A</v>
        <stp/>
        <stp>COT</stp>
        <stp>ELET6</stp>
        <stp>Fech</stp>
        <tr r="Z34" s="1"/>
      </tp>
      <tp t="e">
        <v>#N/A</v>
        <stp/>
        <stp>COT</stp>
        <stp>VIVT4</stp>
        <stp>VarVarPer</stp>
        <tr r="W79" s="1"/>
      </tp>
      <tp t="e">
        <v>#N/A</v>
        <stp/>
        <stp>COT</stp>
        <stp>QUAL3</stp>
        <stp>VarVarPer</stp>
        <tr r="W65" s="1"/>
      </tp>
      <tp t="e">
        <v>#N/A</v>
        <stp/>
        <stp>COT</stp>
        <stp>BRKM5</stp>
        <stp>PrcCpa</stp>
        <tr r="X18" s="1"/>
      </tp>
      <tp t="e">
        <v>#N/A</v>
        <stp/>
        <stp>COT</stp>
        <stp>PRIO3</stp>
        <stp>PrcCpa</stp>
        <tr r="X64" s="1"/>
      </tp>
      <tp t="e">
        <v>#N/A</v>
        <stp/>
        <stp>COT</stp>
        <stp>BRML3</stp>
        <stp>PrcCpa</stp>
        <tr r="X19" s="1"/>
      </tp>
      <tp t="e">
        <v>#N/A</v>
        <stp/>
        <stp>COT</stp>
        <stp>HAPV3</stp>
        <stp>VarPer</stp>
        <tr r="V45" s="1"/>
      </tp>
      <tp t="e">
        <v>#N/A</v>
        <stp/>
        <stp>COT</stp>
        <stp>IRBR3</stp>
        <stp>PrcCpa</stp>
        <tr r="X49" s="1"/>
      </tp>
      <tp t="e">
        <v>#N/A</v>
        <stp/>
        <stp>COT</stp>
        <stp>BRAP4</stp>
        <stp>PrcCpa</stp>
        <tr r="X15" s="1"/>
      </tp>
      <tp t="e">
        <v>#N/A</v>
        <stp/>
        <stp>COT</stp>
        <stp>IGTA3</stp>
        <stp>PrcVda</stp>
        <tr r="Y48" s="1"/>
      </tp>
      <tp t="e">
        <v>#N/A</v>
        <stp/>
        <stp>COT</stp>
        <stp>HGTX3</stp>
        <stp>PrcVda</stp>
        <tr r="Y46" s="1"/>
      </tp>
      <tp t="e">
        <v>#N/A</v>
        <stp/>
        <stp>COT</stp>
        <stp>MRFG3</stp>
        <stp>PrcCpa</stp>
        <tr r="X57" s="1"/>
      </tp>
      <tp t="e">
        <v>#N/A</v>
        <stp/>
        <stp>COT</stp>
        <stp>CRFB3</stp>
        <stp>PrcCpa</stp>
        <tr r="X26" s="1"/>
      </tp>
      <tp t="e">
        <v>#N/A</v>
        <stp/>
        <stp>COT</stp>
        <stp>BRFS3</stp>
        <stp>PrcCpa</stp>
        <tr r="X17" s="1"/>
      </tp>
      <tp t="e">
        <v>#N/A</v>
        <stp/>
        <stp>COT</stp>
        <stp>LREN3</stp>
        <stp>PrcCpa</stp>
        <tr r="X55" s="1"/>
      </tp>
      <tp t="e">
        <v>#N/A</v>
        <stp/>
        <stp>COT</stp>
        <stp>UGPA3</stp>
        <stp>PrcVda</stp>
        <tr r="Y76" s="1"/>
      </tp>
      <tp t="e">
        <v>#N/A</v>
        <stp/>
        <stp>COT</stp>
        <stp>BRDT3</stp>
        <stp>PrcCpa</stp>
        <tr r="X16" s="1"/>
      </tp>
      <tp t="e">
        <v>#N/A</v>
        <stp/>
        <stp>COT</stp>
        <stp>RAIL3</stp>
        <stp>VarPer</stp>
        <tr r="V67" s="1"/>
      </tp>
      <tp t="e">
        <v>#N/A</v>
        <stp/>
        <stp>COT</stp>
        <stp>MGLU3</stp>
        <stp>PrcVda</stp>
        <tr r="Y56" s="1"/>
      </tp>
      <tp t="e">
        <v>#N/A</v>
        <stp/>
        <stp>COT</stp>
        <stp>VALE3</stp>
        <stp>VarPer</stp>
        <tr r="V78" s="1"/>
      </tp>
      <tp t="e">
        <v>#N/A</v>
        <stp/>
        <stp>COT</stp>
        <stp>LAME4</stp>
        <stp>VarPer</stp>
        <tr r="V54" s="1"/>
      </tp>
      <tp t="e">
        <v>#N/A</v>
        <stp/>
        <stp>COT</stp>
        <stp>EGIE3</stp>
        <stp>PrcVda</stp>
        <tr r="Y32" s="1"/>
      </tp>
      <tp t="e">
        <v>#N/A</v>
        <stp/>
        <stp>COT</stp>
        <stp>RADL3</stp>
        <stp>VarPer</stp>
        <tr r="V66" s="1"/>
      </tp>
      <tp t="e">
        <v>#N/A</v>
        <stp/>
        <stp>COT</stp>
        <stp>MRVE3</stp>
        <stp>PrcCpa</stp>
        <tr r="X58" s="1"/>
      </tp>
      <tp t="e">
        <v>#N/A</v>
        <stp/>
        <stp>COT</stp>
        <stp>GGBR4</stp>
        <stp>PrcVda</stp>
        <tr r="Y41" s="1"/>
      </tp>
      <tp t="e">
        <v>#N/A</v>
        <stp/>
        <stp>COT</stp>
        <stp>NTCO3</stp>
        <stp>VarVarPer</stp>
        <tr r="W60" s="1"/>
      </tp>
      <tp t="e">
        <v>#N/A</v>
        <stp/>
        <stp>COT</stp>
        <stp>ITUB4</stp>
        <stp>VarVarPer</stp>
        <tr r="W51" s="1"/>
      </tp>
      <tp t="e">
        <v>#N/A</v>
        <stp/>
        <stp>COT</stp>
        <stp>ITSA4</stp>
        <stp>VarVarPer</stp>
        <tr r="W50" s="1"/>
      </tp>
      <tp t="e">
        <v>#N/A</v>
        <stp/>
        <stp>COT</stp>
        <stp>CMIG4</stp>
        <stp>PrcCpa</stp>
        <tr r="X23" s="1"/>
      </tp>
      <tp t="e">
        <v>#N/A</v>
        <stp/>
        <stp>COT</stp>
        <stp>EMBR3</stp>
        <stp>PrcCpa</stp>
        <tr r="X35" s="1"/>
      </tp>
      <tp t="e">
        <v>#N/A</v>
        <stp/>
        <stp>COT</stp>
        <stp>CYRE3</stp>
        <stp>PrcVda</stp>
        <tr r="Y30" s="1"/>
      </tp>
      <tp t="e">
        <v>#N/A</v>
        <stp/>
        <stp>COT</stp>
        <stp>ELET3</stp>
        <stp>PrcCpa</stp>
        <tr r="X33" s="1"/>
      </tp>
      <tp t="e">
        <v>#N/A</v>
        <stp/>
        <stp>COT</stp>
        <stp>ELET6</stp>
        <stp>PrcCpa</stp>
        <tr r="X34" s="1"/>
      </tp>
      <tp t="e">
        <v>#N/A</v>
        <stp/>
        <stp>COT</stp>
        <stp>HYPE3</stp>
        <stp>PrcVda</stp>
        <tr r="Y47" s="1"/>
      </tp>
      <tp t="e">
        <v>#N/A</v>
        <stp/>
        <stp>COT</stp>
        <stp>FLRY3</stp>
        <stp>PrcCpa</stp>
        <tr r="X40" s="1"/>
      </tp>
      <tp t="e">
        <v>#N/A</v>
        <stp/>
        <stp>COT</stp>
        <stp>GNDI3</stp>
        <stp>Desc</stp>
        <tr r="AE42" s="1"/>
      </tp>
      <tp t="e">
        <v>#N/A</v>
        <stp/>
        <stp>COT</stp>
        <stp>GNDI3</stp>
        <stp>Fech</stp>
        <tr r="Z42" s="1"/>
      </tp>
      <tp t="e">
        <v>#N/A</v>
        <stp/>
        <stp>COT</stp>
        <stp>LREN3</stp>
        <stp>VarVarPer</stp>
        <tr r="W55" s="1"/>
      </tp>
      <tp t="e">
        <v>#N/A</v>
        <stp/>
        <stp>COT</stp>
        <stp>GOLL4</stp>
        <stp>PrcCpa</stp>
        <tr r="X44" s="1"/>
      </tp>
      <tp t="e">
        <v>#N/A</v>
        <stp/>
        <stp>COT</stp>
        <stp>AZUL4</stp>
        <stp>PrcVda</stp>
        <tr r="Y7" s="1"/>
      </tp>
      <tp t="e">
        <v>#N/A</v>
        <stp/>
        <stp>COT</stp>
        <stp>GOAU4</stp>
        <stp>PrcCpa</stp>
        <tr r="X43" s="1"/>
      </tp>
      <tp t="e">
        <v>#N/A</v>
        <stp/>
        <stp>COT</stp>
        <stp>EZTC3</stp>
        <stp>PrcVda</stp>
        <tr r="Y39" s="1"/>
      </tp>
      <tp t="e">
        <v>#N/A</v>
        <stp/>
        <stp>COT</stp>
        <stp>COGN3</stp>
        <stp>PrcCpa</stp>
        <tr r="X24" s="1"/>
      </tp>
      <tp t="e">
        <v>#N/A</v>
        <stp/>
        <stp>COT</stp>
        <stp>TOTS3</stp>
        <stp>PrcCpa</stp>
        <tr r="X75" s="1"/>
      </tp>
      <tp t="e">
        <v>#N/A</v>
        <stp/>
        <stp>COT</stp>
        <stp>MGLU3</stp>
        <stp>VarVarPer</stp>
        <tr r="W56" s="1"/>
      </tp>
      <tp t="e">
        <v>#N/A</v>
        <stp/>
        <stp>COT</stp>
        <stp>MRFG3</stp>
        <stp>VarVarPer</stp>
        <tr r="W57" s="1"/>
      </tp>
      <tp t="e">
        <v>#N/A</v>
        <stp/>
        <stp>COT</stp>
        <stp>MRVE3</stp>
        <stp>VarVarPer</stp>
        <tr r="W58" s="1"/>
      </tp>
      <tp t="e">
        <v>#N/A</v>
        <stp/>
        <stp>COT</stp>
        <stp>MULT3</stp>
        <stp>VarVarPer</stp>
        <tr r="W59" s="1"/>
      </tp>
      <tp t="e">
        <v>#N/A</v>
        <stp/>
        <stp>COT</stp>
        <stp>ENBR3</stp>
        <stp>PrcCpa</stp>
        <tr r="X36" s="1"/>
      </tp>
      <tp t="e">
        <v>#N/A</v>
        <stp/>
        <stp>COT</stp>
        <stp>GNDI3</stp>
        <stp>PrcCpa</stp>
        <tr r="X42" s="1"/>
      </tp>
      <tp t="e">
        <v>#N/A</v>
        <stp/>
        <stp>COT</stp>
        <stp>CCRO3</stp>
        <stp>Desc</stp>
        <tr r="AE21" s="1"/>
      </tp>
      <tp t="e">
        <v>#N/A</v>
        <stp/>
        <stp>COT</stp>
        <stp>PRIO3</stp>
        <stp>Fech</stp>
        <tr r="Z64" s="1"/>
      </tp>
      <tp t="e">
        <v>#N/A</v>
        <stp/>
        <stp>COT</stp>
        <stp>NTCO3</stp>
        <stp>Fech</stp>
        <tr r="Z60" s="1"/>
      </tp>
      <tp t="e">
        <v>#N/A</v>
        <stp/>
        <stp>COT</stp>
        <stp>CCRO3</stp>
        <stp>Fech</stp>
        <tr r="Z21" s="1"/>
      </tp>
      <tp t="e">
        <v>#N/A</v>
        <stp/>
        <stp>COT</stp>
        <stp>JBSS3</stp>
        <stp>VarVarPer</stp>
        <tr r="W52" s="1"/>
      </tp>
      <tp t="e">
        <v>#N/A</v>
        <stp/>
        <stp>COT</stp>
        <stp>TIMP3</stp>
        <stp>PrcCpa</stp>
        <tr r="X74" s="1"/>
      </tp>
      <tp t="e">
        <v>#N/A</v>
        <stp/>
        <stp>COT</stp>
        <stp>EZTC3</stp>
        <stp>VarPer</stp>
        <tr r="V39" s="1"/>
      </tp>
      <tp t="e">
        <v>#N/A</v>
        <stp/>
        <stp>COT</stp>
        <stp>AZUL4</stp>
        <stp>VarPer</stp>
        <tr r="V7" s="1"/>
      </tp>
      <tp t="e">
        <v>#N/A</v>
        <stp/>
        <stp>COT</stp>
        <stp>CIEL3</stp>
        <stp>PrcCpa</stp>
        <tr r="X22" s="1"/>
      </tp>
      <tp t="e">
        <v>#N/A</v>
        <stp/>
        <stp>COT</stp>
        <stp>VIVT4</stp>
        <stp>PrcCpa</stp>
        <tr r="X79" s="1"/>
      </tp>
      <tp t="e">
        <v>#N/A</v>
        <stp/>
        <stp>COT</stp>
        <stp>LREN3</stp>
        <stp>Desc</stp>
        <tr r="AE55" s="1"/>
      </tp>
      <tp t="e">
        <v>#N/A</v>
        <stp/>
        <stp>COT</stp>
        <stp>CSAN3</stp>
        <stp>Desc</stp>
        <tr r="AE27" s="1"/>
      </tp>
      <tp t="e">
        <v>#N/A</v>
        <stp/>
        <stp>COT</stp>
        <stp>COGN3</stp>
        <stp>Desc</stp>
        <tr r="AE24" s="1"/>
      </tp>
      <tp t="e">
        <v>#N/A</v>
        <stp/>
        <stp>COT</stp>
        <stp>LREN3</stp>
        <stp>Fech</stp>
        <tr r="Z55" s="1"/>
      </tp>
      <tp t="e">
        <v>#N/A</v>
        <stp/>
        <stp>COT</stp>
        <stp>CSAN3</stp>
        <stp>Fech</stp>
        <tr r="Z27" s="1"/>
      </tp>
      <tp t="e">
        <v>#N/A</v>
        <stp/>
        <stp>COT</stp>
        <stp>COGN3</stp>
        <stp>Fech</stp>
        <tr r="Z24" s="1"/>
      </tp>
      <tp t="e">
        <v>#N/A</v>
        <stp/>
        <stp>COT</stp>
        <stp>LAME4</stp>
        <stp>VarVarPer</stp>
        <tr r="W54" s="1"/>
      </tp>
      <tp t="e">
        <v>#N/A</v>
        <stp/>
        <stp>COT</stp>
        <stp>BRKM5</stp>
        <stp>Desc</stp>
        <tr r="AE18" s="1"/>
      </tp>
      <tp t="e">
        <v>#N/A</v>
        <stp/>
        <stp>COT</stp>
        <stp>USIM5</stp>
        <stp>Fech</stp>
        <tr r="Z77" s="1"/>
      </tp>
      <tp t="e">
        <v>#N/A</v>
        <stp/>
        <stp>COT</stp>
        <stp>BRKM5</stp>
        <stp>Fech</stp>
        <tr r="Z18" s="1"/>
      </tp>
      <tp t="e">
        <v>#N/A</v>
        <stp/>
        <stp>COT</stp>
        <stp>USIM5</stp>
        <stp>Desc</stp>
        <tr r="AE77" s="1"/>
      </tp>
      <tp t="e">
        <v>#N/A</v>
        <stp/>
        <stp>COT</stp>
        <stp>HAPV3</stp>
        <stp>VarVarPer</stp>
        <tr r="W45" s="1"/>
      </tp>
      <tp t="e">
        <v>#N/A</v>
        <stp/>
        <stp>COT</stp>
        <stp>HGTX3</stp>
        <stp>VarVarPer</stp>
        <tr r="W46" s="1"/>
      </tp>
      <tp t="e">
        <v>#N/A</v>
        <stp/>
        <stp>COT</stp>
        <stp>HYPE3</stp>
        <stp>VarVarPer</stp>
        <tr r="W47" s="1"/>
      </tp>
      <tp t="e">
        <v>#N/A</v>
        <stp/>
        <stp>COT</stp>
        <stp>indfut</stp>
        <stp>Max</stp>
        <tr r="AE90" s="1"/>
      </tp>
      <tp t="e">
        <v>#N/A</v>
        <stp/>
        <stp>COT</stp>
        <stp>indfut</stp>
        <stp>Min</stp>
        <tr r="AC90" s="1"/>
      </tp>
      <tp t="e">
        <v>#N/A</v>
        <stp/>
        <stp>COT</stp>
        <stp>IBOV</stp>
        <stp>Max</stp>
        <tr r="R78" s="2"/>
        <tr r="AE91" s="1"/>
      </tp>
      <tp t="e">
        <v>#N/A</v>
        <stp/>
        <stp>COT</stp>
        <stp>AZUL4</stp>
        <stp>Desc</stp>
        <tr r="AE7" s="1"/>
      </tp>
      <tp t="e">
        <v>#N/A</v>
        <stp/>
        <stp>COT</stp>
        <stp>EQTL3</stp>
        <stp>Desc</stp>
        <tr r="AE38" s="1"/>
      </tp>
      <tp t="e">
        <v>#N/A</v>
        <stp/>
        <stp>COT</stp>
        <stp>CIEL3</stp>
        <stp>Desc</stp>
        <tr r="AE22" s="1"/>
      </tp>
      <tp t="e">
        <v>#N/A</v>
        <stp/>
        <stp>COT</stp>
        <stp>IBOV</stp>
        <stp>Min</stp>
        <tr r="P78" s="2"/>
        <tr r="AC91" s="1"/>
      </tp>
      <tp t="e">
        <v>#N/A</v>
        <stp/>
        <stp>COT</stp>
        <stp>BRML3</stp>
        <stp>Desc</stp>
        <tr r="AE19" s="1"/>
      </tp>
      <tp t="e">
        <v>#N/A</v>
        <stp/>
        <stp>COT</stp>
        <stp>RAIL3</stp>
        <stp>Fech</stp>
        <tr r="Z67" s="1"/>
      </tp>
      <tp t="e">
        <v>#N/A</v>
        <stp/>
        <stp>COT</stp>
        <stp>RADL3</stp>
        <stp>Fech</stp>
        <tr r="Z66" s="1"/>
      </tp>
      <tp t="e">
        <v>#N/A</v>
        <stp/>
        <stp>COT</stp>
        <stp>QUAL3</stp>
        <stp>Fech</stp>
        <tr r="Z65" s="1"/>
      </tp>
      <tp t="e">
        <v>#N/A</v>
        <stp/>
        <stp>COT</stp>
        <stp>GOLL4</stp>
        <stp>Desc</stp>
        <tr r="AE44" s="1"/>
      </tp>
      <tp t="e">
        <v>#N/A</v>
        <stp/>
        <stp>COT</stp>
        <stp>AZUL4</stp>
        <stp>Fech</stp>
        <tr r="Z7" s="1"/>
      </tp>
      <tp t="e">
        <v>#N/A</v>
        <stp/>
        <stp>COT</stp>
        <stp>EQTL3</stp>
        <stp>Fech</stp>
        <tr r="Z38" s="1"/>
      </tp>
      <tp t="e">
        <v>#N/A</v>
        <stp/>
        <stp>COT</stp>
        <stp>CIEL3</stp>
        <stp>Fech</stp>
        <tr r="Z22" s="1"/>
      </tp>
      <tp t="e">
        <v>#N/A</v>
        <stp/>
        <stp>COT</stp>
        <stp>BRML3</stp>
        <stp>Fech</stp>
        <tr r="Z19" s="1"/>
      </tp>
      <tp t="e">
        <v>#N/A</v>
        <stp/>
        <stp>COT</stp>
        <stp>RAIL3</stp>
        <stp>Desc</stp>
        <tr r="AE67" s="1"/>
      </tp>
      <tp t="e">
        <v>#N/A</v>
        <stp/>
        <stp>COT</stp>
        <stp>RADL3</stp>
        <stp>Desc</stp>
        <tr r="AE66" s="1"/>
      </tp>
      <tp t="e">
        <v>#N/A</v>
        <stp/>
        <stp>COT</stp>
        <stp>QUAL3</stp>
        <stp>Desc</stp>
        <tr r="AE65" s="1"/>
      </tp>
      <tp t="e">
        <v>#N/A</v>
        <stp/>
        <stp>COT</stp>
        <stp>GOLL4</stp>
        <stp>Fech</stp>
        <tr r="Z44" s="1"/>
      </tp>
      <tp t="e">
        <v>#N/A</v>
        <stp/>
        <stp>COT</stp>
        <stp>IGTA3</stp>
        <stp>VarVarPer</stp>
        <tr r="W48" s="1"/>
      </tp>
      <tp t="e">
        <v>#N/A</v>
        <stp/>
        <stp>COT</stp>
        <stp>IRBR3</stp>
        <stp>VarVarPer</stp>
        <tr r="W49" s="1"/>
      </tp>
      <tp t="e">
        <v>#N/A</v>
        <stp/>
        <stp>COT</stp>
        <stp>HYPE3</stp>
        <stp>VarPer</stp>
        <tr r="V47" s="1"/>
      </tp>
      <tp t="e">
        <v>#N/A</v>
        <stp/>
        <stp>COT</stp>
        <stp>CYRE3</stp>
        <stp>VarPer</stp>
        <tr r="V30" s="1"/>
      </tp>
      <tp t="e">
        <v>#N/A</v>
        <stp/>
        <stp>COT</stp>
        <stp>BBDC4</stp>
        <stp>Desc</stp>
        <tr r="AE11" s="1"/>
      </tp>
      <tp t="e">
        <v>#N/A</v>
        <stp/>
        <stp>COT</stp>
        <stp>SULA11</stp>
        <stp>Media</stp>
        <tr r="AC71" s="1"/>
      </tp>
      <tp t="e">
        <v>#N/A</v>
        <stp/>
        <stp>COT</stp>
        <stp>BBDC3</stp>
        <stp>Desc</stp>
        <tr r="AE10" s="1"/>
      </tp>
      <tp t="e">
        <v>#N/A</v>
        <stp/>
        <stp>COT</stp>
        <stp>EZTC3</stp>
        <stp>Fech</stp>
        <tr r="Z39" s="1"/>
      </tp>
      <tp t="e">
        <v>#N/A</v>
        <stp/>
        <stp>COT</stp>
        <stp>BBDC4</stp>
        <stp>Fech</stp>
        <tr r="Z11" s="1"/>
      </tp>
      <tp t="e">
        <v>#N/A</v>
        <stp/>
        <stp>COT</stp>
        <stp>BBDC3</stp>
        <stp>Fech</stp>
        <tr r="Z10" s="1"/>
      </tp>
      <tp t="e">
        <v>#N/A</v>
        <stp/>
        <stp>COT</stp>
        <stp>FLRY3</stp>
        <stp>VarVarPer</stp>
        <tr r="W40" s="1"/>
      </tp>
      <tp t="e">
        <v>#N/A</v>
        <stp/>
        <stp>COT</stp>
        <stp>AZUL4</stp>
        <stp>VarVarPer</stp>
        <tr r="W7" s="1"/>
      </tp>
      <tp t="e">
        <v>#N/A</v>
        <stp/>
        <stp>COT</stp>
        <stp>RENT3</stp>
        <stp>PrcCpa</stp>
        <tr r="X68" s="1"/>
      </tp>
      <tp t="e">
        <v>#N/A</v>
        <stp/>
        <stp>COT</stp>
        <stp>WEGE3</stp>
        <stp>PrcCpa</stp>
        <tr r="X81" s="1"/>
      </tp>
      <tp t="e">
        <v>#N/A</v>
        <stp/>
        <stp>COT</stp>
        <stp>CPFE3</stp>
        <stp>PrcVda</stp>
        <tr r="Y25" s="1"/>
      </tp>
      <tp t="e">
        <v>#N/A</v>
        <stp/>
        <stp>COT</stp>
        <stp>VVAR3</stp>
        <stp>VarPer</stp>
        <tr r="V80" s="1"/>
      </tp>
      <tp t="e">
        <v>#N/A</v>
        <stp/>
        <stp>COT</stp>
        <stp>CVCB3</stp>
        <stp>VarPer</stp>
        <tr r="V29" s="1"/>
      </tp>
      <tp t="e">
        <v>#N/A</v>
        <stp/>
        <stp>COT</stp>
        <stp>PETR4</stp>
        <stp>PrcCpa</stp>
        <tr r="X63" s="1"/>
      </tp>
      <tp t="e">
        <v>#N/A</v>
        <stp/>
        <stp>COT</stp>
        <stp>PETR3</stp>
        <stp>PrcCpa</stp>
        <tr r="X62" s="1"/>
      </tp>
      <tp t="e">
        <v>#N/A</v>
        <stp/>
        <stp>COT</stp>
        <stp>ITUB4</stp>
        <stp>Desc</stp>
        <tr r="AE51" s="1"/>
      </tp>
      <tp t="e">
        <v>#N/A</v>
        <stp/>
        <stp>COT</stp>
        <stp>SUZB3</stp>
        <stp>Fech</stp>
        <tr r="Z72" s="1"/>
      </tp>
      <tp t="e">
        <v>#N/A</v>
        <stp/>
        <stp>COT</stp>
        <stp>CVCB3</stp>
        <stp>Desc</stp>
        <tr r="AE29" s="1"/>
      </tp>
      <tp t="e">
        <v>#N/A</v>
        <stp/>
        <stp>COT</stp>
        <stp>CRFB3</stp>
        <stp>Desc</stp>
        <tr r="AE26" s="1"/>
      </tp>
      <tp t="e">
        <v>#N/A</v>
        <stp/>
        <stp>COT</stp>
        <stp>SULA11</stp>
        <stp>Abert</stp>
        <tr r="AA71" s="1"/>
      </tp>
      <tp t="e">
        <v>#N/A</v>
        <stp/>
        <stp>COT</stp>
        <stp>ITUB4</stp>
        <stp>Fech</stp>
        <tr r="Z51" s="1"/>
      </tp>
      <tp t="e">
        <v>#N/A</v>
        <stp/>
        <stp>COT</stp>
        <stp>CVCB3</stp>
        <stp>Fech</stp>
        <tr r="Z29" s="1"/>
      </tp>
      <tp t="e">
        <v>#N/A</v>
        <stp/>
        <stp>COT</stp>
        <stp>CRFB3</stp>
        <stp>Fech</stp>
        <tr r="Z26" s="1"/>
      </tp>
      <tp t="e">
        <v>#N/A</v>
        <stp/>
        <stp>COT</stp>
        <stp>SUZB3</stp>
        <stp>Desc</stp>
        <tr r="AE72" s="1"/>
      </tp>
      <tp t="e">
        <v>#N/A</v>
        <stp/>
        <stp>COT</stp>
        <stp>GNDI3</stp>
        <stp>VarVarPer</stp>
        <tr r="W42" s="1"/>
      </tp>
      <tp t="e">
        <v>#N/A</v>
        <stp/>
        <stp>COT</stp>
        <stp>EQTL3</stp>
        <stp>PrcVda</stp>
        <tr r="Y38" s="1"/>
      </tp>
      <tp t="e">
        <v>#N/A</v>
        <stp/>
        <stp>COT</stp>
        <stp>YDUQ3</stp>
        <stp>PrcCpa</stp>
        <tr r="L77" s="2"/>
        <tr r="X82" s="1"/>
      </tp>
      <tp t="e">
        <v>#N/A</v>
        <stp/>
        <stp>COT</stp>
        <stp>ITSA4</stp>
        <stp>Desc</stp>
        <tr r="AE50" s="1"/>
      </tp>
      <tp t="e">
        <v>#N/A</v>
        <stp/>
        <stp>COT</stp>
        <stp>IGTA3</stp>
        <stp>Desc</stp>
        <tr r="AE48" s="1"/>
      </tp>
      <tp t="e">
        <v>#N/A</v>
        <stp/>
        <stp>COT</stp>
        <stp>UGPA3</stp>
        <stp>Fech</stp>
        <tr r="Z76" s="1"/>
      </tp>
      <tp t="e">
        <v>#N/A</v>
        <stp/>
        <stp>COT</stp>
        <stp>CSNA3</stp>
        <stp>Desc</stp>
        <tr r="AE28" s="1"/>
      </tp>
      <tp t="e">
        <v>#N/A</v>
        <stp/>
        <stp>COT</stp>
        <stp>B3SA3</stp>
        <stp>Desc</stp>
        <tr r="AE8" s="1"/>
      </tp>
      <tp t="e">
        <v>#N/A</v>
        <stp/>
        <stp>COT</stp>
        <stp>ITSA4</stp>
        <stp>Fech</stp>
        <tr r="Z50" s="1"/>
      </tp>
      <tp t="e">
        <v>#N/A</v>
        <stp/>
        <stp>COT</stp>
        <stp>IGTA3</stp>
        <stp>Fech</stp>
        <tr r="Z48" s="1"/>
      </tp>
      <tp t="e">
        <v>#N/A</v>
        <stp/>
        <stp>COT</stp>
        <stp>UGPA3</stp>
        <stp>Desc</stp>
        <tr r="AE76" s="1"/>
      </tp>
      <tp t="e">
        <v>#N/A</v>
        <stp/>
        <stp>COT</stp>
        <stp>CSNA3</stp>
        <stp>Fech</stp>
        <tr r="Z28" s="1"/>
      </tp>
      <tp t="e">
        <v>#N/A</v>
        <stp/>
        <stp>COT</stp>
        <stp>B3SA3</stp>
        <stp>Fech</stp>
        <tr r="Z8" s="1"/>
      </tp>
      <tp t="e">
        <v>#N/A</v>
        <stp/>
        <stp>COT</stp>
        <stp>CMIG4</stp>
        <stp>VarVarPer</stp>
        <tr r="W23" s="1"/>
      </tp>
      <tp t="e">
        <v>#N/A</v>
        <stp/>
        <stp>COT</stp>
        <stp>BRKM5</stp>
        <stp>VarVarPer</stp>
        <tr r="W18" s="1"/>
      </tp>
      <tp t="e">
        <v>#N/A</v>
        <stp/>
        <stp>COT</stp>
        <stp>EGIE3</stp>
        <stp>PrcCpa</stp>
        <tr r="X32" s="1"/>
      </tp>
      <tp t="e">
        <v>#N/A</v>
        <stp/>
        <stp>COT</stp>
        <stp>MGLU3</stp>
        <stp>PrcCpa</stp>
        <tr r="X56" s="1"/>
      </tp>
      <tp t="e">
        <v>#N/A</v>
        <stp/>
        <stp>COT</stp>
        <stp>MRVE3</stp>
        <stp>PrcVda</stp>
        <tr r="Y58" s="1"/>
      </tp>
      <tp t="e">
        <v>#N/A</v>
        <stp/>
        <stp>COT</stp>
        <stp>GGBR4</stp>
        <stp>PrcCpa</stp>
        <tr r="X41" s="1"/>
      </tp>
      <tp t="e">
        <v>#N/A</v>
        <stp/>
        <stp>COT</stp>
        <stp>ITSA4</stp>
        <stp>VarPer</stp>
        <tr r="V50" s="1"/>
      </tp>
      <tp t="e">
        <v>#N/A</v>
        <stp/>
        <stp>COT</stp>
        <stp>ITUB4</stp>
        <stp>VarPer</stp>
        <tr r="V51" s="1"/>
      </tp>
      <tp t="e">
        <v>#N/A</v>
        <stp/>
        <stp>COT</stp>
        <stp>BRML3</stp>
        <stp>PrcVda</stp>
        <tr r="Y19" s="1"/>
      </tp>
      <tp t="e">
        <v>#N/A</v>
        <stp/>
        <stp>COT</stp>
        <stp>BRKM5</stp>
        <stp>PrcVda</stp>
        <tr r="Y18" s="1"/>
      </tp>
      <tp t="e">
        <v>#N/A</v>
        <stp/>
        <stp>COT</stp>
        <stp>PRIO3</stp>
        <stp>PrcVda</stp>
        <tr r="Y64" s="1"/>
      </tp>
      <tp t="e">
        <v>#N/A</v>
        <stp/>
        <stp>COT</stp>
        <stp>BTOW3</stp>
        <stp>VarPer</stp>
        <tr r="V20" s="1"/>
      </tp>
      <tp t="e">
        <v>#N/A</v>
        <stp/>
        <stp>COT</stp>
        <stp>MRFG3</stp>
        <stp>PrcVda</stp>
        <tr r="Y57" s="1"/>
      </tp>
      <tp t="e">
        <v>#N/A</v>
        <stp/>
        <stp>COT</stp>
        <stp>CRFB3</stp>
        <stp>PrcVda</stp>
        <tr r="Y26" s="1"/>
      </tp>
      <tp t="e">
        <v>#N/A</v>
        <stp/>
        <stp>COT</stp>
        <stp>BRFS3</stp>
        <stp>PrcVda</stp>
        <tr r="Y17" s="1"/>
      </tp>
      <tp t="e">
        <v>#N/A</v>
        <stp/>
        <stp>COT</stp>
        <stp>LREN3</stp>
        <stp>PrcVda</stp>
        <tr r="Y55" s="1"/>
      </tp>
      <tp t="e">
        <v>#N/A</v>
        <stp/>
        <stp>COT</stp>
        <stp>NTCO3</stp>
        <stp>VarPer</stp>
        <tr r="V60" s="1"/>
      </tp>
      <tp t="e">
        <v>#N/A</v>
        <stp/>
        <stp>COT</stp>
        <stp>UGPA3</stp>
        <stp>PrcCpa</stp>
        <tr r="X76" s="1"/>
      </tp>
      <tp t="e">
        <v>#N/A</v>
        <stp/>
        <stp>COT</stp>
        <stp>BRDT3</stp>
        <stp>PrcVda</stp>
        <tr r="Y16" s="1"/>
      </tp>
      <tp t="e">
        <v>#N/A</v>
        <stp/>
        <stp>COT</stp>
        <stp>IRBR3</stp>
        <stp>PrcVda</stp>
        <tr r="Y49" s="1"/>
      </tp>
      <tp t="e">
        <v>#N/A</v>
        <stp/>
        <stp>COT</stp>
        <stp>BRAP4</stp>
        <stp>PrcVda</stp>
        <tr r="Y15" s="1"/>
      </tp>
      <tp t="e">
        <v>#N/A</v>
        <stp/>
        <stp>COT</stp>
        <stp>IGTA3</stp>
        <stp>PrcCpa</stp>
        <tr r="X48" s="1"/>
      </tp>
      <tp t="e">
        <v>#N/A</v>
        <stp/>
        <stp>COT</stp>
        <stp>HGTX3</stp>
        <stp>PrcCpa</stp>
        <tr r="X46" s="1"/>
      </tp>
      <tp t="e">
        <v>#N/A</v>
        <stp/>
        <stp>COT</stp>
        <stp>BBDC4</stp>
        <stp>VarVarPer</stp>
        <tr r="W11" s="1"/>
      </tp>
      <tp t="e">
        <v>#N/A</v>
        <stp/>
        <stp>COT</stp>
        <stp>ECOR3</stp>
        <stp>VarVarPer</stp>
        <tr r="W31" s="1"/>
      </tp>
      <tp t="e">
        <v>#N/A</v>
        <stp/>
        <stp>COT</stp>
        <stp>EGIE3</stp>
        <stp>VarVarPer</stp>
        <tr r="W32" s="1"/>
      </tp>
      <tp t="e">
        <v>#N/A</v>
        <stp/>
        <stp>COT</stp>
        <stp>ENBR3</stp>
        <stp>VarVarPer</stp>
        <tr r="W36" s="1"/>
      </tp>
      <tp t="e">
        <v>#N/A</v>
        <stp/>
        <stp>COT</stp>
        <stp>ELET3</stp>
        <stp>VarVarPer</stp>
        <tr r="W33" s="1"/>
      </tp>
      <tp t="e">
        <v>#N/A</v>
        <stp/>
        <stp>COT</stp>
        <stp>EMBR3</stp>
        <stp>VarVarPer</stp>
        <tr r="W35" s="1"/>
      </tp>
      <tp t="e">
        <v>#N/A</v>
        <stp/>
        <stp>COT</stp>
        <stp>BRAP4</stp>
        <stp>VarVarPer</stp>
        <tr r="W15" s="1"/>
      </tp>
      <tp t="e">
        <v>#N/A</v>
        <stp/>
        <stp>COT</stp>
        <stp>EQTL3</stp>
        <stp>VarVarPer</stp>
        <tr r="W38" s="1"/>
      </tp>
      <tp t="e">
        <v>#N/A</v>
        <stp/>
        <stp>COT</stp>
        <stp>EZTC3</stp>
        <stp>VarVarPer</stp>
        <tr r="W39" s="1"/>
      </tp>
      <tp t="e">
        <v>#N/A</v>
        <stp/>
        <stp>COT</stp>
        <stp>SUZB3</stp>
        <stp>VarPer</stp>
        <tr r="V72" s="1"/>
      </tp>
      <tp t="e">
        <v>#N/A</v>
        <stp/>
        <stp>COT</stp>
        <stp>CSNA3</stp>
        <stp>PrcVda</stp>
        <tr r="Y28" s="1"/>
      </tp>
      <tp t="e">
        <v>#N/A</v>
        <stp/>
        <stp>COT</stp>
        <stp>MULT3</stp>
        <stp>VarPer</stp>
        <tr r="V59" s="1"/>
      </tp>
      <tp t="e">
        <v>#N/A</v>
        <stp/>
        <stp>COT</stp>
        <stp>USIM5</stp>
        <stp>PrcVda</stp>
        <tr r="Y77" s="1"/>
      </tp>
      <tp t="e">
        <v>#N/A</v>
        <stp/>
        <stp>COT</stp>
        <stp>QUAL3</stp>
        <stp>VarPer</stp>
        <tr r="V65" s="1"/>
      </tp>
      <tp t="e">
        <v>#N/A</v>
        <stp/>
        <stp>COT</stp>
        <stp>CSAN3</stp>
        <stp>PrcVda</stp>
        <tr r="Y27" s="1"/>
      </tp>
      <tp t="e">
        <v>#N/A</v>
        <stp/>
        <stp>COT</stp>
        <stp>MRFG3</stp>
        <stp>Desc</stp>
        <tr r="AE57" s="1"/>
      </tp>
      <tp t="e">
        <v>#N/A</v>
        <stp/>
        <stp>COT</stp>
        <stp>CMIG4</stp>
        <stp>Desc</stp>
        <tr r="AE23" s="1"/>
      </tp>
      <tp t="e">
        <v>#N/A</v>
        <stp/>
        <stp>COT</stp>
        <stp>MRFG3</stp>
        <stp>Fech</stp>
        <tr r="Z57" s="1"/>
      </tp>
      <tp t="e">
        <v>#N/A</v>
        <stp/>
        <stp>COT</stp>
        <stp>CMIG4</stp>
        <stp>Fech</stp>
        <tr r="Z23" s="1"/>
      </tp>
      <tp t="e">
        <v>#N/A</v>
        <stp/>
        <stp>COT</stp>
        <stp>BPAC11</stp>
        <stp>Abert</stp>
        <tr r="AA14" s="1"/>
      </tp>
      <tp t="e">
        <v>#N/A</v>
        <stp/>
        <stp>COT</stp>
        <stp>BBDC3</stp>
        <stp>VarVarPer</stp>
        <tr r="W10" s="1"/>
      </tp>
      <tp t="e">
        <v>#N/A</v>
        <stp/>
        <stp>COT</stp>
        <stp>BBAS3</stp>
        <stp>VarVarPer</stp>
        <tr r="W9" s="1"/>
      </tp>
      <tp t="e">
        <v>#N/A</v>
        <stp/>
        <stp>COT</stp>
        <stp>BBSE3</stp>
        <stp>VarVarPer</stp>
        <tr r="W12" s="1"/>
        <tr r="W13" s="1"/>
      </tp>
      <tp t="e">
        <v>#N/A</v>
        <stp/>
        <stp>COT</stp>
        <stp>BRML3</stp>
        <stp>VarVarPer</stp>
        <tr r="W19" s="1"/>
      </tp>
      <tp t="e">
        <v>#N/A</v>
        <stp/>
        <stp>COT</stp>
        <stp>BRFS3</stp>
        <stp>VarVarPer</stp>
        <tr r="W17" s="1"/>
      </tp>
      <tp t="e">
        <v>#N/A</v>
        <stp/>
        <stp>COT</stp>
        <stp>BRDT3</stp>
        <stp>VarVarPer</stp>
        <tr r="W16" s="1"/>
      </tp>
      <tp t="e">
        <v>#N/A</v>
        <stp/>
        <stp>COT</stp>
        <stp>BTOW3</stp>
        <stp>VarVarPer</stp>
        <tr r="W20" s="1"/>
      </tp>
      <tp t="e">
        <v>#N/A</v>
        <stp/>
        <stp>COT</stp>
        <stp>RAIL3</stp>
        <stp>PrcCpa</stp>
        <tr r="X67" s="1"/>
      </tp>
      <tp t="e">
        <v>#N/A</v>
        <stp/>
        <stp>COT</stp>
        <stp>LAME4</stp>
        <stp>PrcCpa</stp>
        <tr r="X54" s="1"/>
      </tp>
      <tp t="e">
        <v>#N/A</v>
        <stp/>
        <stp>COT</stp>
        <stp>VALE3</stp>
        <stp>PrcCpa</stp>
        <tr r="X78" s="1"/>
      </tp>
      <tp t="e">
        <v>#N/A</v>
        <stp/>
        <stp>COT</stp>
        <stp>ITUB4</stp>
        <stp>PrcVda</stp>
        <tr r="Y51" s="1"/>
      </tp>
      <tp t="e">
        <v>#N/A</v>
        <stp/>
        <stp>COT</stp>
        <stp>ITSA4</stp>
        <stp>PrcVda</stp>
        <tr r="Y50" s="1"/>
      </tp>
      <tp t="e">
        <v>#N/A</v>
        <stp/>
        <stp>COT</stp>
        <stp>MRVE3</stp>
        <stp>VarPer</stp>
        <tr r="V58" s="1"/>
      </tp>
      <tp t="e">
        <v>#N/A</v>
        <stp/>
        <stp>COT</stp>
        <stp>RADL3</stp>
        <stp>PrcCpa</stp>
        <tr r="X66" s="1"/>
      </tp>
      <tp t="e">
        <v>#N/A</v>
        <stp/>
        <stp>COT</stp>
        <stp>BTOW3</stp>
        <stp>PrcVda</stp>
        <tr r="Y20" s="1"/>
      </tp>
      <tp t="e">
        <v>#N/A</v>
        <stp/>
        <stp>COT</stp>
        <stp>PRIO3</stp>
        <stp>VarPer</stp>
        <tr r="V64" s="1"/>
      </tp>
      <tp t="e">
        <v>#N/A</v>
        <stp/>
        <stp>COT</stp>
        <stp>B3SA3</stp>
        <stp>VarVarPer</stp>
        <tr r="W8" s="1"/>
      </tp>
      <tp t="e">
        <v>#N/A</v>
        <stp/>
        <stp>COT</stp>
        <stp>BRKM5</stp>
        <stp>VarPer</stp>
        <tr r="V18" s="1"/>
      </tp>
      <tp t="e">
        <v>#N/A</v>
        <stp/>
        <stp>COT</stp>
        <stp>BRML3</stp>
        <stp>VarPer</stp>
        <tr r="V19" s="1"/>
      </tp>
      <tp t="e">
        <v>#N/A</v>
        <stp/>
        <stp>COT</stp>
        <stp>BRAP4</stp>
        <stp>VarPer</stp>
        <tr r="V15" s="1"/>
      </tp>
      <tp t="e">
        <v>#N/A</v>
        <stp/>
        <stp>COT</stp>
        <stp>IRBR3</stp>
        <stp>VarPer</stp>
        <tr r="V49" s="1"/>
      </tp>
      <tp t="e">
        <v>#N/A</v>
        <stp/>
        <stp>COT</stp>
        <stp>HAPV3</stp>
        <stp>PrcCpa</stp>
        <tr r="X45" s="1"/>
      </tp>
      <tp t="e">
        <v>#N/A</v>
        <stp/>
        <stp>COT</stp>
        <stp>NTCO3</stp>
        <stp>PrcVda</stp>
        <tr r="Y60" s="1"/>
      </tp>
      <tp t="e">
        <v>#N/A</v>
        <stp/>
        <stp>COT</stp>
        <stp>BRDT3</stp>
        <stp>VarPer</stp>
        <tr r="V16" s="1"/>
      </tp>
      <tp t="e">
        <v>#N/A</v>
        <stp/>
        <stp>COT</stp>
        <stp>LREN3</stp>
        <stp>VarPer</stp>
        <tr r="V55" s="1"/>
      </tp>
      <tp t="e">
        <v>#N/A</v>
        <stp/>
        <stp>COT</stp>
        <stp>MRFG3</stp>
        <stp>VarPer</stp>
        <tr r="V57" s="1"/>
      </tp>
      <tp t="e">
        <v>#N/A</v>
        <stp/>
        <stp>COT</stp>
        <stp>CRFB3</stp>
        <stp>VarPer</stp>
        <tr r="V26" s="1"/>
      </tp>
      <tp t="e">
        <v>#N/A</v>
        <stp/>
        <stp>COT</stp>
        <stp>BRFS3</stp>
        <stp>VarPer</stp>
        <tr r="V17" s="1"/>
      </tp>
      <tp t="e">
        <v>#N/A</v>
        <stp/>
        <stp>COT</stp>
        <stp>BPAC11</stp>
        <stp>Media</stp>
        <tr r="AC14" s="1"/>
      </tp>
      <tp t="e">
        <v>#N/A</v>
        <stp/>
        <stp>COT</stp>
        <stp>CCRO3</stp>
        <stp>VarVarPer</stp>
        <tr r="W21" s="1"/>
      </tp>
      <tp t="e">
        <v>#N/A</v>
        <stp/>
        <stp>COT</stp>
        <stp>CIEL3</stp>
        <stp>VarVarPer</stp>
        <tr r="W22" s="1"/>
      </tp>
      <tp t="e">
        <v>#N/A</v>
        <stp/>
        <stp>COT</stp>
        <stp>COGN3</stp>
        <stp>VarVarPer</stp>
        <tr r="W24" s="1"/>
      </tp>
      <tp t="e">
        <v>#N/A</v>
        <stp/>
        <stp>COT</stp>
        <stp>CRFB3</stp>
        <stp>VarVarPer</stp>
        <tr r="W26" s="1"/>
      </tp>
      <tp t="e">
        <v>#N/A</v>
        <stp/>
        <stp>COT</stp>
        <stp>CSNA3</stp>
        <stp>VarVarPer</stp>
        <tr r="W28" s="1"/>
      </tp>
      <tp t="e">
        <v>#N/A</v>
        <stp/>
        <stp>COT</stp>
        <stp>CSAN3</stp>
        <stp>VarVarPer</stp>
        <tr r="W27" s="1"/>
      </tp>
      <tp t="e">
        <v>#N/A</v>
        <stp/>
        <stp>COT</stp>
        <stp>CPFE3</stp>
        <stp>VarVarPer</stp>
        <tr r="W25" s="1"/>
      </tp>
      <tp t="e">
        <v>#N/A</v>
        <stp/>
        <stp>COT</stp>
        <stp>CVCB3</stp>
        <stp>VarVarPer</stp>
        <tr r="W29" s="1"/>
      </tp>
      <tp t="e">
        <v>#N/A</v>
        <stp/>
        <stp>COT</stp>
        <stp>CYRE3</stp>
        <stp>VarVarPer</stp>
        <tr r="W30" s="1"/>
      </tp>
      <tp t="e">
        <v>#N/A</v>
        <stp/>
        <stp>COT</stp>
        <stp>SUZB3</stp>
        <stp>PrcVda</stp>
        <tr r="Y72" s="1"/>
      </tp>
      <tp t="e">
        <v>#N/A</v>
        <stp/>
        <stp>COT</stp>
        <stp>USIM5</stp>
        <stp>VarPer</stp>
        <tr r="V77" s="1"/>
      </tp>
      <tp t="e">
        <v>#N/A</v>
        <stp/>
        <stp>COT</stp>
        <stp>MULT3</stp>
        <stp>PrcVda</stp>
        <tr r="Y59" s="1"/>
      </tp>
      <tp t="e">
        <v>#N/A</v>
        <stp/>
        <stp>COT</stp>
        <stp>CSNA3</stp>
        <stp>VarPer</stp>
        <tr r="V28" s="1"/>
      </tp>
      <tp t="e">
        <v>#N/A</v>
        <stp/>
        <stp>COT</stp>
        <stp>CSAN3</stp>
        <stp>VarPer</stp>
        <tr r="V27" s="1"/>
      </tp>
      <tp t="e">
        <v>#N/A</v>
        <stp/>
        <stp>COT</stp>
        <stp>QUAL3</stp>
        <stp>PrcVda</stp>
        <tr r="Y65" s="1"/>
      </tp>
      <tp t="e">
        <v>#N/A</v>
        <stp/>
        <stp>COT</stp>
        <stp>MRVE3</stp>
        <stp>Desc</stp>
        <tr r="AE58" s="1"/>
      </tp>
      <tp t="e">
        <v>#N/A</v>
        <stp/>
        <stp>COT</stp>
        <stp>LAME4</stp>
        <stp>Desc</stp>
        <tr r="AE54" s="1"/>
      </tp>
      <tp t="e">
        <v>#N/A</v>
        <stp/>
        <stp>COT</stp>
        <stp>HYPE3</stp>
        <stp>Desc</stp>
        <tr r="AE47" s="1"/>
      </tp>
      <tp t="e">
        <v>#N/A</v>
        <stp/>
        <stp>COT</stp>
        <stp>WEGE3</stp>
        <stp>Fech</stp>
        <tr r="Z81" s="1"/>
      </tp>
      <tp t="e">
        <v>#N/A</v>
        <stp/>
        <stp>COT</stp>
        <stp>VALE3</stp>
        <stp>Fech</stp>
        <tr r="Z78" s="1"/>
      </tp>
      <tp t="e">
        <v>#N/A</v>
        <stp/>
        <stp>COT</stp>
        <stp>EGIE3</stp>
        <stp>Desc</stp>
        <tr r="AE32" s="1"/>
      </tp>
      <tp t="e">
        <v>#N/A</v>
        <stp/>
        <stp>COT</stp>
        <stp>CYRE3</stp>
        <stp>Desc</stp>
        <tr r="AE30" s="1"/>
      </tp>
      <tp t="e">
        <v>#N/A</v>
        <stp/>
        <stp>COT</stp>
        <stp>CPFE3</stp>
        <stp>Desc</stp>
        <tr r="AE25" s="1"/>
      </tp>
      <tp t="e">
        <v>#N/A</v>
        <stp/>
        <stp>COT</stp>
        <stp>BBSE3</stp>
        <stp>Desc</stp>
        <tr r="AE12" s="1"/>
        <tr r="AE13" s="1"/>
      </tp>
      <tp t="e">
        <v>#N/A</v>
        <stp/>
        <stp>COT</stp>
        <stp>MRVE3</stp>
        <stp>Fech</stp>
        <tr r="Z58" s="1"/>
      </tp>
      <tp t="e">
        <v>#N/A</v>
        <stp/>
        <stp>COT</stp>
        <stp>LAME4</stp>
        <stp>Fech</stp>
        <tr r="Z54" s="1"/>
      </tp>
      <tp t="e">
        <v>#N/A</v>
        <stp/>
        <stp>COT</stp>
        <stp>HYPE3</stp>
        <stp>Fech</stp>
        <tr r="Z47" s="1"/>
      </tp>
      <tp t="e">
        <v>#N/A</v>
        <stp/>
        <stp>COT</stp>
        <stp>WEGE3</stp>
        <stp>Desc</stp>
        <tr r="AE81" s="1"/>
      </tp>
      <tp t="e">
        <v>#N/A</v>
        <stp/>
        <stp>COT</stp>
        <stp>VALE3</stp>
        <stp>Desc</stp>
        <tr r="AE78" s="1"/>
      </tp>
      <tp t="e">
        <v>#N/A</v>
        <stp/>
        <stp>COT</stp>
        <stp>EGIE3</stp>
        <stp>Fech</stp>
        <tr r="Z32" s="1"/>
      </tp>
      <tp t="e">
        <v>#N/A</v>
        <stp/>
        <stp>COT</stp>
        <stp>CPFE3</stp>
        <stp>Fech</stp>
        <tr r="Z25" s="1"/>
      </tp>
      <tp t="e">
        <v>#N/A</v>
        <stp/>
        <stp>COT</stp>
        <stp>CYRE3</stp>
        <stp>Fech</stp>
        <tr r="Z30" s="1"/>
      </tp>
      <tp t="e">
        <v>#N/A</v>
        <stp/>
        <stp>COT</stp>
        <stp>BBSE3</stp>
        <stp>Fech</stp>
        <tr r="Z12" s="1"/>
        <tr r="Z13" s="1"/>
      </tp>
      <tp t="e">
        <v>#N/A</v>
        <stp/>
        <stp>COT</stp>
        <stp>GGBR4</stp>
        <stp>VarVarPer</stp>
        <tr r="W41" s="1"/>
      </tp>
      <tp t="e">
        <v>#N/A</v>
        <stp/>
        <stp>COT</stp>
        <stp>GOLL4</stp>
        <stp>VarVarPer</stp>
        <tr r="W44" s="1"/>
      </tp>
      <tp t="e">
        <v>#N/A</v>
        <stp/>
        <stp>COT</stp>
        <stp>GOAU4</stp>
        <stp>VarVarPer</stp>
        <tr r="W43" s="1"/>
      </tp>
      <tp t="e">
        <v>#N/A</v>
        <stp/>
        <stp>COT</stp>
        <stp>ELET6</stp>
        <stp>VarVarPer</stp>
        <tr r="W34" s="1"/>
      </tp>
      <tp t="e">
        <v>#N/A</v>
        <stp/>
        <stp>COT</stp>
        <stp>ECOR3</stp>
        <stp>PrcCpa</stp>
        <tr r="X31" s="1"/>
      </tp>
      <tp t="e">
        <v>#N/A</v>
        <stp/>
        <stp>COT</stp>
        <stp>PCAR3</stp>
        <stp>PrcCpa</stp>
        <tr r="X61" s="1"/>
      </tp>
      <tp t="e">
        <v>#N/A</v>
        <stp/>
        <stp>COT</stp>
        <stp>CCRO3</stp>
        <stp>PrcCpa</stp>
        <tr r="X21" s="1"/>
      </tp>
      <tp t="e">
        <v>#N/A</v>
        <stp/>
        <stp>COT</stp>
        <stp>CVCB3</stp>
        <stp>PrcVda</stp>
        <tr r="Y29" s="1"/>
      </tp>
      <tp t="e">
        <v>#N/A</v>
        <stp/>
        <stp>COT</stp>
        <stp>CPFE3</stp>
        <stp>VarPer</stp>
        <tr r="V25" s="1"/>
      </tp>
      <tp t="e">
        <v>#N/A</v>
        <stp/>
        <stp>COT</stp>
        <stp>VVAR3</stp>
        <stp>PrcVda</stp>
        <tr r="Y80" s="1"/>
      </tp>
      <tp t="e">
        <v>#N/A</v>
        <stp/>
        <stp>COT</stp>
        <stp>ABEV3</stp>
        <stp>VarVarPer</stp>
        <tr r="W6" s="1"/>
      </tp>
      <tp t="e">
        <v>#N/A</v>
        <stp/>
        <stp>COT</stp>
        <stp>FRP0</stp>
        <stp>ULT</stp>
        <tr r="I1" s="1"/>
      </tp>
      <tp t="e">
        <v>#N/A</v>
        <stp/>
        <stp>COT</stp>
        <stp>BBAS3</stp>
        <stp>PrcCpa</stp>
        <tr r="X9" s="1"/>
      </tp>
      <tp t="e">
        <v>#N/A</v>
        <stp/>
        <stp>COT</stp>
        <stp>EQTL3</stp>
        <stp>VarPer</stp>
        <tr r="V38" s="1"/>
      </tp>
      <tp t="e">
        <v>#N/A</v>
        <stp/>
        <stp>COT</stp>
        <stp>ABEV3</stp>
        <stp>PrcCpa</stp>
        <tr r="X6" s="1"/>
      </tp>
      <tp t="e">
        <v>#N/A</v>
        <stp/>
        <stp>COT</stp>
        <stp>BBDC4</stp>
        <stp>PrcCpa</stp>
        <tr r="X11" s="1"/>
      </tp>
      <tp t="e">
        <v>#N/A</v>
        <stp/>
        <stp>COT</stp>
        <stp>BBDC3</stp>
        <stp>PrcCpa</stp>
        <tr r="X10" s="1"/>
      </tp>
      <tp t="e">
        <v>#N/A</v>
        <stp/>
        <stp>COT</stp>
        <stp>BBSE3</stp>
        <stp>PrcCpa</stp>
        <tr r="X13" s="1"/>
        <tr r="X12" s="1"/>
      </tp>
      <tp t="e">
        <v>#N/A</v>
        <stp/>
        <stp>COT</stp>
        <stp>SBSP3</stp>
        <stp>PrcCpa</stp>
        <tr r="X70" s="1"/>
      </tp>
      <tp t="e">
        <v>#N/A</v>
        <stp/>
        <stp>COT</stp>
        <stp>JBSS3</stp>
        <stp>PrcCpa</stp>
        <tr r="X52" s="1"/>
      </tp>
      <tp t="e">
        <v>#N/A</v>
        <stp/>
        <stp>COT</stp>
        <stp>indfut</stp>
        <stp>VarVarPer</stp>
        <tr r="L92" s="1"/>
        <tr r="E2" s="1"/>
        <tr r="H2" s="1"/>
        <tr r="X90" s="1"/>
      </tp>
      <tp t="e">
        <v>#N/A</v>
        <stp/>
        <stp>COT</stp>
        <stp>ENGI11</stp>
        <stp>Vol</stp>
        <tr r="AF37" s="1"/>
      </tp>
      <tp t="e">
        <v>#N/A</v>
        <stp/>
        <stp>COT</stp>
        <stp>KLBN11</stp>
        <stp>Vol</stp>
        <tr r="AF53" s="1"/>
      </tp>
      <tp t="e">
        <v>#N/A</v>
        <stp/>
        <stp>COT</stp>
        <stp>KLBN11</stp>
        <stp>Ult</stp>
        <tr r="U53" s="1"/>
      </tp>
      <tp t="e">
        <v>#N/A</v>
        <stp/>
        <stp>COT</stp>
        <stp>BPAC11</stp>
        <stp>Vol</stp>
        <tr r="AF14" s="1"/>
      </tp>
      <tp t="e">
        <v>#N/A</v>
        <stp/>
        <stp>COT</stp>
        <stp>SULA11</stp>
        <stp>Ult</stp>
        <tr r="U71" s="1"/>
      </tp>
      <tp t="e">
        <v>#N/A</v>
        <stp/>
        <stp>COT</stp>
        <stp>SANB11</stp>
        <stp>Vol</stp>
        <tr r="AF69" s="1"/>
      </tp>
      <tp t="e">
        <v>#N/A</v>
        <stp/>
        <stp>COT</stp>
        <stp>SANB11</stp>
        <stp>Ult</stp>
        <tr r="U69" s="1"/>
      </tp>
      <tp t="e">
        <v>#N/A</v>
        <stp/>
        <stp>COT</stp>
        <stp>SULA11</stp>
        <stp>Vol</stp>
        <tr r="AF71" s="1"/>
      </tp>
      <tp t="e">
        <v>#N/A</v>
        <stp/>
        <stp>COT</stp>
        <stp>BPAC11</stp>
        <stp>Ult</stp>
        <tr r="U14" s="1"/>
      </tp>
      <tp t="e">
        <v>#N/A</v>
        <stp/>
        <stp>COT</stp>
        <stp>TAEE11</stp>
        <stp>Ult</stp>
        <tr r="U73" s="1"/>
      </tp>
      <tp t="e">
        <v>#N/A</v>
        <stp/>
        <stp>COT</stp>
        <stp>TAEE11</stp>
        <stp>Vol</stp>
        <tr r="AF73" s="1"/>
      </tp>
      <tp t="e">
        <v>#N/A</v>
        <stp/>
        <stp>COT</stp>
        <stp>DOLFUT</stp>
        <stp>ULT</stp>
        <tr r="I2" s="1"/>
      </tp>
      <tp t="e">
        <v>#N/A</v>
        <stp/>
        <stp>COT</stp>
        <stp>SULA11</stp>
        <stp>Min</stp>
        <tr r="AB71" s="1"/>
      </tp>
      <tp t="e">
        <v>#N/A</v>
        <stp/>
        <stp>COT</stp>
        <stp>SULA11</stp>
        <stp>Max</stp>
        <tr r="AD71" s="1"/>
      </tp>
      <tp t="e">
        <v>#N/A</v>
        <stp/>
        <stp>COT</stp>
        <stp>SANB11</stp>
        <stp>Min</stp>
        <tr r="AB69" s="1"/>
      </tp>
      <tp t="e">
        <v>#N/A</v>
        <stp/>
        <stp>COT</stp>
        <stp>SANB11</stp>
        <stp>Max</stp>
        <tr r="AD69" s="1"/>
      </tp>
      <tp t="e">
        <v>#N/A</v>
        <stp/>
        <stp>COT</stp>
        <stp>YDUQ3</stp>
        <stp>FechAj</stp>
        <tr r="U77" s="2"/>
      </tp>
      <tp t="e">
        <v>#N/A</v>
        <stp/>
        <stp>COT</stp>
        <stp>BPAC11</stp>
        <stp>Min</stp>
        <tr r="AB14" s="1"/>
      </tp>
      <tp t="e">
        <v>#N/A</v>
        <stp/>
        <stp>COT</stp>
        <stp>BPAC11</stp>
        <stp>Max</stp>
        <tr r="AD14" s="1"/>
      </tp>
      <tp t="e">
        <v>#N/A</v>
        <stp/>
        <stp>COT</stp>
        <stp>TAEE11</stp>
        <stp>Min</stp>
        <tr r="AB73" s="1"/>
      </tp>
      <tp t="e">
        <v>#N/A</v>
        <stp/>
        <stp>COT</stp>
        <stp>TAEE11</stp>
        <stp>Max</stp>
        <tr r="AD73" s="1"/>
      </tp>
      <tp t="e">
        <v>#N/A</v>
        <stp/>
        <stp>COT</stp>
        <stp>indfut</stp>
        <stp>Fech</stp>
        <tr r="AA90" s="1"/>
      </tp>
      <tp t="e">
        <v>#N/A</v>
        <stp/>
        <stp>COT</stp>
        <stp>ENGI11</stp>
        <stp>Min</stp>
        <tr r="AB37" s="1"/>
      </tp>
      <tp t="e">
        <v>#N/A</v>
        <stp/>
        <stp>COT</stp>
        <stp>ENGI11</stp>
        <stp>Max</stp>
        <tr r="AD37" s="1"/>
      </tp>
      <tp t="e">
        <v>#N/A</v>
        <stp/>
        <stp>COT</stp>
        <stp>KLBN11</stp>
        <stp>Max</stp>
        <tr r="AD53" s="1"/>
      </tp>
      <tp t="e">
        <v>#N/A</v>
        <stp/>
        <stp>COT</stp>
        <stp>KLBN11</stp>
        <stp>Min</stp>
        <tr r="AB53" s="1"/>
      </tp>
      <tp t="e">
        <v>#N/A</v>
        <stp/>
        <stp>COT</stp>
        <stp>YDUQ3</stp>
        <stp>AjPUAnt</stp>
        <tr r="T77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GOL" ddeTopic="COT">
    <ddeItems>
      <ddeItem name="PCAR4.OCP" advise="1">
        <values>
          <value>
            <val>0</val>
          </value>
        </values>
      </ddeItem>
      <ddeItem name="PCAR4.OVD" advise="1">
        <values>
          <value>
            <val>0</val>
          </value>
        </values>
      </ddeItem>
      <ddeItem name="PCAR4.ULT" advise="1">
        <values>
          <value>
            <val>0</val>
          </value>
        </values>
      </ddeItem>
      <ddeItem name="PCAR4.VAR" advise="1">
        <values>
          <value>
            <val>0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vmf.bmfbovespa.com.br/indices/ResumoCarteiraQuadrimestre.aspx?Indice=IBOV&amp;idioma=pt-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3"/>
  <sheetViews>
    <sheetView showGridLines="0" tabSelected="1" zoomScaleNormal="100" workbookViewId="0">
      <selection activeCell="C13" sqref="C13"/>
    </sheetView>
  </sheetViews>
  <sheetFormatPr defaultColWidth="9.109375" defaultRowHeight="14.4" x14ac:dyDescent="0.3"/>
  <cols>
    <col min="1" max="1" width="8.109375" style="25" bestFit="1" customWidth="1"/>
    <col min="2" max="2" width="18.6640625" style="8" customWidth="1"/>
    <col min="3" max="3" width="20.88671875" style="2" customWidth="1"/>
    <col min="4" max="4" width="11.5546875" style="2" customWidth="1"/>
    <col min="5" max="5" width="14.109375" style="2" bestFit="1" customWidth="1"/>
    <col min="6" max="6" width="13.44140625" style="2" bestFit="1" customWidth="1"/>
    <col min="7" max="7" width="16.6640625" style="8" bestFit="1" customWidth="1"/>
    <col min="8" max="8" width="22.44140625" style="2" bestFit="1" customWidth="1"/>
    <col min="9" max="9" width="15.109375" style="2" bestFit="1" customWidth="1"/>
    <col min="10" max="10" width="19.44140625" style="44" bestFit="1" customWidth="1"/>
    <col min="11" max="11" width="20.5546875" style="2" bestFit="1" customWidth="1"/>
    <col min="12" max="12" width="20.6640625" style="2" bestFit="1" customWidth="1"/>
    <col min="13" max="13" width="21" style="2" bestFit="1" customWidth="1"/>
    <col min="14" max="14" width="20.5546875" style="2" bestFit="1" customWidth="1"/>
    <col min="15" max="15" width="10.33203125" style="57" bestFit="1" customWidth="1"/>
    <col min="16" max="16" width="19.5546875" style="58" bestFit="1" customWidth="1"/>
    <col min="17" max="17" width="8.6640625" style="58" bestFit="1" customWidth="1"/>
    <col min="18" max="18" width="17.44140625" style="58" bestFit="1" customWidth="1"/>
    <col min="19" max="19" width="18.88671875" style="61" bestFit="1" customWidth="1"/>
    <col min="20" max="20" width="10.88671875" style="2" bestFit="1" customWidth="1"/>
    <col min="21" max="21" width="8.6640625" style="3" bestFit="1" customWidth="1"/>
    <col min="22" max="22" width="18.6640625" style="3" bestFit="1" customWidth="1"/>
    <col min="23" max="23" width="16.33203125" style="3" bestFit="1" customWidth="1"/>
    <col min="24" max="24" width="11.88671875" style="3" bestFit="1" customWidth="1"/>
    <col min="25" max="25" width="9.5546875" style="3" bestFit="1" customWidth="1"/>
    <col min="26" max="26" width="13.5546875" style="3" bestFit="1" customWidth="1"/>
    <col min="27" max="27" width="10.33203125" style="3" bestFit="1" customWidth="1"/>
    <col min="28" max="30" width="9.5546875" style="3" bestFit="1" customWidth="1"/>
    <col min="31" max="31" width="16.5546875" style="2" bestFit="1" customWidth="1"/>
    <col min="32" max="32" width="14.33203125" style="2" bestFit="1" customWidth="1"/>
    <col min="33" max="34" width="9.33203125" style="2" bestFit="1" customWidth="1"/>
    <col min="35" max="35" width="16.5546875" style="2" bestFit="1" customWidth="1"/>
    <col min="36" max="36" width="15.33203125" style="2" bestFit="1" customWidth="1"/>
    <col min="37" max="16384" width="9.109375" style="2"/>
  </cols>
  <sheetData>
    <row r="1" spans="1:35" ht="15" thickBot="1" x14ac:dyDescent="0.35">
      <c r="B1" s="11" t="s">
        <v>166</v>
      </c>
      <c r="C1" s="12" t="s">
        <v>168</v>
      </c>
      <c r="D1" s="52"/>
      <c r="E1" s="13" t="s">
        <v>171</v>
      </c>
      <c r="F1" s="22" t="e">
        <f>RTD("tryd.rtdserver",,"COT","DOLfut","Ult")</f>
        <v>#N/A</v>
      </c>
      <c r="G1" s="14" t="e">
        <f>(E4/((F1-I1)/100))</f>
        <v>#N/A</v>
      </c>
      <c r="H1" s="10" t="e">
        <f>(C4/(I2/100))</f>
        <v>#N/A</v>
      </c>
      <c r="I1" s="73" t="e">
        <f>RTD("tryd.rtdserver",,"COT","FRP0","ULT")</f>
        <v>#N/A</v>
      </c>
    </row>
    <row r="2" spans="1:35" ht="21.6" thickBot="1" x14ac:dyDescent="0.45">
      <c r="B2" s="15"/>
      <c r="C2" s="29" t="e">
        <f>K93</f>
        <v>#N/A</v>
      </c>
      <c r="D2" s="29"/>
      <c r="E2" s="17" t="e">
        <f>RTD("tryd.rtdserver",,"COT","indfut","VarVarPer")</f>
        <v>#N/A</v>
      </c>
      <c r="F2" s="21" t="s">
        <v>172</v>
      </c>
      <c r="G2" s="65" t="e">
        <f>RTD("tryd.rtdserver",,"COT","indfut","Ult")</f>
        <v>#N/A</v>
      </c>
      <c r="H2" s="23" t="e">
        <f>RTD("tryd.rtdserver",,"COT","indfut","VarVarPer")</f>
        <v>#N/A</v>
      </c>
      <c r="I2" s="73" t="e">
        <f>RTD("tryd.rtdserver",,"COT","DOLFUT","ULT")</f>
        <v>#N/A</v>
      </c>
      <c r="K2" s="10" t="e">
        <f>(C4/I2)*1000</f>
        <v>#N/A</v>
      </c>
    </row>
    <row r="3" spans="1:35" ht="15" thickBot="1" x14ac:dyDescent="0.35">
      <c r="B3" s="11" t="s">
        <v>167</v>
      </c>
      <c r="C3" s="12" t="s">
        <v>168</v>
      </c>
      <c r="D3" s="12"/>
      <c r="E3" s="20" t="s">
        <v>169</v>
      </c>
      <c r="F3" s="19" t="s">
        <v>170</v>
      </c>
      <c r="G3" s="16" t="s">
        <v>171</v>
      </c>
      <c r="H3" s="10" t="e">
        <f>((C4/F4)-1)*100</f>
        <v>#N/A</v>
      </c>
      <c r="I3" s="10"/>
    </row>
    <row r="4" spans="1:35" ht="21.6" thickBot="1" x14ac:dyDescent="0.45">
      <c r="B4" s="18"/>
      <c r="C4" s="28" t="e">
        <f>L90</f>
        <v>#N/A</v>
      </c>
      <c r="D4" s="28"/>
      <c r="E4" s="55" t="e">
        <f>M90</f>
        <v>#N/A</v>
      </c>
      <c r="F4" s="56" t="e">
        <f>N90</f>
        <v>#N/A</v>
      </c>
      <c r="G4" s="72" t="e">
        <f>RTD("tryd.rtdserver",,"COT","IBOV","VarVarPer")</f>
        <v>#N/A</v>
      </c>
      <c r="H4" s="54" t="e">
        <f>C4-G2</f>
        <v>#N/A</v>
      </c>
      <c r="I4" s="10"/>
    </row>
    <row r="5" spans="1:35" x14ac:dyDescent="0.3">
      <c r="B5" s="27" t="s">
        <v>164</v>
      </c>
      <c r="C5" s="1" t="s">
        <v>0</v>
      </c>
      <c r="D5" s="1" t="str">
        <f t="shared" ref="D5:D36" si="0">V5</f>
        <v>Var. (Var. %)</v>
      </c>
      <c r="E5" s="1" t="s">
        <v>1</v>
      </c>
      <c r="F5" s="1" t="s">
        <v>2</v>
      </c>
      <c r="G5" s="9" t="s">
        <v>164</v>
      </c>
      <c r="H5" s="1" t="s">
        <v>3</v>
      </c>
      <c r="I5" s="1"/>
      <c r="J5" s="45" t="s">
        <v>4</v>
      </c>
      <c r="K5" s="4" t="s">
        <v>151</v>
      </c>
      <c r="L5" s="5" t="s">
        <v>158</v>
      </c>
      <c r="M5" s="6" t="s">
        <v>159</v>
      </c>
      <c r="N5" s="7" t="s">
        <v>160</v>
      </c>
      <c r="O5" s="58" t="s">
        <v>186</v>
      </c>
      <c r="P5" s="58" t="s">
        <v>193</v>
      </c>
      <c r="S5" s="62"/>
      <c r="T5" s="2" t="s">
        <v>146</v>
      </c>
      <c r="U5" s="3" t="s">
        <v>147</v>
      </c>
      <c r="V5" s="3" t="s">
        <v>148</v>
      </c>
      <c r="W5" s="3" t="s">
        <v>148</v>
      </c>
      <c r="X5" s="48" t="s">
        <v>149</v>
      </c>
      <c r="Y5" s="3" t="s">
        <v>150</v>
      </c>
      <c r="Z5" s="3" t="s">
        <v>151</v>
      </c>
      <c r="AA5" s="3" t="s">
        <v>152</v>
      </c>
      <c r="AB5" s="3" t="s">
        <v>153</v>
      </c>
      <c r="AC5" s="3" t="s">
        <v>154</v>
      </c>
      <c r="AD5" s="3" t="s">
        <v>155</v>
      </c>
      <c r="AE5" s="2" t="s">
        <v>156</v>
      </c>
      <c r="AF5" s="2" t="s">
        <v>157</v>
      </c>
    </row>
    <row r="6" spans="1:35" s="24" customFormat="1" ht="15.6" x14ac:dyDescent="0.3">
      <c r="A6" s="25" t="str">
        <f t="shared" ref="A6:A37" si="1">IF(B6=C6,"CERTO","CORRIGIR")</f>
        <v>CERTO</v>
      </c>
      <c r="B6" s="30" t="s">
        <v>5</v>
      </c>
      <c r="C6" s="31" t="s">
        <v>5</v>
      </c>
      <c r="D6" s="53" t="e">
        <f t="shared" si="0"/>
        <v>#N/A</v>
      </c>
      <c r="E6" s="31" t="s">
        <v>6</v>
      </c>
      <c r="F6" s="31" t="s">
        <v>7</v>
      </c>
      <c r="G6" s="66">
        <v>4355174839</v>
      </c>
      <c r="H6" s="66">
        <v>4355174839</v>
      </c>
      <c r="I6" s="31">
        <f t="shared" ref="I6:I38" si="2">G6-H6</f>
        <v>0</v>
      </c>
      <c r="J6" s="46">
        <v>2.9239999999999999</v>
      </c>
      <c r="K6" s="33" t="e">
        <f t="shared" ref="K6:K37" si="3">H6*Z6</f>
        <v>#N/A</v>
      </c>
      <c r="L6" s="34" t="e">
        <f t="shared" ref="L6:L37" si="4">U6*H6</f>
        <v>#N/A</v>
      </c>
      <c r="M6" s="35" t="e">
        <f t="shared" ref="M6:M37" si="5">H6*X6</f>
        <v>#N/A</v>
      </c>
      <c r="N6" s="36" t="e">
        <f t="shared" ref="N6:N37" si="6">H6*Y6</f>
        <v>#N/A</v>
      </c>
      <c r="O6" s="57" t="e">
        <f t="shared" ref="O6:O37" si="7">Y6-Z6</f>
        <v>#N/A</v>
      </c>
      <c r="P6" s="58" t="e">
        <f t="shared" ref="P6:P37" si="8">IF(L6&gt;K6,"VALORIZAÇÃO","DESVALORIZAÇÃO")</f>
        <v>#N/A</v>
      </c>
      <c r="Q6" s="58" t="str">
        <f t="shared" ref="Q6:Q38" si="9">C6</f>
        <v>ABEV3</v>
      </c>
      <c r="R6" s="64" t="str">
        <f t="shared" ref="R6:R38" si="10">E6</f>
        <v>AMBEV S/A</v>
      </c>
      <c r="S6" s="61" t="e">
        <f t="shared" ref="S6:S37" si="11">L6-K6</f>
        <v>#N/A</v>
      </c>
      <c r="T6" s="24" t="s">
        <v>5</v>
      </c>
      <c r="U6" s="37" t="e">
        <f>RTD("tryd.rtdserver",,"COT","ABEV3","Ult")</f>
        <v>#N/A</v>
      </c>
      <c r="V6" s="51" t="e">
        <f>RTD("tryd.rtdserver",,"COT","ABEV3","VarPer")</f>
        <v>#N/A</v>
      </c>
      <c r="W6" s="51" t="e">
        <f>RTD("tryd.rtdserver",,"COT","ABEV3","VarVarPer")</f>
        <v>#N/A</v>
      </c>
      <c r="X6" s="49" t="e">
        <f>RTD("tryd.rtdserver",,"COT","ABEV3","PrcCpa")</f>
        <v>#N/A</v>
      </c>
      <c r="Y6" s="50" t="e">
        <f>RTD("tryd.rtdserver",,"COT","ABEV3","PrcVda")</f>
        <v>#N/A</v>
      </c>
      <c r="Z6" s="37" t="e">
        <f>RTD("tryd.rtdserver",,"COT","ABEV3","Fech")</f>
        <v>#N/A</v>
      </c>
      <c r="AA6" s="37" t="e">
        <f>RTD("tryd.rtdserver",,"COT","ABEV3","Abert")</f>
        <v>#N/A</v>
      </c>
      <c r="AB6" s="37" t="e">
        <f>RTD("tryd.rtdserver",,"COT","ABEV3","Min")</f>
        <v>#N/A</v>
      </c>
      <c r="AC6" s="37" t="e">
        <f>RTD("tryd.rtdserver",,"COT","ABEV3","Media")</f>
        <v>#N/A</v>
      </c>
      <c r="AD6" s="37" t="e">
        <f>RTD("tryd.rtdserver",,"COT","ABEV3","Max")</f>
        <v>#N/A</v>
      </c>
      <c r="AE6" s="24" t="e">
        <f>RTD("tryd.rtdserver",,"COT","ABEV3","Desc")</f>
        <v>#N/A</v>
      </c>
      <c r="AF6" s="24" t="e">
        <f>RTD("tryd.rtdserver",,"COT","ABEV3","Vol")</f>
        <v>#N/A</v>
      </c>
    </row>
    <row r="7" spans="1:35" s="24" customFormat="1" ht="15.6" x14ac:dyDescent="0.3">
      <c r="A7" s="25" t="str">
        <f t="shared" si="1"/>
        <v>CERTO</v>
      </c>
      <c r="B7" s="30" t="s">
        <v>8</v>
      </c>
      <c r="C7" s="31" t="s">
        <v>8</v>
      </c>
      <c r="D7" s="53" t="e">
        <f t="shared" si="0"/>
        <v>#N/A</v>
      </c>
      <c r="E7" s="31" t="s">
        <v>9</v>
      </c>
      <c r="F7" s="31" t="s">
        <v>10</v>
      </c>
      <c r="G7" s="66">
        <v>326903173</v>
      </c>
      <c r="H7" s="66">
        <v>326903173</v>
      </c>
      <c r="I7" s="31">
        <f t="shared" si="2"/>
        <v>0</v>
      </c>
      <c r="J7" s="46">
        <v>0.46700000000000003</v>
      </c>
      <c r="K7" s="33" t="e">
        <f t="shared" si="3"/>
        <v>#N/A</v>
      </c>
      <c r="L7" s="34" t="e">
        <f t="shared" si="4"/>
        <v>#N/A</v>
      </c>
      <c r="M7" s="35" t="e">
        <f t="shared" si="5"/>
        <v>#N/A</v>
      </c>
      <c r="N7" s="36" t="e">
        <f t="shared" si="6"/>
        <v>#N/A</v>
      </c>
      <c r="O7" s="57" t="e">
        <f t="shared" si="7"/>
        <v>#N/A</v>
      </c>
      <c r="P7" s="58" t="e">
        <f t="shared" si="8"/>
        <v>#N/A</v>
      </c>
      <c r="Q7" s="58" t="str">
        <f t="shared" si="9"/>
        <v>AZUL4</v>
      </c>
      <c r="R7" s="64" t="str">
        <f t="shared" si="10"/>
        <v>AZUL</v>
      </c>
      <c r="S7" s="61" t="e">
        <f t="shared" si="11"/>
        <v>#N/A</v>
      </c>
      <c r="T7" s="24" t="s">
        <v>8</v>
      </c>
      <c r="U7" s="37" t="e">
        <f>RTD("tryd.rtdserver",,"COT","AZUL4","Ult")</f>
        <v>#N/A</v>
      </c>
      <c r="V7" s="51" t="e">
        <f>RTD("tryd.rtdserver",,"COT","AZUL4","VarPer")</f>
        <v>#N/A</v>
      </c>
      <c r="W7" s="51" t="e">
        <f>RTD("tryd.rtdserver",,"COT","AZUL4","VarVarPer")</f>
        <v>#N/A</v>
      </c>
      <c r="X7" s="49" t="e">
        <f>RTD("tryd.rtdserver",,"COT","AZUL4","PrcCpa")</f>
        <v>#N/A</v>
      </c>
      <c r="Y7" s="50" t="e">
        <f>RTD("tryd.rtdserver",,"COT","AZUL4","PrcVda")</f>
        <v>#N/A</v>
      </c>
      <c r="Z7" s="37" t="e">
        <f>RTD("tryd.rtdserver",,"COT","AZUL4","Fech")</f>
        <v>#N/A</v>
      </c>
      <c r="AA7" s="37" t="e">
        <f>RTD("tryd.rtdserver",,"COT","AZUL4","Abert")</f>
        <v>#N/A</v>
      </c>
      <c r="AB7" s="37" t="e">
        <f>RTD("tryd.rtdserver",,"COT","AZUL4","Min")</f>
        <v>#N/A</v>
      </c>
      <c r="AC7" s="37" t="e">
        <f>RTD("tryd.rtdserver",,"COT","AZUL4","Media")</f>
        <v>#N/A</v>
      </c>
      <c r="AD7" s="37" t="e">
        <f>RTD("tryd.rtdserver",,"COT","AZUL4","Max")</f>
        <v>#N/A</v>
      </c>
      <c r="AE7" s="24" t="e">
        <f>RTD("tryd.rtdserver",,"COT","AZUL4","Desc")</f>
        <v>#N/A</v>
      </c>
      <c r="AF7" s="24" t="e">
        <f>RTD("tryd.rtdserver",,"COT","AZUL4","Vol")</f>
        <v>#N/A</v>
      </c>
    </row>
    <row r="8" spans="1:35" s="24" customFormat="1" ht="15.6" x14ac:dyDescent="0.3">
      <c r="A8" s="25" t="str">
        <f t="shared" si="1"/>
        <v>CERTO</v>
      </c>
      <c r="B8" s="30" t="s">
        <v>11</v>
      </c>
      <c r="C8" s="31" t="s">
        <v>11</v>
      </c>
      <c r="D8" s="53" t="e">
        <f t="shared" si="0"/>
        <v>#N/A</v>
      </c>
      <c r="E8" s="31" t="s">
        <v>12</v>
      </c>
      <c r="F8" s="31" t="s">
        <v>13</v>
      </c>
      <c r="G8" s="66">
        <v>1700747480</v>
      </c>
      <c r="H8" s="66">
        <v>1700747480</v>
      </c>
      <c r="I8" s="31">
        <f t="shared" si="2"/>
        <v>0</v>
      </c>
      <c r="J8" s="46">
        <v>5.274</v>
      </c>
      <c r="K8" s="33" t="e">
        <f t="shared" si="3"/>
        <v>#N/A</v>
      </c>
      <c r="L8" s="34" t="e">
        <f t="shared" si="4"/>
        <v>#N/A</v>
      </c>
      <c r="M8" s="35" t="e">
        <f t="shared" si="5"/>
        <v>#N/A</v>
      </c>
      <c r="N8" s="36" t="e">
        <f t="shared" si="6"/>
        <v>#N/A</v>
      </c>
      <c r="O8" s="57" t="e">
        <f t="shared" si="7"/>
        <v>#N/A</v>
      </c>
      <c r="P8" s="58" t="e">
        <f t="shared" si="8"/>
        <v>#N/A</v>
      </c>
      <c r="Q8" s="58" t="str">
        <f t="shared" si="9"/>
        <v>B3SA3</v>
      </c>
      <c r="R8" s="64" t="str">
        <f t="shared" si="10"/>
        <v>B3</v>
      </c>
      <c r="S8" s="61" t="e">
        <f t="shared" si="11"/>
        <v>#N/A</v>
      </c>
      <c r="T8" s="24" t="s">
        <v>11</v>
      </c>
      <c r="U8" s="37" t="e">
        <f>RTD("tryd.rtdserver",,"COT","B3SA3","Ult")</f>
        <v>#N/A</v>
      </c>
      <c r="V8" s="51" t="e">
        <f>RTD("tryd.rtdserver",,"COT","B3SA3","VarPer")</f>
        <v>#N/A</v>
      </c>
      <c r="W8" s="51" t="e">
        <f>RTD("tryd.rtdserver",,"COT","B3SA3","VarVarPer")</f>
        <v>#N/A</v>
      </c>
      <c r="X8" s="49" t="e">
        <f>RTD("tryd.rtdserver",,"COT","B3SA3","PrcCpa")</f>
        <v>#N/A</v>
      </c>
      <c r="Y8" s="50" t="e">
        <f>RTD("tryd.rtdserver",,"COT","B3SA3","PrcVda")</f>
        <v>#N/A</v>
      </c>
      <c r="Z8" s="37" t="e">
        <f>RTD("tryd.rtdserver",,"COT","B3SA3","Fech")</f>
        <v>#N/A</v>
      </c>
      <c r="AA8" s="37" t="e">
        <f>RTD("tryd.rtdserver",,"COT","B3SA3","Abert")</f>
        <v>#N/A</v>
      </c>
      <c r="AB8" s="37" t="e">
        <f>RTD("tryd.rtdserver",,"COT","B3SA3","Min")</f>
        <v>#N/A</v>
      </c>
      <c r="AC8" s="37" t="e">
        <f>RTD("tryd.rtdserver",,"COT","B3SA3","Media")</f>
        <v>#N/A</v>
      </c>
      <c r="AD8" s="37" t="e">
        <f>RTD("tryd.rtdserver",,"COT","B3SA3","Max")</f>
        <v>#N/A</v>
      </c>
      <c r="AE8" s="24" t="e">
        <f>RTD("tryd.rtdserver",,"COT","B3SA3","Desc")</f>
        <v>#N/A</v>
      </c>
      <c r="AF8" s="24" t="e">
        <f>RTD("tryd.rtdserver",,"COT","B3SA3","Vol")</f>
        <v>#N/A</v>
      </c>
    </row>
    <row r="9" spans="1:35" s="24" customFormat="1" ht="15.6" x14ac:dyDescent="0.3">
      <c r="A9" s="25" t="str">
        <f t="shared" si="1"/>
        <v>CERTO</v>
      </c>
      <c r="B9" s="30" t="s">
        <v>14</v>
      </c>
      <c r="C9" s="31" t="s">
        <v>14</v>
      </c>
      <c r="D9" s="53" t="e">
        <f t="shared" si="0"/>
        <v>#N/A</v>
      </c>
      <c r="E9" s="31" t="s">
        <v>15</v>
      </c>
      <c r="F9" s="31" t="s">
        <v>13</v>
      </c>
      <c r="G9" s="66">
        <v>1283197221</v>
      </c>
      <c r="H9" s="66">
        <v>1283197221</v>
      </c>
      <c r="I9" s="31">
        <f t="shared" si="2"/>
        <v>0</v>
      </c>
      <c r="J9" s="46">
        <v>2.3199999999999998</v>
      </c>
      <c r="K9" s="33" t="e">
        <f t="shared" si="3"/>
        <v>#N/A</v>
      </c>
      <c r="L9" s="34" t="e">
        <f t="shared" si="4"/>
        <v>#N/A</v>
      </c>
      <c r="M9" s="35" t="e">
        <f t="shared" si="5"/>
        <v>#N/A</v>
      </c>
      <c r="N9" s="36" t="e">
        <f t="shared" si="6"/>
        <v>#N/A</v>
      </c>
      <c r="O9" s="57" t="e">
        <f t="shared" si="7"/>
        <v>#N/A</v>
      </c>
      <c r="P9" s="58" t="e">
        <f t="shared" si="8"/>
        <v>#N/A</v>
      </c>
      <c r="Q9" s="58" t="str">
        <f t="shared" si="9"/>
        <v>BBAS3</v>
      </c>
      <c r="R9" s="64" t="str">
        <f t="shared" si="10"/>
        <v>BRASIL</v>
      </c>
      <c r="S9" s="61" t="e">
        <f t="shared" si="11"/>
        <v>#N/A</v>
      </c>
      <c r="T9" s="24" t="s">
        <v>14</v>
      </c>
      <c r="U9" s="37" t="e">
        <f>RTD("tryd.rtdserver",,"COT","BBAS3","Ult")</f>
        <v>#N/A</v>
      </c>
      <c r="V9" s="51" t="e">
        <f>RTD("tryd.rtdserver",,"COT","BBAS3","VarPer")</f>
        <v>#N/A</v>
      </c>
      <c r="W9" s="51" t="e">
        <f>RTD("tryd.rtdserver",,"COT","BBAS3","VarVarPer")</f>
        <v>#N/A</v>
      </c>
      <c r="X9" s="49" t="e">
        <f>RTD("tryd.rtdserver",,"COT","BBAS3","PrcCpa")</f>
        <v>#N/A</v>
      </c>
      <c r="Y9" s="50" t="e">
        <f>RTD("tryd.rtdserver",,"COT","BBAS3","PrcVda")</f>
        <v>#N/A</v>
      </c>
      <c r="Z9" s="37" t="e">
        <f>RTD("tryd.rtdserver",,"COT","BBAS3","Fech")</f>
        <v>#N/A</v>
      </c>
      <c r="AA9" s="37" t="e">
        <f>RTD("tryd.rtdserver",,"COT","BBAS3","Abert")</f>
        <v>#N/A</v>
      </c>
      <c r="AB9" s="37" t="e">
        <f>RTD("tryd.rtdserver",,"COT","BBAS3","Min")</f>
        <v>#N/A</v>
      </c>
      <c r="AC9" s="37" t="e">
        <f>RTD("tryd.rtdserver",,"COT","BBAS3","Media")</f>
        <v>#N/A</v>
      </c>
      <c r="AD9" s="37" t="e">
        <f>RTD("tryd.rtdserver",,"COT","BBAS3","Max")</f>
        <v>#N/A</v>
      </c>
      <c r="AE9" s="24" t="e">
        <f>RTD("tryd.rtdserver",,"COT","BBAS3","Desc")</f>
        <v>#N/A</v>
      </c>
      <c r="AF9" s="24" t="e">
        <f>RTD("tryd.rtdserver",,"COT","BBAS3","Vol")</f>
        <v>#N/A</v>
      </c>
    </row>
    <row r="10" spans="1:35" s="24" customFormat="1" ht="15.6" x14ac:dyDescent="0.3">
      <c r="A10" s="25" t="str">
        <f t="shared" si="1"/>
        <v>CERTO</v>
      </c>
      <c r="B10" s="30" t="s">
        <v>16</v>
      </c>
      <c r="C10" s="31" t="s">
        <v>16</v>
      </c>
      <c r="D10" s="53" t="e">
        <f t="shared" si="0"/>
        <v>#N/A</v>
      </c>
      <c r="E10" s="31" t="s">
        <v>17</v>
      </c>
      <c r="F10" s="31" t="s">
        <v>205</v>
      </c>
      <c r="G10" s="66">
        <v>1253093907</v>
      </c>
      <c r="H10" s="66">
        <v>1253093907</v>
      </c>
      <c r="I10" s="31">
        <f t="shared" si="2"/>
        <v>0</v>
      </c>
      <c r="J10" s="46">
        <v>1.3580000000000001</v>
      </c>
      <c r="K10" s="33" t="e">
        <f t="shared" si="3"/>
        <v>#N/A</v>
      </c>
      <c r="L10" s="34" t="e">
        <f t="shared" si="4"/>
        <v>#N/A</v>
      </c>
      <c r="M10" s="35" t="e">
        <f t="shared" si="5"/>
        <v>#N/A</v>
      </c>
      <c r="N10" s="36" t="e">
        <f t="shared" si="6"/>
        <v>#N/A</v>
      </c>
      <c r="O10" s="57" t="e">
        <f t="shared" si="7"/>
        <v>#N/A</v>
      </c>
      <c r="P10" s="58" t="e">
        <f t="shared" si="8"/>
        <v>#N/A</v>
      </c>
      <c r="Q10" s="58" t="str">
        <f t="shared" si="9"/>
        <v>BBDC3</v>
      </c>
      <c r="R10" s="64" t="str">
        <f t="shared" si="10"/>
        <v>BRADESCO</v>
      </c>
      <c r="S10" s="61" t="e">
        <f t="shared" si="11"/>
        <v>#N/A</v>
      </c>
      <c r="T10" s="24" t="s">
        <v>16</v>
      </c>
      <c r="U10" s="37" t="e">
        <f>RTD("tryd.rtdserver",,"COT","BBDC3","Ult")</f>
        <v>#N/A</v>
      </c>
      <c r="V10" s="51" t="e">
        <f>RTD("tryd.rtdserver",,"COT","BBDC3","VarPer")</f>
        <v>#N/A</v>
      </c>
      <c r="W10" s="51" t="e">
        <f>RTD("tryd.rtdserver",,"COT","BBDC3","VarVarPer")</f>
        <v>#N/A</v>
      </c>
      <c r="X10" s="49" t="e">
        <f>RTD("tryd.rtdserver",,"COT","BBDC3","PrcCpa")</f>
        <v>#N/A</v>
      </c>
      <c r="Y10" s="50" t="e">
        <f>RTD("tryd.rtdserver",,"COT","BBDC3","PrcVda")</f>
        <v>#N/A</v>
      </c>
      <c r="Z10" s="37" t="e">
        <f>RTD("tryd.rtdserver",,"COT","BBDC3","Fech")</f>
        <v>#N/A</v>
      </c>
      <c r="AA10" s="37" t="e">
        <f>RTD("tryd.rtdserver",,"COT","BBDC3","Abert")</f>
        <v>#N/A</v>
      </c>
      <c r="AB10" s="37" t="e">
        <f>RTD("tryd.rtdserver",,"COT","BBDC3","Min")</f>
        <v>#N/A</v>
      </c>
      <c r="AC10" s="37" t="e">
        <f>RTD("tryd.rtdserver",,"COT","BBDC3","Media")</f>
        <v>#N/A</v>
      </c>
      <c r="AD10" s="37" t="e">
        <f>RTD("tryd.rtdserver",,"COT","BBDC3","Max")</f>
        <v>#N/A</v>
      </c>
      <c r="AE10" s="24" t="e">
        <f>RTD("tryd.rtdserver",,"COT","BBDC3","Desc")</f>
        <v>#N/A</v>
      </c>
      <c r="AF10" s="24" t="e">
        <f>RTD("tryd.rtdserver",,"COT","BBDC3","Vol")</f>
        <v>#N/A</v>
      </c>
      <c r="AI10" s="24" t="e">
        <f>RTD("tryd.rtdserver",,"GRF","DOLM20_MINUTE05_BAR_0")</f>
        <v>#N/A</v>
      </c>
    </row>
    <row r="11" spans="1:35" s="24" customFormat="1" ht="15.6" x14ac:dyDescent="0.3">
      <c r="A11" s="25" t="str">
        <f t="shared" si="1"/>
        <v>CERTO</v>
      </c>
      <c r="B11" s="30" t="s">
        <v>18</v>
      </c>
      <c r="C11" s="31" t="s">
        <v>18</v>
      </c>
      <c r="D11" s="53" t="e">
        <f t="shared" si="0"/>
        <v>#N/A</v>
      </c>
      <c r="E11" s="31" t="s">
        <v>17</v>
      </c>
      <c r="F11" s="31" t="s">
        <v>206</v>
      </c>
      <c r="G11" s="66">
        <v>4261649634</v>
      </c>
      <c r="H11" s="66">
        <v>4261649634</v>
      </c>
      <c r="I11" s="31">
        <f t="shared" si="2"/>
        <v>0</v>
      </c>
      <c r="J11" s="46">
        <v>5.0090000000000003</v>
      </c>
      <c r="K11" s="33" t="e">
        <f t="shared" si="3"/>
        <v>#N/A</v>
      </c>
      <c r="L11" s="34" t="e">
        <f t="shared" si="4"/>
        <v>#N/A</v>
      </c>
      <c r="M11" s="35" t="e">
        <f t="shared" si="5"/>
        <v>#N/A</v>
      </c>
      <c r="N11" s="36" t="e">
        <f t="shared" si="6"/>
        <v>#N/A</v>
      </c>
      <c r="O11" s="57" t="e">
        <f t="shared" si="7"/>
        <v>#N/A</v>
      </c>
      <c r="P11" s="58" t="e">
        <f t="shared" si="8"/>
        <v>#N/A</v>
      </c>
      <c r="Q11" s="58" t="str">
        <f t="shared" si="9"/>
        <v>BBDC4</v>
      </c>
      <c r="R11" s="64" t="str">
        <f t="shared" si="10"/>
        <v>BRADESCO</v>
      </c>
      <c r="S11" s="61" t="e">
        <f t="shared" si="11"/>
        <v>#N/A</v>
      </c>
      <c r="T11" s="24" t="s">
        <v>18</v>
      </c>
      <c r="U11" s="37" t="e">
        <f>RTD("tryd.rtdserver",,"COT","BBDC4","Ult")</f>
        <v>#N/A</v>
      </c>
      <c r="V11" s="51" t="e">
        <f>RTD("tryd.rtdserver",,"COT","BBDC4","VarPer")</f>
        <v>#N/A</v>
      </c>
      <c r="W11" s="51" t="e">
        <f>RTD("tryd.rtdserver",,"COT","BBDC4","VarVarPer")</f>
        <v>#N/A</v>
      </c>
      <c r="X11" s="49" t="e">
        <f>RTD("tryd.rtdserver",,"COT","BBDC4","PrcCpa")</f>
        <v>#N/A</v>
      </c>
      <c r="Y11" s="50" t="e">
        <f>RTD("tryd.rtdserver",,"COT","BBDC4","PrcVda")</f>
        <v>#N/A</v>
      </c>
      <c r="Z11" s="37" t="e">
        <f>RTD("tryd.rtdserver",,"COT","BBDC4","Fech")</f>
        <v>#N/A</v>
      </c>
      <c r="AA11" s="37" t="e">
        <f>RTD("tryd.rtdserver",,"COT","BBDC4","Abert")</f>
        <v>#N/A</v>
      </c>
      <c r="AB11" s="37" t="e">
        <f>RTD("tryd.rtdserver",,"COT","BBDC4","Min")</f>
        <v>#N/A</v>
      </c>
      <c r="AC11" s="37" t="e">
        <f>RTD("tryd.rtdserver",,"COT","BBDC4","Media")</f>
        <v>#N/A</v>
      </c>
      <c r="AD11" s="37" t="e">
        <f>RTD("tryd.rtdserver",,"COT","BBDC4","Max")</f>
        <v>#N/A</v>
      </c>
      <c r="AE11" s="24" t="e">
        <f>RTD("tryd.rtdserver",,"COT","BBDC4","Desc")</f>
        <v>#N/A</v>
      </c>
      <c r="AF11" s="24" t="e">
        <f>RTD("tryd.rtdserver",,"COT","BBDC4","Vol")</f>
        <v>#N/A</v>
      </c>
    </row>
    <row r="12" spans="1:35" s="24" customFormat="1" ht="15.6" x14ac:dyDescent="0.3">
      <c r="A12" s="25" t="str">
        <f t="shared" si="1"/>
        <v>CERTO</v>
      </c>
      <c r="B12" s="30" t="s">
        <v>19</v>
      </c>
      <c r="C12" s="31" t="s">
        <v>19</v>
      </c>
      <c r="D12" s="53" t="e">
        <f t="shared" si="0"/>
        <v>#N/A</v>
      </c>
      <c r="E12" s="31" t="s">
        <v>20</v>
      </c>
      <c r="F12" s="31" t="s">
        <v>13</v>
      </c>
      <c r="G12" s="66">
        <v>671584841</v>
      </c>
      <c r="H12" s="66">
        <v>671584841</v>
      </c>
      <c r="I12" s="31">
        <f t="shared" si="2"/>
        <v>0</v>
      </c>
      <c r="J12" s="46">
        <v>0.97</v>
      </c>
      <c r="K12" s="33" t="e">
        <f t="shared" si="3"/>
        <v>#N/A</v>
      </c>
      <c r="L12" s="34" t="e">
        <f t="shared" si="4"/>
        <v>#N/A</v>
      </c>
      <c r="M12" s="35" t="e">
        <f t="shared" si="5"/>
        <v>#N/A</v>
      </c>
      <c r="N12" s="36" t="e">
        <f t="shared" si="6"/>
        <v>#N/A</v>
      </c>
      <c r="O12" s="57" t="e">
        <f t="shared" si="7"/>
        <v>#N/A</v>
      </c>
      <c r="P12" s="58" t="e">
        <f t="shared" si="8"/>
        <v>#N/A</v>
      </c>
      <c r="Q12" s="58" t="str">
        <f t="shared" si="9"/>
        <v>BBSE3</v>
      </c>
      <c r="R12" s="64" t="str">
        <f t="shared" si="10"/>
        <v>BBSEGURIDADE</v>
      </c>
      <c r="S12" s="61" t="e">
        <f t="shared" si="11"/>
        <v>#N/A</v>
      </c>
      <c r="T12" s="24" t="s">
        <v>19</v>
      </c>
      <c r="U12" s="37" t="e">
        <f>RTD("tryd.rtdserver",,"COT","BBSE3","Ult")</f>
        <v>#N/A</v>
      </c>
      <c r="V12" s="51" t="e">
        <f>RTD("tryd.rtdserver",,"COT","BBSE3","VarPer")</f>
        <v>#N/A</v>
      </c>
      <c r="W12" s="51" t="e">
        <f>RTD("tryd.rtdserver",,"COT","BBSE3","VarVarPer")</f>
        <v>#N/A</v>
      </c>
      <c r="X12" s="49" t="e">
        <f>RTD("tryd.rtdserver",,"COT","BBSE3","PrcCpa")</f>
        <v>#N/A</v>
      </c>
      <c r="Y12" s="50" t="e">
        <f>RTD("tryd.rtdserver",,"COT","BBSE3","PrcVda")</f>
        <v>#N/A</v>
      </c>
      <c r="Z12" s="37" t="e">
        <f>RTD("tryd.rtdserver",,"COT","BBSE3","Fech")</f>
        <v>#N/A</v>
      </c>
      <c r="AA12" s="37" t="e">
        <f>RTD("tryd.rtdserver",,"COT","BBSE3","Abert")</f>
        <v>#N/A</v>
      </c>
      <c r="AB12" s="37" t="e">
        <f>RTD("tryd.rtdserver",,"COT","BBSE3","Min")</f>
        <v>#N/A</v>
      </c>
      <c r="AC12" s="37" t="e">
        <f>RTD("tryd.rtdserver",,"COT","BBSE3","Media")</f>
        <v>#N/A</v>
      </c>
      <c r="AD12" s="37" t="e">
        <f>RTD("tryd.rtdserver",,"COT","BBSE3","Max")</f>
        <v>#N/A</v>
      </c>
      <c r="AE12" s="24" t="e">
        <f>RTD("tryd.rtdserver",,"COT","BBSE3","Desc")</f>
        <v>#N/A</v>
      </c>
      <c r="AF12" s="24" t="e">
        <f>RTD("tryd.rtdserver",,"COT","BBSE3","Vol")</f>
        <v>#N/A</v>
      </c>
    </row>
    <row r="13" spans="1:35" s="24" customFormat="1" ht="15.6" x14ac:dyDescent="0.3">
      <c r="A13" s="25" t="str">
        <f t="shared" si="1"/>
        <v>CERTO</v>
      </c>
      <c r="B13" s="30" t="s">
        <v>196</v>
      </c>
      <c r="C13" s="31" t="s">
        <v>196</v>
      </c>
      <c r="D13" s="53" t="e">
        <f t="shared" si="0"/>
        <v>#N/A</v>
      </c>
      <c r="E13" s="31" t="s">
        <v>199</v>
      </c>
      <c r="F13" s="31" t="s">
        <v>13</v>
      </c>
      <c r="G13" s="66">
        <v>259565738</v>
      </c>
      <c r="H13" s="66">
        <v>259565738</v>
      </c>
      <c r="I13" s="31">
        <f t="shared" si="2"/>
        <v>0</v>
      </c>
      <c r="J13" s="46">
        <v>0.17699999999999999</v>
      </c>
      <c r="K13" s="33" t="e">
        <f t="shared" si="3"/>
        <v>#N/A</v>
      </c>
      <c r="L13" s="34" t="e">
        <f t="shared" si="4"/>
        <v>#N/A</v>
      </c>
      <c r="M13" s="35" t="e">
        <f t="shared" si="5"/>
        <v>#N/A</v>
      </c>
      <c r="N13" s="36" t="e">
        <f t="shared" si="6"/>
        <v>#N/A</v>
      </c>
      <c r="O13" s="57" t="e">
        <f t="shared" si="7"/>
        <v>#N/A</v>
      </c>
      <c r="P13" s="58" t="e">
        <f t="shared" si="8"/>
        <v>#N/A</v>
      </c>
      <c r="Q13" s="58" t="str">
        <f t="shared" si="9"/>
        <v>BEEF3</v>
      </c>
      <c r="R13" s="64" t="str">
        <f t="shared" si="10"/>
        <v>MINERVA</v>
      </c>
      <c r="S13" s="61" t="e">
        <f t="shared" si="11"/>
        <v>#N/A</v>
      </c>
      <c r="T13" s="24" t="s">
        <v>19</v>
      </c>
      <c r="U13" s="37" t="e">
        <f>RTD("tryd.rtdserver",,"COT","BBSE3","Ult")</f>
        <v>#N/A</v>
      </c>
      <c r="V13" s="51" t="e">
        <f>RTD("tryd.rtdserver",,"COT","BBSE3","VarPer")</f>
        <v>#N/A</v>
      </c>
      <c r="W13" s="51" t="e">
        <f>RTD("tryd.rtdserver",,"COT","BBSE3","VarVarPer")</f>
        <v>#N/A</v>
      </c>
      <c r="X13" s="49" t="e">
        <f>RTD("tryd.rtdserver",,"COT","BBSE3","PrcCpa")</f>
        <v>#N/A</v>
      </c>
      <c r="Y13" s="50" t="e">
        <f>RTD("tryd.rtdserver",,"COT","BBSE3","PrcVda")</f>
        <v>#N/A</v>
      </c>
      <c r="Z13" s="37" t="e">
        <f>RTD("tryd.rtdserver",,"COT","BBSE3","Fech")</f>
        <v>#N/A</v>
      </c>
      <c r="AA13" s="37" t="e">
        <f>RTD("tryd.rtdserver",,"COT","BBSE3","Abert")</f>
        <v>#N/A</v>
      </c>
      <c r="AB13" s="37" t="e">
        <f>RTD("tryd.rtdserver",,"COT","BBSE3","Min")</f>
        <v>#N/A</v>
      </c>
      <c r="AC13" s="37" t="e">
        <f>RTD("tryd.rtdserver",,"COT","BBSE3","Media")</f>
        <v>#N/A</v>
      </c>
      <c r="AD13" s="37" t="e">
        <f>RTD("tryd.rtdserver",,"COT","BBSE3","Max")</f>
        <v>#N/A</v>
      </c>
      <c r="AE13" s="24" t="e">
        <f>RTD("tryd.rtdserver",,"COT","BBSE3","Desc")</f>
        <v>#N/A</v>
      </c>
      <c r="AF13" s="24" t="e">
        <f>RTD("tryd.rtdserver",,"COT","BBSE3","Vol")</f>
        <v>#N/A</v>
      </c>
    </row>
    <row r="14" spans="1:35" s="24" customFormat="1" ht="15.6" x14ac:dyDescent="0.3">
      <c r="A14" s="25" t="str">
        <f t="shared" si="1"/>
        <v>CERTO</v>
      </c>
      <c r="B14" s="30" t="s">
        <v>21</v>
      </c>
      <c r="C14" s="31" t="s">
        <v>21</v>
      </c>
      <c r="D14" s="53" t="e">
        <f t="shared" si="0"/>
        <v>#N/A</v>
      </c>
      <c r="E14" s="31" t="s">
        <v>22</v>
      </c>
      <c r="F14" s="31" t="s">
        <v>23</v>
      </c>
      <c r="G14" s="66">
        <v>236093794</v>
      </c>
      <c r="H14" s="66">
        <v>236093794</v>
      </c>
      <c r="I14" s="31">
        <f t="shared" si="2"/>
        <v>0</v>
      </c>
      <c r="J14" s="46">
        <v>1.002</v>
      </c>
      <c r="K14" s="33" t="e">
        <f t="shared" si="3"/>
        <v>#N/A</v>
      </c>
      <c r="L14" s="34" t="e">
        <f t="shared" si="4"/>
        <v>#N/A</v>
      </c>
      <c r="M14" s="35" t="e">
        <f t="shared" si="5"/>
        <v>#N/A</v>
      </c>
      <c r="N14" s="36" t="e">
        <f t="shared" si="6"/>
        <v>#N/A</v>
      </c>
      <c r="O14" s="57" t="e">
        <f t="shared" si="7"/>
        <v>#N/A</v>
      </c>
      <c r="P14" s="58" t="e">
        <f t="shared" si="8"/>
        <v>#N/A</v>
      </c>
      <c r="Q14" s="58" t="str">
        <f t="shared" si="9"/>
        <v>BPAC11</v>
      </c>
      <c r="R14" s="64" t="str">
        <f t="shared" si="10"/>
        <v>BTGP BANCO</v>
      </c>
      <c r="S14" s="61" t="e">
        <f t="shared" si="11"/>
        <v>#N/A</v>
      </c>
      <c r="T14" s="24" t="s">
        <v>21</v>
      </c>
      <c r="U14" s="37" t="e">
        <f>RTD("tryd.rtdserver",,"COT","BPAC11","Ult")</f>
        <v>#N/A</v>
      </c>
      <c r="V14" s="51" t="e">
        <f>RTD("tryd.rtdserver",,"COT","BPAC11","VarPer")</f>
        <v>#N/A</v>
      </c>
      <c r="W14" s="51" t="e">
        <f>RTD("tryd.rtdserver",,"COT","BPAC11","VarVarPer")</f>
        <v>#N/A</v>
      </c>
      <c r="X14" s="49" t="e">
        <f>RTD("tryd.rtdserver",,"COT","BPAC11","PrcCpa")</f>
        <v>#N/A</v>
      </c>
      <c r="Y14" s="50" t="e">
        <f>RTD("tryd.rtdserver",,"COT","BPAC11","PrcVda")</f>
        <v>#N/A</v>
      </c>
      <c r="Z14" s="37" t="e">
        <f>RTD("tryd.rtdserver",,"COT","BPAC11","Fech")</f>
        <v>#N/A</v>
      </c>
      <c r="AA14" s="37" t="e">
        <f>RTD("tryd.rtdserver",,"COT","BPAC11","Abert")</f>
        <v>#N/A</v>
      </c>
      <c r="AB14" s="37" t="e">
        <f>RTD("tryd.rtdserver",,"COT","BPAC11","Min")</f>
        <v>#N/A</v>
      </c>
      <c r="AC14" s="37" t="e">
        <f>RTD("tryd.rtdserver",,"COT","BPAC11","Media")</f>
        <v>#N/A</v>
      </c>
      <c r="AD14" s="37" t="e">
        <f>RTD("tryd.rtdserver",,"COT","BPAC11","Max")</f>
        <v>#N/A</v>
      </c>
      <c r="AE14" s="24" t="e">
        <f>RTD("tryd.rtdserver",,"COT","BPAC11","Desc")</f>
        <v>#N/A</v>
      </c>
      <c r="AF14" s="24" t="e">
        <f>RTD("tryd.rtdserver",,"COT","BPAC11","Vol")</f>
        <v>#N/A</v>
      </c>
    </row>
    <row r="15" spans="1:35" s="24" customFormat="1" ht="15.6" x14ac:dyDescent="0.3">
      <c r="A15" s="25" t="str">
        <f t="shared" si="1"/>
        <v>CERTO</v>
      </c>
      <c r="B15" s="30" t="s">
        <v>24</v>
      </c>
      <c r="C15" s="31" t="s">
        <v>24</v>
      </c>
      <c r="D15" s="53" t="e">
        <f t="shared" si="0"/>
        <v>#N/A</v>
      </c>
      <c r="E15" s="31" t="s">
        <v>25</v>
      </c>
      <c r="F15" s="31" t="s">
        <v>26</v>
      </c>
      <c r="G15" s="66">
        <v>222075664</v>
      </c>
      <c r="H15" s="66">
        <v>222075664</v>
      </c>
      <c r="I15" s="31">
        <f t="shared" si="2"/>
        <v>0</v>
      </c>
      <c r="J15" s="46">
        <v>0.52600000000000002</v>
      </c>
      <c r="K15" s="33" t="e">
        <f t="shared" si="3"/>
        <v>#N/A</v>
      </c>
      <c r="L15" s="34" t="e">
        <f t="shared" si="4"/>
        <v>#N/A</v>
      </c>
      <c r="M15" s="35" t="e">
        <f t="shared" si="5"/>
        <v>#N/A</v>
      </c>
      <c r="N15" s="36" t="e">
        <f t="shared" si="6"/>
        <v>#N/A</v>
      </c>
      <c r="O15" s="57" t="e">
        <f t="shared" si="7"/>
        <v>#N/A</v>
      </c>
      <c r="P15" s="58" t="e">
        <f t="shared" si="8"/>
        <v>#N/A</v>
      </c>
      <c r="Q15" s="58" t="str">
        <f t="shared" si="9"/>
        <v>BRAP4</v>
      </c>
      <c r="R15" s="64" t="str">
        <f t="shared" si="10"/>
        <v>BRADESPAR</v>
      </c>
      <c r="S15" s="61" t="e">
        <f t="shared" si="11"/>
        <v>#N/A</v>
      </c>
      <c r="T15" s="24" t="s">
        <v>24</v>
      </c>
      <c r="U15" s="37" t="e">
        <f>RTD("tryd.rtdserver",,"COT","BRAP4","Ult")</f>
        <v>#N/A</v>
      </c>
      <c r="V15" s="51" t="e">
        <f>RTD("tryd.rtdserver",,"COT","BRAP4","VarPer")</f>
        <v>#N/A</v>
      </c>
      <c r="W15" s="51" t="e">
        <f>RTD("tryd.rtdserver",,"COT","BRAP4","VarVarPer")</f>
        <v>#N/A</v>
      </c>
      <c r="X15" s="49" t="e">
        <f>RTD("tryd.rtdserver",,"COT","BRAP4","PrcCpa")</f>
        <v>#N/A</v>
      </c>
      <c r="Y15" s="50" t="e">
        <f>RTD("tryd.rtdserver",,"COT","BRAP4","PrcVda")</f>
        <v>#N/A</v>
      </c>
      <c r="Z15" s="37" t="e">
        <f>RTD("tryd.rtdserver",,"COT","BRAP4","Fech")</f>
        <v>#N/A</v>
      </c>
      <c r="AA15" s="37" t="e">
        <f>RTD("tryd.rtdserver",,"COT","BRAP4","Abert")</f>
        <v>#N/A</v>
      </c>
      <c r="AB15" s="37" t="e">
        <f>RTD("tryd.rtdserver",,"COT","BRAP4","Min")</f>
        <v>#N/A</v>
      </c>
      <c r="AC15" s="37" t="e">
        <f>RTD("tryd.rtdserver",,"COT","BRAP4","Media")</f>
        <v>#N/A</v>
      </c>
      <c r="AD15" s="37" t="e">
        <f>RTD("tryd.rtdserver",,"COT","BRAP4","Max")</f>
        <v>#N/A</v>
      </c>
      <c r="AE15" s="24" t="e">
        <f>RTD("tryd.rtdserver",,"COT","BRAP4","Desc")</f>
        <v>#N/A</v>
      </c>
      <c r="AF15" s="24" t="e">
        <f>RTD("tryd.rtdserver",,"COT","BRAP4","Vol")</f>
        <v>#N/A</v>
      </c>
    </row>
    <row r="16" spans="1:35" s="24" customFormat="1" ht="15.6" x14ac:dyDescent="0.3">
      <c r="A16" s="25" t="str">
        <f t="shared" si="1"/>
        <v>CERTO</v>
      </c>
      <c r="B16" s="30" t="s">
        <v>27</v>
      </c>
      <c r="C16" s="31" t="s">
        <v>27</v>
      </c>
      <c r="D16" s="53" t="e">
        <f t="shared" si="0"/>
        <v>#N/A</v>
      </c>
      <c r="E16" s="31" t="s">
        <v>28</v>
      </c>
      <c r="F16" s="31" t="s">
        <v>13</v>
      </c>
      <c r="G16" s="66">
        <v>1164958126</v>
      </c>
      <c r="H16" s="66">
        <v>1164958126</v>
      </c>
      <c r="I16" s="31">
        <f t="shared" si="2"/>
        <v>0</v>
      </c>
      <c r="J16" s="46">
        <v>1.4550000000000001</v>
      </c>
      <c r="K16" s="33" t="e">
        <f t="shared" si="3"/>
        <v>#N/A</v>
      </c>
      <c r="L16" s="34" t="e">
        <f t="shared" si="4"/>
        <v>#N/A</v>
      </c>
      <c r="M16" s="35" t="e">
        <f t="shared" si="5"/>
        <v>#N/A</v>
      </c>
      <c r="N16" s="36" t="e">
        <f t="shared" si="6"/>
        <v>#N/A</v>
      </c>
      <c r="O16" s="57" t="e">
        <f t="shared" si="7"/>
        <v>#N/A</v>
      </c>
      <c r="P16" s="58" t="e">
        <f t="shared" si="8"/>
        <v>#N/A</v>
      </c>
      <c r="Q16" s="58" t="str">
        <f t="shared" si="9"/>
        <v>BRDT3</v>
      </c>
      <c r="R16" s="64" t="str">
        <f t="shared" si="10"/>
        <v>PETROBRAS BR</v>
      </c>
      <c r="S16" s="61" t="e">
        <f t="shared" si="11"/>
        <v>#N/A</v>
      </c>
      <c r="T16" s="24" t="s">
        <v>27</v>
      </c>
      <c r="U16" s="37" t="e">
        <f>RTD("tryd.rtdserver",,"COT","BRDT3","Ult")</f>
        <v>#N/A</v>
      </c>
      <c r="V16" s="51" t="e">
        <f>RTD("tryd.rtdserver",,"COT","BRDT3","VarPer")</f>
        <v>#N/A</v>
      </c>
      <c r="W16" s="51" t="e">
        <f>RTD("tryd.rtdserver",,"COT","BRDT3","VarVarPer")</f>
        <v>#N/A</v>
      </c>
      <c r="X16" s="49" t="e">
        <f>RTD("tryd.rtdserver",,"COT","BRDT3","PrcCpa")</f>
        <v>#N/A</v>
      </c>
      <c r="Y16" s="50" t="e">
        <f>RTD("tryd.rtdserver",,"COT","BRDT3","PrcVda")</f>
        <v>#N/A</v>
      </c>
      <c r="Z16" s="37" t="e">
        <f>RTD("tryd.rtdserver",,"COT","BRDT3","Fech")</f>
        <v>#N/A</v>
      </c>
      <c r="AA16" s="37" t="e">
        <f>RTD("tryd.rtdserver",,"COT","BRDT3","Abert")</f>
        <v>#N/A</v>
      </c>
      <c r="AB16" s="37" t="e">
        <f>RTD("tryd.rtdserver",,"COT","BRDT3","Min")</f>
        <v>#N/A</v>
      </c>
      <c r="AC16" s="37" t="e">
        <f>RTD("tryd.rtdserver",,"COT","BRDT3","Media")</f>
        <v>#N/A</v>
      </c>
      <c r="AD16" s="37" t="e">
        <f>RTD("tryd.rtdserver",,"COT","BRDT3","Max")</f>
        <v>#N/A</v>
      </c>
      <c r="AE16" s="24" t="e">
        <f>RTD("tryd.rtdserver",,"COT","BRDT3","Desc")</f>
        <v>#N/A</v>
      </c>
      <c r="AF16" s="24" t="e">
        <f>RTD("tryd.rtdserver",,"COT","BRDT3","Vol")</f>
        <v>#N/A</v>
      </c>
    </row>
    <row r="17" spans="1:32" s="24" customFormat="1" ht="15.6" x14ac:dyDescent="0.3">
      <c r="A17" s="25" t="str">
        <f t="shared" si="1"/>
        <v>CERTO</v>
      </c>
      <c r="B17" s="30" t="s">
        <v>29</v>
      </c>
      <c r="C17" s="31" t="s">
        <v>29</v>
      </c>
      <c r="D17" s="53" t="e">
        <f t="shared" si="0"/>
        <v>#N/A</v>
      </c>
      <c r="E17" s="31" t="s">
        <v>30</v>
      </c>
      <c r="F17" s="31" t="s">
        <v>13</v>
      </c>
      <c r="G17" s="66">
        <v>811759800</v>
      </c>
      <c r="H17" s="66">
        <v>811759800</v>
      </c>
      <c r="I17" s="31">
        <f t="shared" si="2"/>
        <v>0</v>
      </c>
      <c r="J17" s="46">
        <v>0.876</v>
      </c>
      <c r="K17" s="33" t="e">
        <f t="shared" si="3"/>
        <v>#N/A</v>
      </c>
      <c r="L17" s="34" t="e">
        <f t="shared" si="4"/>
        <v>#N/A</v>
      </c>
      <c r="M17" s="35" t="e">
        <f t="shared" si="5"/>
        <v>#N/A</v>
      </c>
      <c r="N17" s="36" t="e">
        <f t="shared" si="6"/>
        <v>#N/A</v>
      </c>
      <c r="O17" s="57" t="e">
        <f t="shared" si="7"/>
        <v>#N/A</v>
      </c>
      <c r="P17" s="58" t="e">
        <f t="shared" si="8"/>
        <v>#N/A</v>
      </c>
      <c r="Q17" s="58" t="str">
        <f t="shared" si="9"/>
        <v>BRFS3</v>
      </c>
      <c r="R17" s="64" t="str">
        <f t="shared" si="10"/>
        <v>BRF SA</v>
      </c>
      <c r="S17" s="61" t="e">
        <f t="shared" si="11"/>
        <v>#N/A</v>
      </c>
      <c r="T17" s="24" t="s">
        <v>29</v>
      </c>
      <c r="U17" s="37" t="e">
        <f>RTD("tryd.rtdserver",,"COT","BRFS3","Ult")</f>
        <v>#N/A</v>
      </c>
      <c r="V17" s="51" t="e">
        <f>RTD("tryd.rtdserver",,"COT","BRFS3","VarPer")</f>
        <v>#N/A</v>
      </c>
      <c r="W17" s="51" t="e">
        <f>RTD("tryd.rtdserver",,"COT","BRFS3","VarVarPer")</f>
        <v>#N/A</v>
      </c>
      <c r="X17" s="49" t="e">
        <f>RTD("tryd.rtdserver",,"COT","BRFS3","PrcCpa")</f>
        <v>#N/A</v>
      </c>
      <c r="Y17" s="50" t="e">
        <f>RTD("tryd.rtdserver",,"COT","BRFS3","PrcVda")</f>
        <v>#N/A</v>
      </c>
      <c r="Z17" s="37" t="e">
        <f>RTD("tryd.rtdserver",,"COT","BRFS3","Fech")</f>
        <v>#N/A</v>
      </c>
      <c r="AA17" s="37" t="e">
        <f>RTD("tryd.rtdserver",,"COT","BRFS3","Abert")</f>
        <v>#N/A</v>
      </c>
      <c r="AB17" s="37" t="e">
        <f>RTD("tryd.rtdserver",,"COT","BRFS3","Min")</f>
        <v>#N/A</v>
      </c>
      <c r="AC17" s="37" t="e">
        <f>RTD("tryd.rtdserver",,"COT","BRFS3","Media")</f>
        <v>#N/A</v>
      </c>
      <c r="AD17" s="37" t="e">
        <f>RTD("tryd.rtdserver",,"COT","BRFS3","Max")</f>
        <v>#N/A</v>
      </c>
      <c r="AE17" s="24" t="e">
        <f>RTD("tryd.rtdserver",,"COT","BRFS3","Desc")</f>
        <v>#N/A</v>
      </c>
      <c r="AF17" s="24" t="e">
        <f>RTD("tryd.rtdserver",,"COT","BRFS3","Vol")</f>
        <v>#N/A</v>
      </c>
    </row>
    <row r="18" spans="1:32" s="24" customFormat="1" ht="15.6" x14ac:dyDescent="0.3">
      <c r="A18" s="25" t="str">
        <f t="shared" si="1"/>
        <v>CERTO</v>
      </c>
      <c r="B18" s="30" t="s">
        <v>31</v>
      </c>
      <c r="C18" s="31" t="s">
        <v>31</v>
      </c>
      <c r="D18" s="53" t="e">
        <f t="shared" si="0"/>
        <v>#N/A</v>
      </c>
      <c r="E18" s="31" t="s">
        <v>32</v>
      </c>
      <c r="F18" s="31" t="s">
        <v>33</v>
      </c>
      <c r="G18" s="66">
        <v>264640575</v>
      </c>
      <c r="H18" s="66">
        <v>264640575</v>
      </c>
      <c r="I18" s="31">
        <f t="shared" si="2"/>
        <v>0</v>
      </c>
      <c r="J18" s="46">
        <v>0.31900000000000001</v>
      </c>
      <c r="K18" s="33" t="e">
        <f t="shared" si="3"/>
        <v>#N/A</v>
      </c>
      <c r="L18" s="34" t="e">
        <f t="shared" si="4"/>
        <v>#N/A</v>
      </c>
      <c r="M18" s="35" t="e">
        <f t="shared" si="5"/>
        <v>#N/A</v>
      </c>
      <c r="N18" s="36" t="e">
        <f t="shared" si="6"/>
        <v>#N/A</v>
      </c>
      <c r="O18" s="57" t="e">
        <f t="shared" si="7"/>
        <v>#N/A</v>
      </c>
      <c r="P18" s="58" t="e">
        <f t="shared" si="8"/>
        <v>#N/A</v>
      </c>
      <c r="Q18" s="58" t="str">
        <f t="shared" si="9"/>
        <v>BRKM5</v>
      </c>
      <c r="R18" s="64" t="str">
        <f t="shared" si="10"/>
        <v>BRASKEM</v>
      </c>
      <c r="S18" s="61" t="e">
        <f t="shared" si="11"/>
        <v>#N/A</v>
      </c>
      <c r="T18" s="24" t="s">
        <v>31</v>
      </c>
      <c r="U18" s="37" t="e">
        <f>RTD("tryd.rtdserver",,"COT","BRKM5","Ult")</f>
        <v>#N/A</v>
      </c>
      <c r="V18" s="51" t="e">
        <f>RTD("tryd.rtdserver",,"COT","BRKM5","VarPer")</f>
        <v>#N/A</v>
      </c>
      <c r="W18" s="51" t="e">
        <f>RTD("tryd.rtdserver",,"COT","BRKM5","VarVarPer")</f>
        <v>#N/A</v>
      </c>
      <c r="X18" s="49" t="e">
        <f>RTD("tryd.rtdserver",,"COT","BRKM5","PrcCpa")</f>
        <v>#N/A</v>
      </c>
      <c r="Y18" s="50" t="e">
        <f>RTD("tryd.rtdserver",,"COT","BRKM5","PrcVda")</f>
        <v>#N/A</v>
      </c>
      <c r="Z18" s="37" t="e">
        <f>RTD("tryd.rtdserver",,"COT","BRKM5","Fech")</f>
        <v>#N/A</v>
      </c>
      <c r="AA18" s="37" t="e">
        <f>RTD("tryd.rtdserver",,"COT","BRKM5","Abert")</f>
        <v>#N/A</v>
      </c>
      <c r="AB18" s="37" t="e">
        <f>RTD("tryd.rtdserver",,"COT","BRKM5","Min")</f>
        <v>#N/A</v>
      </c>
      <c r="AC18" s="37" t="e">
        <f>RTD("tryd.rtdserver",,"COT","BRKM5","Media")</f>
        <v>#N/A</v>
      </c>
      <c r="AD18" s="37" t="e">
        <f>RTD("tryd.rtdserver",,"COT","BRKM5","Max")</f>
        <v>#N/A</v>
      </c>
      <c r="AE18" s="24" t="e">
        <f>RTD("tryd.rtdserver",,"COT","BRKM5","Desc")</f>
        <v>#N/A</v>
      </c>
      <c r="AF18" s="24" t="e">
        <f>RTD("tryd.rtdserver",,"COT","BRKM5","Vol")</f>
        <v>#N/A</v>
      </c>
    </row>
    <row r="19" spans="1:32" s="24" customFormat="1" ht="15.6" x14ac:dyDescent="0.3">
      <c r="A19" s="25" t="str">
        <f t="shared" si="1"/>
        <v>CERTO</v>
      </c>
      <c r="B19" s="30" t="s">
        <v>34</v>
      </c>
      <c r="C19" s="31" t="s">
        <v>34</v>
      </c>
      <c r="D19" s="53" t="e">
        <f t="shared" si="0"/>
        <v>#N/A</v>
      </c>
      <c r="E19" s="31" t="s">
        <v>35</v>
      </c>
      <c r="F19" s="31" t="s">
        <v>13</v>
      </c>
      <c r="G19" s="66">
        <v>843728684</v>
      </c>
      <c r="H19" s="66">
        <v>843728684</v>
      </c>
      <c r="I19" s="31">
        <f t="shared" si="2"/>
        <v>0</v>
      </c>
      <c r="J19" s="46">
        <v>0.45200000000000001</v>
      </c>
      <c r="K19" s="33" t="e">
        <f t="shared" si="3"/>
        <v>#N/A</v>
      </c>
      <c r="L19" s="34" t="e">
        <f t="shared" si="4"/>
        <v>#N/A</v>
      </c>
      <c r="M19" s="35" t="e">
        <f t="shared" si="5"/>
        <v>#N/A</v>
      </c>
      <c r="N19" s="36" t="e">
        <f t="shared" si="6"/>
        <v>#N/A</v>
      </c>
      <c r="O19" s="57" t="e">
        <f t="shared" si="7"/>
        <v>#N/A</v>
      </c>
      <c r="P19" s="58" t="e">
        <f t="shared" si="8"/>
        <v>#N/A</v>
      </c>
      <c r="Q19" s="58" t="str">
        <f t="shared" si="9"/>
        <v>BRML3</v>
      </c>
      <c r="R19" s="64" t="str">
        <f t="shared" si="10"/>
        <v>BR MALLS PAR</v>
      </c>
      <c r="S19" s="61" t="e">
        <f t="shared" si="11"/>
        <v>#N/A</v>
      </c>
      <c r="T19" s="24" t="s">
        <v>34</v>
      </c>
      <c r="U19" s="37" t="e">
        <f>RTD("tryd.rtdserver",,"COT","BRML3","Ult")</f>
        <v>#N/A</v>
      </c>
      <c r="V19" s="51" t="e">
        <f>RTD("tryd.rtdserver",,"COT","BRML3","VarPer")</f>
        <v>#N/A</v>
      </c>
      <c r="W19" s="51" t="e">
        <f>RTD("tryd.rtdserver",,"COT","BRML3","VarVarPer")</f>
        <v>#N/A</v>
      </c>
      <c r="X19" s="49" t="e">
        <f>RTD("tryd.rtdserver",,"COT","BRML3","PrcCpa")</f>
        <v>#N/A</v>
      </c>
      <c r="Y19" s="50" t="e">
        <f>RTD("tryd.rtdserver",,"COT","BRML3","PrcVda")</f>
        <v>#N/A</v>
      </c>
      <c r="Z19" s="37" t="e">
        <f>RTD("tryd.rtdserver",,"COT","BRML3","Fech")</f>
        <v>#N/A</v>
      </c>
      <c r="AA19" s="37" t="e">
        <f>RTD("tryd.rtdserver",,"COT","BRML3","Abert")</f>
        <v>#N/A</v>
      </c>
      <c r="AB19" s="37" t="e">
        <f>RTD("tryd.rtdserver",,"COT","BRML3","Min")</f>
        <v>#N/A</v>
      </c>
      <c r="AC19" s="37" t="e">
        <f>RTD("tryd.rtdserver",,"COT","BRML3","Media")</f>
        <v>#N/A</v>
      </c>
      <c r="AD19" s="37" t="e">
        <f>RTD("tryd.rtdserver",,"COT","BRML3","Max")</f>
        <v>#N/A</v>
      </c>
      <c r="AE19" s="24" t="e">
        <f>RTD("tryd.rtdserver",,"COT","BRML3","Desc")</f>
        <v>#N/A</v>
      </c>
      <c r="AF19" s="24" t="e">
        <f>RTD("tryd.rtdserver",,"COT","BRML3","Vol")</f>
        <v>#N/A</v>
      </c>
    </row>
    <row r="20" spans="1:32" s="24" customFormat="1" ht="15.6" x14ac:dyDescent="0.3">
      <c r="A20" s="25" t="str">
        <f t="shared" si="1"/>
        <v>CERTO</v>
      </c>
      <c r="B20" s="30" t="s">
        <v>36</v>
      </c>
      <c r="C20" s="31" t="s">
        <v>36</v>
      </c>
      <c r="D20" s="53" t="e">
        <f t="shared" si="0"/>
        <v>#N/A</v>
      </c>
      <c r="E20" s="31" t="s">
        <v>37</v>
      </c>
      <c r="F20" s="31" t="s">
        <v>13</v>
      </c>
      <c r="G20" s="66">
        <v>208209427</v>
      </c>
      <c r="H20" s="66">
        <v>208209427</v>
      </c>
      <c r="I20" s="31">
        <f t="shared" si="2"/>
        <v>0</v>
      </c>
      <c r="J20" s="46">
        <v>1.125</v>
      </c>
      <c r="K20" s="33" t="e">
        <f t="shared" si="3"/>
        <v>#N/A</v>
      </c>
      <c r="L20" s="34" t="e">
        <f t="shared" si="4"/>
        <v>#N/A</v>
      </c>
      <c r="M20" s="35" t="e">
        <f t="shared" si="5"/>
        <v>#N/A</v>
      </c>
      <c r="N20" s="36" t="e">
        <f t="shared" si="6"/>
        <v>#N/A</v>
      </c>
      <c r="O20" s="57" t="e">
        <f t="shared" si="7"/>
        <v>#N/A</v>
      </c>
      <c r="P20" s="58" t="e">
        <f t="shared" si="8"/>
        <v>#N/A</v>
      </c>
      <c r="Q20" s="58" t="str">
        <f t="shared" si="9"/>
        <v>BTOW3</v>
      </c>
      <c r="R20" s="64" t="str">
        <f t="shared" si="10"/>
        <v>B2W DIGITAL</v>
      </c>
      <c r="S20" s="61" t="e">
        <f t="shared" si="11"/>
        <v>#N/A</v>
      </c>
      <c r="T20" s="24" t="s">
        <v>36</v>
      </c>
      <c r="U20" s="37" t="e">
        <f>RTD("tryd.rtdserver",,"COT","BTOW3","Ult")</f>
        <v>#N/A</v>
      </c>
      <c r="V20" s="51" t="e">
        <f>RTD("tryd.rtdserver",,"COT","BTOW3","VarPer")</f>
        <v>#N/A</v>
      </c>
      <c r="W20" s="51" t="e">
        <f>RTD("tryd.rtdserver",,"COT","BTOW3","VarVarPer")</f>
        <v>#N/A</v>
      </c>
      <c r="X20" s="49" t="e">
        <f>RTD("tryd.rtdserver",,"COT","BTOW3","PrcCpa")</f>
        <v>#N/A</v>
      </c>
      <c r="Y20" s="50" t="e">
        <f>RTD("tryd.rtdserver",,"COT","BTOW3","PrcVda")</f>
        <v>#N/A</v>
      </c>
      <c r="Z20" s="37" t="e">
        <f>RTD("tryd.rtdserver",,"COT","BTOW3","Fech")</f>
        <v>#N/A</v>
      </c>
      <c r="AA20" s="37" t="e">
        <f>RTD("tryd.rtdserver",,"COT","BTOW3","Abert")</f>
        <v>#N/A</v>
      </c>
      <c r="AB20" s="37" t="e">
        <f>RTD("tryd.rtdserver",,"COT","BTOW3","Min")</f>
        <v>#N/A</v>
      </c>
      <c r="AC20" s="37" t="e">
        <f>RTD("tryd.rtdserver",,"COT","BTOW3","Media")</f>
        <v>#N/A</v>
      </c>
      <c r="AD20" s="37" t="e">
        <f>RTD("tryd.rtdserver",,"COT","BTOW3","Max")</f>
        <v>#N/A</v>
      </c>
      <c r="AE20" s="24" t="e">
        <f>RTD("tryd.rtdserver",,"COT","BTOW3","Desc")</f>
        <v>#N/A</v>
      </c>
      <c r="AF20" s="24" t="e">
        <f>RTD("tryd.rtdserver",,"COT","BTOW3","Vol")</f>
        <v>#N/A</v>
      </c>
    </row>
    <row r="21" spans="1:32" s="24" customFormat="1" ht="15.6" x14ac:dyDescent="0.3">
      <c r="A21" s="25" t="str">
        <f t="shared" si="1"/>
        <v>CERTO</v>
      </c>
      <c r="B21" s="30" t="s">
        <v>38</v>
      </c>
      <c r="C21" s="31" t="s">
        <v>38</v>
      </c>
      <c r="D21" s="53" t="e">
        <f t="shared" si="0"/>
        <v>#N/A</v>
      </c>
      <c r="E21" s="31" t="s">
        <v>39</v>
      </c>
      <c r="F21" s="31" t="s">
        <v>13</v>
      </c>
      <c r="G21" s="66">
        <v>1115695556</v>
      </c>
      <c r="H21" s="66">
        <v>1115695556</v>
      </c>
      <c r="I21" s="31">
        <f t="shared" si="2"/>
        <v>0</v>
      </c>
      <c r="J21" s="46">
        <v>0.88</v>
      </c>
      <c r="K21" s="33" t="e">
        <f t="shared" si="3"/>
        <v>#N/A</v>
      </c>
      <c r="L21" s="34" t="e">
        <f t="shared" si="4"/>
        <v>#N/A</v>
      </c>
      <c r="M21" s="35" t="e">
        <f t="shared" si="5"/>
        <v>#N/A</v>
      </c>
      <c r="N21" s="36" t="e">
        <f t="shared" si="6"/>
        <v>#N/A</v>
      </c>
      <c r="O21" s="57" t="e">
        <f t="shared" si="7"/>
        <v>#N/A</v>
      </c>
      <c r="P21" s="58" t="e">
        <f t="shared" si="8"/>
        <v>#N/A</v>
      </c>
      <c r="Q21" s="58" t="str">
        <f t="shared" si="9"/>
        <v>CCRO3</v>
      </c>
      <c r="R21" s="64" t="str">
        <f t="shared" si="10"/>
        <v>CCR SA</v>
      </c>
      <c r="S21" s="61" t="e">
        <f t="shared" si="11"/>
        <v>#N/A</v>
      </c>
      <c r="T21" s="24" t="s">
        <v>38</v>
      </c>
      <c r="U21" s="37" t="e">
        <f>RTD("tryd.rtdserver",,"COT","CCRO3","Ult")</f>
        <v>#N/A</v>
      </c>
      <c r="V21" s="51" t="e">
        <f>RTD("tryd.rtdserver",,"COT","CCRO3","VarPer")</f>
        <v>#N/A</v>
      </c>
      <c r="W21" s="51" t="e">
        <f>RTD("tryd.rtdserver",,"COT","CCRO3","VarVarPer")</f>
        <v>#N/A</v>
      </c>
      <c r="X21" s="49" t="e">
        <f>RTD("tryd.rtdserver",,"COT","CCRO3","PrcCpa")</f>
        <v>#N/A</v>
      </c>
      <c r="Y21" s="50" t="e">
        <f>RTD("tryd.rtdserver",,"COT","CCRO3","PrcVda")</f>
        <v>#N/A</v>
      </c>
      <c r="Z21" s="37" t="e">
        <f>RTD("tryd.rtdserver",,"COT","CCRO3","Fech")</f>
        <v>#N/A</v>
      </c>
      <c r="AA21" s="37" t="e">
        <f>RTD("tryd.rtdserver",,"COT","CCRO3","Abert")</f>
        <v>#N/A</v>
      </c>
      <c r="AB21" s="37" t="e">
        <f>RTD("tryd.rtdserver",,"COT","CCRO3","Min")</f>
        <v>#N/A</v>
      </c>
      <c r="AC21" s="37" t="e">
        <f>RTD("tryd.rtdserver",,"COT","CCRO3","Media")</f>
        <v>#N/A</v>
      </c>
      <c r="AD21" s="37" t="e">
        <f>RTD("tryd.rtdserver",,"COT","CCRO3","Max")</f>
        <v>#N/A</v>
      </c>
      <c r="AE21" s="24" t="e">
        <f>RTD("tryd.rtdserver",,"COT","CCRO3","Desc")</f>
        <v>#N/A</v>
      </c>
      <c r="AF21" s="24" t="e">
        <f>RTD("tryd.rtdserver",,"COT","CCRO3","Vol")</f>
        <v>#N/A</v>
      </c>
    </row>
    <row r="22" spans="1:32" s="24" customFormat="1" ht="15.6" x14ac:dyDescent="0.3">
      <c r="A22" s="25" t="str">
        <f t="shared" si="1"/>
        <v>CERTO</v>
      </c>
      <c r="B22" s="30" t="s">
        <v>40</v>
      </c>
      <c r="C22" s="31" t="s">
        <v>40</v>
      </c>
      <c r="D22" s="53" t="e">
        <f t="shared" si="0"/>
        <v>#N/A</v>
      </c>
      <c r="E22" s="31" t="s">
        <v>41</v>
      </c>
      <c r="F22" s="31" t="s">
        <v>13</v>
      </c>
      <c r="G22" s="66">
        <v>1112196638</v>
      </c>
      <c r="H22" s="66">
        <v>1112196638</v>
      </c>
      <c r="I22" s="31">
        <f t="shared" si="2"/>
        <v>0</v>
      </c>
      <c r="J22" s="46">
        <v>0.28399999999999997</v>
      </c>
      <c r="K22" s="33" t="e">
        <f t="shared" si="3"/>
        <v>#N/A</v>
      </c>
      <c r="L22" s="34" t="e">
        <f t="shared" si="4"/>
        <v>#N/A</v>
      </c>
      <c r="M22" s="35" t="e">
        <f t="shared" si="5"/>
        <v>#N/A</v>
      </c>
      <c r="N22" s="36" t="e">
        <f t="shared" si="6"/>
        <v>#N/A</v>
      </c>
      <c r="O22" s="57" t="e">
        <f t="shared" si="7"/>
        <v>#N/A</v>
      </c>
      <c r="P22" s="58" t="e">
        <f t="shared" si="8"/>
        <v>#N/A</v>
      </c>
      <c r="Q22" s="58" t="str">
        <f t="shared" si="9"/>
        <v>CIEL3</v>
      </c>
      <c r="R22" s="64" t="str">
        <f t="shared" si="10"/>
        <v>CIELO</v>
      </c>
      <c r="S22" s="61" t="e">
        <f t="shared" si="11"/>
        <v>#N/A</v>
      </c>
      <c r="T22" s="24" t="s">
        <v>40</v>
      </c>
      <c r="U22" s="37" t="e">
        <f>RTD("tryd.rtdserver",,"COT","CIEL3","Ult")</f>
        <v>#N/A</v>
      </c>
      <c r="V22" s="51" t="e">
        <f>RTD("tryd.rtdserver",,"COT","CIEL3","VarPer")</f>
        <v>#N/A</v>
      </c>
      <c r="W22" s="51" t="e">
        <f>RTD("tryd.rtdserver",,"COT","CIEL3","VarVarPer")</f>
        <v>#N/A</v>
      </c>
      <c r="X22" s="49" t="e">
        <f>RTD("tryd.rtdserver",,"COT","CIEL3","PrcCpa")</f>
        <v>#N/A</v>
      </c>
      <c r="Y22" s="50" t="e">
        <f>RTD("tryd.rtdserver",,"COT","CIEL3","PrcVda")</f>
        <v>#N/A</v>
      </c>
      <c r="Z22" s="37" t="e">
        <f>RTD("tryd.rtdserver",,"COT","CIEL3","Fech")</f>
        <v>#N/A</v>
      </c>
      <c r="AA22" s="37" t="e">
        <f>RTD("tryd.rtdserver",,"COT","CIEL3","Abert")</f>
        <v>#N/A</v>
      </c>
      <c r="AB22" s="37" t="e">
        <f>RTD("tryd.rtdserver",,"COT","CIEL3","Min")</f>
        <v>#N/A</v>
      </c>
      <c r="AC22" s="37" t="e">
        <f>RTD("tryd.rtdserver",,"COT","CIEL3","Media")</f>
        <v>#N/A</v>
      </c>
      <c r="AD22" s="37" t="e">
        <f>RTD("tryd.rtdserver",,"COT","CIEL3","Max")</f>
        <v>#N/A</v>
      </c>
      <c r="AE22" s="24" t="e">
        <f>RTD("tryd.rtdserver",,"COT","CIEL3","Desc")</f>
        <v>#N/A</v>
      </c>
      <c r="AF22" s="24" t="e">
        <f>RTD("tryd.rtdserver",,"COT","CIEL3","Vol")</f>
        <v>#N/A</v>
      </c>
    </row>
    <row r="23" spans="1:32" s="24" customFormat="1" ht="15.6" x14ac:dyDescent="0.3">
      <c r="A23" s="25" t="str">
        <f t="shared" si="1"/>
        <v>CERTO</v>
      </c>
      <c r="B23" s="30" t="s">
        <v>42</v>
      </c>
      <c r="C23" s="31" t="s">
        <v>42</v>
      </c>
      <c r="D23" s="53" t="e">
        <f t="shared" si="0"/>
        <v>#N/A</v>
      </c>
      <c r="E23" s="31" t="s">
        <v>43</v>
      </c>
      <c r="F23" s="31" t="s">
        <v>26</v>
      </c>
      <c r="G23" s="66">
        <v>969723092</v>
      </c>
      <c r="H23" s="66">
        <v>969723092</v>
      </c>
      <c r="I23" s="31">
        <f t="shared" si="2"/>
        <v>0</v>
      </c>
      <c r="J23" s="46">
        <v>0.56599999999999995</v>
      </c>
      <c r="K23" s="33" t="e">
        <f t="shared" si="3"/>
        <v>#N/A</v>
      </c>
      <c r="L23" s="34" t="e">
        <f t="shared" si="4"/>
        <v>#N/A</v>
      </c>
      <c r="M23" s="35" t="e">
        <f t="shared" si="5"/>
        <v>#N/A</v>
      </c>
      <c r="N23" s="36" t="e">
        <f t="shared" si="6"/>
        <v>#N/A</v>
      </c>
      <c r="O23" s="57" t="e">
        <f t="shared" si="7"/>
        <v>#N/A</v>
      </c>
      <c r="P23" s="58" t="e">
        <f t="shared" si="8"/>
        <v>#N/A</v>
      </c>
      <c r="Q23" s="58" t="str">
        <f t="shared" si="9"/>
        <v>CMIG4</v>
      </c>
      <c r="R23" s="64" t="str">
        <f t="shared" si="10"/>
        <v>CEMIG</v>
      </c>
      <c r="S23" s="61" t="e">
        <f t="shared" si="11"/>
        <v>#N/A</v>
      </c>
      <c r="T23" s="24" t="s">
        <v>42</v>
      </c>
      <c r="U23" s="37" t="e">
        <f>RTD("tryd.rtdserver",,"COT","CMIG4","Ult")</f>
        <v>#N/A</v>
      </c>
      <c r="V23" s="51" t="e">
        <f>RTD("tryd.rtdserver",,"COT","CMIG4","VarPer")</f>
        <v>#N/A</v>
      </c>
      <c r="W23" s="51" t="e">
        <f>RTD("tryd.rtdserver",,"COT","CMIG4","VarVarPer")</f>
        <v>#N/A</v>
      </c>
      <c r="X23" s="49" t="e">
        <f>RTD("tryd.rtdserver",,"COT","CMIG4","PrcCpa")</f>
        <v>#N/A</v>
      </c>
      <c r="Y23" s="50" t="e">
        <f>RTD("tryd.rtdserver",,"COT","CMIG4","PrcVda")</f>
        <v>#N/A</v>
      </c>
      <c r="Z23" s="37" t="e">
        <f>RTD("tryd.rtdserver",,"COT","CMIG4","Fech")</f>
        <v>#N/A</v>
      </c>
      <c r="AA23" s="37" t="e">
        <f>RTD("tryd.rtdserver",,"COT","CMIG4","Abert")</f>
        <v>#N/A</v>
      </c>
      <c r="AB23" s="37" t="e">
        <f>RTD("tryd.rtdserver",,"COT","CMIG4","Min")</f>
        <v>#N/A</v>
      </c>
      <c r="AC23" s="37" t="e">
        <f>RTD("tryd.rtdserver",,"COT","CMIG4","Media")</f>
        <v>#N/A</v>
      </c>
      <c r="AD23" s="37" t="e">
        <f>RTD("tryd.rtdserver",,"COT","CMIG4","Max")</f>
        <v>#N/A</v>
      </c>
      <c r="AE23" s="24" t="e">
        <f>RTD("tryd.rtdserver",,"COT","CMIG4","Desc")</f>
        <v>#N/A</v>
      </c>
      <c r="AF23" s="24" t="e">
        <f>RTD("tryd.rtdserver",,"COT","CMIG4","Vol")</f>
        <v>#N/A</v>
      </c>
    </row>
    <row r="24" spans="1:32" s="24" customFormat="1" ht="15.6" x14ac:dyDescent="0.3">
      <c r="A24" s="25" t="str">
        <f t="shared" si="1"/>
        <v>CERTO</v>
      </c>
      <c r="B24" s="30" t="s">
        <v>44</v>
      </c>
      <c r="C24" s="31" t="s">
        <v>44</v>
      </c>
      <c r="D24" s="53" t="e">
        <f t="shared" si="0"/>
        <v>#N/A</v>
      </c>
      <c r="E24" s="31" t="s">
        <v>45</v>
      </c>
      <c r="F24" s="31" t="s">
        <v>13</v>
      </c>
      <c r="G24" s="66">
        <v>1847994874</v>
      </c>
      <c r="H24" s="66">
        <v>1847994874</v>
      </c>
      <c r="I24" s="31">
        <f t="shared" si="2"/>
        <v>0</v>
      </c>
      <c r="J24" s="46">
        <v>0.61799999999999999</v>
      </c>
      <c r="K24" s="33" t="e">
        <f t="shared" si="3"/>
        <v>#N/A</v>
      </c>
      <c r="L24" s="34" t="e">
        <f t="shared" si="4"/>
        <v>#N/A</v>
      </c>
      <c r="M24" s="35" t="e">
        <f t="shared" si="5"/>
        <v>#N/A</v>
      </c>
      <c r="N24" s="36" t="e">
        <f t="shared" si="6"/>
        <v>#N/A</v>
      </c>
      <c r="O24" s="57" t="e">
        <f t="shared" si="7"/>
        <v>#N/A</v>
      </c>
      <c r="P24" s="58" t="e">
        <f t="shared" si="8"/>
        <v>#N/A</v>
      </c>
      <c r="Q24" s="58" t="str">
        <f t="shared" si="9"/>
        <v>COGN3</v>
      </c>
      <c r="R24" s="64" t="str">
        <f t="shared" si="10"/>
        <v>COGNA ON</v>
      </c>
      <c r="S24" s="61" t="e">
        <f t="shared" si="11"/>
        <v>#N/A</v>
      </c>
      <c r="T24" s="24" t="s">
        <v>44</v>
      </c>
      <c r="U24" s="37" t="e">
        <f>RTD("tryd.rtdserver",,"COT","COGN3","Ult")</f>
        <v>#N/A</v>
      </c>
      <c r="V24" s="51" t="e">
        <f>RTD("tryd.rtdserver",,"COT","COGN3","VarPer")</f>
        <v>#N/A</v>
      </c>
      <c r="W24" s="51" t="e">
        <f>RTD("tryd.rtdserver",,"COT","COGN3","VarVarPer")</f>
        <v>#N/A</v>
      </c>
      <c r="X24" s="49" t="e">
        <f>RTD("tryd.rtdserver",,"COT","COGN3","PrcCpa")</f>
        <v>#N/A</v>
      </c>
      <c r="Y24" s="50" t="e">
        <f>RTD("tryd.rtdserver",,"COT","COGN3","PrcVda")</f>
        <v>#N/A</v>
      </c>
      <c r="Z24" s="37" t="e">
        <f>RTD("tryd.rtdserver",,"COT","COGN3","Fech")</f>
        <v>#N/A</v>
      </c>
      <c r="AA24" s="37" t="e">
        <f>RTD("tryd.rtdserver",,"COT","COGN3","Abert")</f>
        <v>#N/A</v>
      </c>
      <c r="AB24" s="37" t="e">
        <f>RTD("tryd.rtdserver",,"COT","COGN3","Min")</f>
        <v>#N/A</v>
      </c>
      <c r="AC24" s="37" t="e">
        <f>RTD("tryd.rtdserver",,"COT","COGN3","Media")</f>
        <v>#N/A</v>
      </c>
      <c r="AD24" s="37" t="e">
        <f>RTD("tryd.rtdserver",,"COT","COGN3","Max")</f>
        <v>#N/A</v>
      </c>
      <c r="AE24" s="24" t="e">
        <f>RTD("tryd.rtdserver",,"COT","COGN3","Desc")</f>
        <v>#N/A</v>
      </c>
      <c r="AF24" s="24" t="e">
        <f>RTD("tryd.rtdserver",,"COT","COGN3","Vol")</f>
        <v>#N/A</v>
      </c>
    </row>
    <row r="25" spans="1:32" s="24" customFormat="1" ht="15.6" x14ac:dyDescent="0.3">
      <c r="A25" s="25" t="str">
        <f t="shared" si="1"/>
        <v>CERTO</v>
      </c>
      <c r="B25" s="30" t="s">
        <v>197</v>
      </c>
      <c r="C25" s="31" t="s">
        <v>197</v>
      </c>
      <c r="D25" s="53" t="e">
        <f t="shared" si="0"/>
        <v>#N/A</v>
      </c>
      <c r="E25" s="31" t="s">
        <v>200</v>
      </c>
      <c r="F25" s="31" t="s">
        <v>13</v>
      </c>
      <c r="G25" s="66">
        <v>187714249</v>
      </c>
      <c r="H25" s="66">
        <v>187714249</v>
      </c>
      <c r="I25" s="31">
        <f t="shared" si="2"/>
        <v>0</v>
      </c>
      <c r="J25" s="46">
        <v>0.30199999999999999</v>
      </c>
      <c r="K25" s="33" t="e">
        <f t="shared" si="3"/>
        <v>#N/A</v>
      </c>
      <c r="L25" s="34" t="e">
        <f t="shared" si="4"/>
        <v>#N/A</v>
      </c>
      <c r="M25" s="35" t="e">
        <f t="shared" si="5"/>
        <v>#N/A</v>
      </c>
      <c r="N25" s="36" t="e">
        <f t="shared" si="6"/>
        <v>#N/A</v>
      </c>
      <c r="O25" s="57" t="e">
        <f t="shared" si="7"/>
        <v>#N/A</v>
      </c>
      <c r="P25" s="58" t="e">
        <f t="shared" si="8"/>
        <v>#N/A</v>
      </c>
      <c r="Q25" s="58" t="str">
        <f t="shared" si="9"/>
        <v>CPFE3</v>
      </c>
      <c r="R25" s="64" t="str">
        <f t="shared" si="10"/>
        <v>CPFL ENERGIA</v>
      </c>
      <c r="S25" s="61" t="e">
        <f t="shared" si="11"/>
        <v>#N/A</v>
      </c>
      <c r="T25" s="24" t="s">
        <v>202</v>
      </c>
      <c r="U25" s="37" t="e">
        <f>RTD("tryd.rtdserver",,"COT","CPFE3","Ult")</f>
        <v>#N/A</v>
      </c>
      <c r="V25" s="51" t="e">
        <f>RTD("tryd.rtdserver",,"COT","CPFE3","VarPer")</f>
        <v>#N/A</v>
      </c>
      <c r="W25" s="51" t="e">
        <f>RTD("tryd.rtdserver",,"COT","CPFE3","VarVarPer")</f>
        <v>#N/A</v>
      </c>
      <c r="X25" s="49" t="e">
        <f>RTD("tryd.rtdserver",,"COT","CPFE3","PrcCpa")</f>
        <v>#N/A</v>
      </c>
      <c r="Y25" s="50" t="e">
        <f>RTD("tryd.rtdserver",,"COT","CPFE3","PrcVda")</f>
        <v>#N/A</v>
      </c>
      <c r="Z25" s="37" t="e">
        <f>RTD("tryd.rtdserver",,"COT","CPFE3","Fech")</f>
        <v>#N/A</v>
      </c>
      <c r="AA25" s="37" t="e">
        <f>RTD("tryd.rtdserver",,"COT","CPFE3","Abert")</f>
        <v>#N/A</v>
      </c>
      <c r="AB25" s="37" t="e">
        <f>RTD("tryd.rtdserver",,"COT","CPFE3","Min")</f>
        <v>#N/A</v>
      </c>
      <c r="AC25" s="37" t="e">
        <f>RTD("tryd.rtdserver",,"COT","CPFE3","Media")</f>
        <v>#N/A</v>
      </c>
      <c r="AD25" s="37" t="e">
        <f>RTD("tryd.rtdserver",,"COT","CPFE3","Max")</f>
        <v>#N/A</v>
      </c>
      <c r="AE25" s="24" t="e">
        <f>RTD("tryd.rtdserver",,"COT","CPFE3","Desc")</f>
        <v>#N/A</v>
      </c>
      <c r="AF25" s="24" t="e">
        <f>RTD("tryd.rtdserver",,"COT","CPFE3","Vol")</f>
        <v>#N/A</v>
      </c>
    </row>
    <row r="26" spans="1:32" s="24" customFormat="1" ht="15.6" x14ac:dyDescent="0.3">
      <c r="A26" s="25" t="str">
        <f t="shared" si="1"/>
        <v>CERTO</v>
      </c>
      <c r="B26" s="30" t="s">
        <v>174</v>
      </c>
      <c r="C26" s="31" t="s">
        <v>174</v>
      </c>
      <c r="D26" s="53" t="e">
        <f t="shared" si="0"/>
        <v>#N/A</v>
      </c>
      <c r="E26" s="31" t="s">
        <v>180</v>
      </c>
      <c r="F26" s="31" t="s">
        <v>13</v>
      </c>
      <c r="G26" s="66">
        <v>391758726</v>
      </c>
      <c r="H26" s="66">
        <v>391758726</v>
      </c>
      <c r="I26" s="31">
        <f t="shared" si="2"/>
        <v>0</v>
      </c>
      <c r="J26" s="46">
        <v>0.442</v>
      </c>
      <c r="K26" s="33" t="e">
        <f t="shared" si="3"/>
        <v>#N/A</v>
      </c>
      <c r="L26" s="34" t="e">
        <f t="shared" si="4"/>
        <v>#N/A</v>
      </c>
      <c r="M26" s="35" t="e">
        <f t="shared" si="5"/>
        <v>#N/A</v>
      </c>
      <c r="N26" s="36" t="e">
        <f t="shared" si="6"/>
        <v>#N/A</v>
      </c>
      <c r="O26" s="57" t="e">
        <f t="shared" si="7"/>
        <v>#N/A</v>
      </c>
      <c r="P26" s="58" t="e">
        <f t="shared" si="8"/>
        <v>#N/A</v>
      </c>
      <c r="Q26" s="58" t="str">
        <f t="shared" si="9"/>
        <v>CRFB3</v>
      </c>
      <c r="R26" s="64" t="str">
        <f t="shared" si="10"/>
        <v>CARREFOUR BR</v>
      </c>
      <c r="S26" s="61" t="e">
        <f t="shared" si="11"/>
        <v>#N/A</v>
      </c>
      <c r="T26" s="24" t="s">
        <v>174</v>
      </c>
      <c r="U26" s="37" t="e">
        <f>RTD("tryd.rtdserver",,"COT","CRFB3","Ult")</f>
        <v>#N/A</v>
      </c>
      <c r="V26" s="51" t="e">
        <f>RTD("tryd.rtdserver",,"COT","CRFB3","VarPer")</f>
        <v>#N/A</v>
      </c>
      <c r="W26" s="51" t="e">
        <f>RTD("tryd.rtdserver",,"COT","CRFB3","VarVarPer")</f>
        <v>#N/A</v>
      </c>
      <c r="X26" s="49" t="e">
        <f>RTD("tryd.rtdserver",,"COT","CRFB3","PrcCpa")</f>
        <v>#N/A</v>
      </c>
      <c r="Y26" s="50" t="e">
        <f>RTD("tryd.rtdserver",,"COT","CRFB3","PrcVda")</f>
        <v>#N/A</v>
      </c>
      <c r="Z26" s="37" t="e">
        <f>RTD("tryd.rtdserver",,"COT","CRFB3","Fech")</f>
        <v>#N/A</v>
      </c>
      <c r="AA26" s="37" t="e">
        <f>RTD("tryd.rtdserver",,"COT","CRFB3","Abert")</f>
        <v>#N/A</v>
      </c>
      <c r="AB26" s="37" t="e">
        <f>RTD("tryd.rtdserver",,"COT","CRFB3","Min")</f>
        <v>#N/A</v>
      </c>
      <c r="AC26" s="37" t="e">
        <f>RTD("tryd.rtdserver",,"COT","CRFB3","Media")</f>
        <v>#N/A</v>
      </c>
      <c r="AD26" s="37" t="e">
        <f>RTD("tryd.rtdserver",,"COT","CRFB3","Max")</f>
        <v>#N/A</v>
      </c>
      <c r="AE26" s="24" t="e">
        <f>RTD("tryd.rtdserver",,"COT","CRFB3","Desc")</f>
        <v>#N/A</v>
      </c>
      <c r="AF26" s="24" t="e">
        <f>RTD("tryd.rtdserver",,"COT","CRFB3","Vol")</f>
        <v>#N/A</v>
      </c>
    </row>
    <row r="27" spans="1:32" s="24" customFormat="1" ht="15.6" x14ac:dyDescent="0.3">
      <c r="A27" s="25" t="str">
        <f t="shared" si="1"/>
        <v>CERTO</v>
      </c>
      <c r="B27" s="30" t="s">
        <v>46</v>
      </c>
      <c r="C27" s="31" t="s">
        <v>46</v>
      </c>
      <c r="D27" s="53" t="e">
        <f t="shared" si="0"/>
        <v>#N/A</v>
      </c>
      <c r="E27" s="31" t="s">
        <v>47</v>
      </c>
      <c r="F27" s="31" t="s">
        <v>13</v>
      </c>
      <c r="G27" s="66">
        <v>129314042</v>
      </c>
      <c r="H27" s="66">
        <v>129314042</v>
      </c>
      <c r="I27" s="31">
        <f t="shared" si="2"/>
        <v>0</v>
      </c>
      <c r="J27" s="46">
        <v>0.53400000000000003</v>
      </c>
      <c r="K27" s="33" t="e">
        <f t="shared" si="3"/>
        <v>#N/A</v>
      </c>
      <c r="L27" s="34" t="e">
        <f t="shared" si="4"/>
        <v>#N/A</v>
      </c>
      <c r="M27" s="35" t="e">
        <f t="shared" si="5"/>
        <v>#N/A</v>
      </c>
      <c r="N27" s="36" t="e">
        <f t="shared" si="6"/>
        <v>#N/A</v>
      </c>
      <c r="O27" s="57" t="e">
        <f t="shared" si="7"/>
        <v>#N/A</v>
      </c>
      <c r="P27" s="58" t="e">
        <f t="shared" si="8"/>
        <v>#N/A</v>
      </c>
      <c r="Q27" s="58" t="str">
        <f t="shared" si="9"/>
        <v>CSAN3</v>
      </c>
      <c r="R27" s="64" t="str">
        <f t="shared" si="10"/>
        <v>COSAN</v>
      </c>
      <c r="S27" s="61" t="e">
        <f t="shared" si="11"/>
        <v>#N/A</v>
      </c>
      <c r="T27" s="24" t="s">
        <v>46</v>
      </c>
      <c r="U27" s="37" t="e">
        <f>RTD("tryd.rtdserver",,"COT","CSAN3","Ult")</f>
        <v>#N/A</v>
      </c>
      <c r="V27" s="51" t="e">
        <f>RTD("tryd.rtdserver",,"COT","CSAN3","VarPer")</f>
        <v>#N/A</v>
      </c>
      <c r="W27" s="51" t="e">
        <f>RTD("tryd.rtdserver",,"COT","CSAN3","VarVarPer")</f>
        <v>#N/A</v>
      </c>
      <c r="X27" s="49" t="e">
        <f>RTD("tryd.rtdserver",,"COT","CSAN3","PrcCpa")</f>
        <v>#N/A</v>
      </c>
      <c r="Y27" s="50" t="e">
        <f>RTD("tryd.rtdserver",,"COT","CSAN3","PrcVda")</f>
        <v>#N/A</v>
      </c>
      <c r="Z27" s="37" t="e">
        <f>RTD("tryd.rtdserver",,"COT","CSAN3","Fech")</f>
        <v>#N/A</v>
      </c>
      <c r="AA27" s="37" t="e">
        <f>RTD("tryd.rtdserver",,"COT","CSAN3","Abert")</f>
        <v>#N/A</v>
      </c>
      <c r="AB27" s="37" t="e">
        <f>RTD("tryd.rtdserver",,"COT","CSAN3","Min")</f>
        <v>#N/A</v>
      </c>
      <c r="AC27" s="37" t="e">
        <f>RTD("tryd.rtdserver",,"COT","CSAN3","Media")</f>
        <v>#N/A</v>
      </c>
      <c r="AD27" s="37" t="e">
        <f>RTD("tryd.rtdserver",,"COT","CSAN3","Max")</f>
        <v>#N/A</v>
      </c>
      <c r="AE27" s="24" t="e">
        <f>RTD("tryd.rtdserver",,"COT","CSAN3","Desc")</f>
        <v>#N/A</v>
      </c>
      <c r="AF27" s="24" t="e">
        <f>RTD("tryd.rtdserver",,"COT","CSAN3","Vol")</f>
        <v>#N/A</v>
      </c>
    </row>
    <row r="28" spans="1:32" s="24" customFormat="1" ht="15.6" x14ac:dyDescent="0.3">
      <c r="A28" s="25" t="str">
        <f t="shared" si="1"/>
        <v>CERTO</v>
      </c>
      <c r="B28" s="30" t="s">
        <v>48</v>
      </c>
      <c r="C28" s="31" t="s">
        <v>48</v>
      </c>
      <c r="D28" s="53" t="e">
        <f t="shared" si="0"/>
        <v>#N/A</v>
      </c>
      <c r="E28" s="31" t="s">
        <v>49</v>
      </c>
      <c r="F28" s="31" t="s">
        <v>7</v>
      </c>
      <c r="G28" s="66">
        <v>642398790</v>
      </c>
      <c r="H28" s="66">
        <v>642398790</v>
      </c>
      <c r="I28" s="31">
        <f t="shared" si="2"/>
        <v>0</v>
      </c>
      <c r="J28" s="46">
        <v>0.52600000000000002</v>
      </c>
      <c r="K28" s="33" t="e">
        <f t="shared" si="3"/>
        <v>#N/A</v>
      </c>
      <c r="L28" s="34" t="e">
        <f t="shared" si="4"/>
        <v>#N/A</v>
      </c>
      <c r="M28" s="35" t="e">
        <f t="shared" si="5"/>
        <v>#N/A</v>
      </c>
      <c r="N28" s="36" t="e">
        <f t="shared" si="6"/>
        <v>#N/A</v>
      </c>
      <c r="O28" s="57" t="e">
        <f t="shared" si="7"/>
        <v>#N/A</v>
      </c>
      <c r="P28" s="58" t="e">
        <f t="shared" si="8"/>
        <v>#N/A</v>
      </c>
      <c r="Q28" s="58" t="str">
        <f t="shared" si="9"/>
        <v>CSNA3</v>
      </c>
      <c r="R28" s="64" t="str">
        <f t="shared" si="10"/>
        <v>SID NACIONAL</v>
      </c>
      <c r="S28" s="61" t="e">
        <f t="shared" si="11"/>
        <v>#N/A</v>
      </c>
      <c r="T28" s="24" t="s">
        <v>48</v>
      </c>
      <c r="U28" s="37" t="e">
        <f>RTD("tryd.rtdserver",,"COT","CSNA3","Ult")</f>
        <v>#N/A</v>
      </c>
      <c r="V28" s="51" t="e">
        <f>RTD("tryd.rtdserver",,"COT","CSNA3","VarPer")</f>
        <v>#N/A</v>
      </c>
      <c r="W28" s="51" t="e">
        <f>RTD("tryd.rtdserver",,"COT","CSNA3","VarVarPer")</f>
        <v>#N/A</v>
      </c>
      <c r="X28" s="49" t="e">
        <f>RTD("tryd.rtdserver",,"COT","CSNA3","PrcCpa")</f>
        <v>#N/A</v>
      </c>
      <c r="Y28" s="50" t="e">
        <f>RTD("tryd.rtdserver",,"COT","CSNA3","PrcVda")</f>
        <v>#N/A</v>
      </c>
      <c r="Z28" s="37" t="e">
        <f>RTD("tryd.rtdserver",,"COT","CSNA3","Fech")</f>
        <v>#N/A</v>
      </c>
      <c r="AA28" s="37" t="e">
        <f>RTD("tryd.rtdserver",,"COT","CSNA3","Abert")</f>
        <v>#N/A</v>
      </c>
      <c r="AB28" s="37" t="e">
        <f>RTD("tryd.rtdserver",,"COT","CSNA3","Min")</f>
        <v>#N/A</v>
      </c>
      <c r="AC28" s="37" t="e">
        <f>RTD("tryd.rtdserver",,"COT","CSNA3","Media")</f>
        <v>#N/A</v>
      </c>
      <c r="AD28" s="37" t="e">
        <f>RTD("tryd.rtdserver",,"COT","CSNA3","Max")</f>
        <v>#N/A</v>
      </c>
      <c r="AE28" s="24" t="e">
        <f>RTD("tryd.rtdserver",,"COT","CSNA3","Desc")</f>
        <v>#N/A</v>
      </c>
      <c r="AF28" s="24" t="e">
        <f>RTD("tryd.rtdserver",,"COT","CSNA3","Vol")</f>
        <v>#N/A</v>
      </c>
    </row>
    <row r="29" spans="1:32" s="24" customFormat="1" ht="15.6" x14ac:dyDescent="0.3">
      <c r="A29" s="25" t="str">
        <f t="shared" si="1"/>
        <v>CERTO</v>
      </c>
      <c r="B29" s="68" t="s">
        <v>50</v>
      </c>
      <c r="C29" s="69" t="s">
        <v>50</v>
      </c>
      <c r="D29" s="70" t="e">
        <f t="shared" si="0"/>
        <v>#N/A</v>
      </c>
      <c r="E29" s="69" t="s">
        <v>51</v>
      </c>
      <c r="F29" s="69" t="s">
        <v>13</v>
      </c>
      <c r="G29" s="71">
        <v>149183975</v>
      </c>
      <c r="H29" s="66">
        <v>149183975</v>
      </c>
      <c r="I29" s="31">
        <f t="shared" si="2"/>
        <v>0</v>
      </c>
      <c r="J29" s="46">
        <v>0.14599999999999999</v>
      </c>
      <c r="K29" s="33" t="e">
        <f t="shared" si="3"/>
        <v>#N/A</v>
      </c>
      <c r="L29" s="34" t="e">
        <f t="shared" si="4"/>
        <v>#N/A</v>
      </c>
      <c r="M29" s="35" t="e">
        <f t="shared" si="5"/>
        <v>#N/A</v>
      </c>
      <c r="N29" s="36" t="e">
        <f t="shared" si="6"/>
        <v>#N/A</v>
      </c>
      <c r="O29" s="57" t="e">
        <f t="shared" si="7"/>
        <v>#N/A</v>
      </c>
      <c r="P29" s="58" t="e">
        <f t="shared" si="8"/>
        <v>#N/A</v>
      </c>
      <c r="Q29" s="58" t="str">
        <f t="shared" si="9"/>
        <v>CVCB3</v>
      </c>
      <c r="R29" s="64" t="str">
        <f t="shared" si="10"/>
        <v>CVC BRASIL</v>
      </c>
      <c r="S29" s="61" t="e">
        <f t="shared" si="11"/>
        <v>#N/A</v>
      </c>
      <c r="T29" s="24" t="s">
        <v>50</v>
      </c>
      <c r="U29" s="37" t="e">
        <f>RTD("tryd.rtdserver",,"COT","CVCB3","Ult")</f>
        <v>#N/A</v>
      </c>
      <c r="V29" s="51" t="e">
        <f>RTD("tryd.rtdserver",,"COT","CVCB3","VarPer")</f>
        <v>#N/A</v>
      </c>
      <c r="W29" s="51" t="e">
        <f>RTD("tryd.rtdserver",,"COT","CVCB3","VarVarPer")</f>
        <v>#N/A</v>
      </c>
      <c r="X29" s="49" t="e">
        <f>RTD("tryd.rtdserver",,"COT","CVCB3","PrcCpa")</f>
        <v>#N/A</v>
      </c>
      <c r="Y29" s="50" t="e">
        <f>RTD("tryd.rtdserver",,"COT","CVCB3","PrcVda")</f>
        <v>#N/A</v>
      </c>
      <c r="Z29" s="37" t="e">
        <f>RTD("tryd.rtdserver",,"COT","CVCB3","Fech")</f>
        <v>#N/A</v>
      </c>
      <c r="AA29" s="37" t="e">
        <f>RTD("tryd.rtdserver",,"COT","CVCB3","Abert")</f>
        <v>#N/A</v>
      </c>
      <c r="AB29" s="37" t="e">
        <f>RTD("tryd.rtdserver",,"COT","CVCB3","Min")</f>
        <v>#N/A</v>
      </c>
      <c r="AC29" s="37" t="e">
        <f>RTD("tryd.rtdserver",,"COT","CVCB3","Media")</f>
        <v>#N/A</v>
      </c>
      <c r="AD29" s="37" t="e">
        <f>RTD("tryd.rtdserver",,"COT","CVCB3","Max")</f>
        <v>#N/A</v>
      </c>
      <c r="AE29" s="24" t="e">
        <f>RTD("tryd.rtdserver",,"COT","CVCB3","Desc")</f>
        <v>#N/A</v>
      </c>
      <c r="AF29" s="24" t="e">
        <f>RTD("tryd.rtdserver",,"COT","CVCB3","Vol")</f>
        <v>#N/A</v>
      </c>
    </row>
    <row r="30" spans="1:32" s="24" customFormat="1" ht="15.6" x14ac:dyDescent="0.3">
      <c r="A30" s="25" t="str">
        <f t="shared" si="1"/>
        <v>CERTO</v>
      </c>
      <c r="B30" s="30" t="s">
        <v>52</v>
      </c>
      <c r="C30" s="31" t="s">
        <v>52</v>
      </c>
      <c r="D30" s="53" t="e">
        <f t="shared" si="0"/>
        <v>#N/A</v>
      </c>
      <c r="E30" s="31" t="s">
        <v>53</v>
      </c>
      <c r="F30" s="31" t="s">
        <v>13</v>
      </c>
      <c r="G30" s="66">
        <v>281154098</v>
      </c>
      <c r="H30" s="66">
        <v>281154098</v>
      </c>
      <c r="I30" s="31">
        <f t="shared" si="2"/>
        <v>0</v>
      </c>
      <c r="J30" s="46">
        <v>0.36599999999999999</v>
      </c>
      <c r="K30" s="33" t="e">
        <f t="shared" si="3"/>
        <v>#N/A</v>
      </c>
      <c r="L30" s="34" t="e">
        <f t="shared" si="4"/>
        <v>#N/A</v>
      </c>
      <c r="M30" s="35" t="e">
        <f t="shared" si="5"/>
        <v>#N/A</v>
      </c>
      <c r="N30" s="36" t="e">
        <f t="shared" si="6"/>
        <v>#N/A</v>
      </c>
      <c r="O30" s="57" t="e">
        <f t="shared" si="7"/>
        <v>#N/A</v>
      </c>
      <c r="P30" s="58" t="e">
        <f t="shared" si="8"/>
        <v>#N/A</v>
      </c>
      <c r="Q30" s="58" t="str">
        <f t="shared" si="9"/>
        <v>CYRE3</v>
      </c>
      <c r="R30" s="64" t="str">
        <f t="shared" si="10"/>
        <v>CYRELA REALT</v>
      </c>
      <c r="S30" s="61" t="e">
        <f t="shared" si="11"/>
        <v>#N/A</v>
      </c>
      <c r="T30" s="24" t="s">
        <v>52</v>
      </c>
      <c r="U30" s="37" t="e">
        <f>RTD("tryd.rtdserver",,"COT","CYRE3","Ult")</f>
        <v>#N/A</v>
      </c>
      <c r="V30" s="51" t="e">
        <f>RTD("tryd.rtdserver",,"COT","CYRE3","VarPer")</f>
        <v>#N/A</v>
      </c>
      <c r="W30" s="51" t="e">
        <f>RTD("tryd.rtdserver",,"COT","CYRE3","VarVarPer")</f>
        <v>#N/A</v>
      </c>
      <c r="X30" s="49" t="e">
        <f>RTD("tryd.rtdserver",,"COT","CYRE3","PrcCpa")</f>
        <v>#N/A</v>
      </c>
      <c r="Y30" s="50" t="e">
        <f>RTD("tryd.rtdserver",,"COT","CYRE3","PrcVda")</f>
        <v>#N/A</v>
      </c>
      <c r="Z30" s="37" t="e">
        <f>RTD("tryd.rtdserver",,"COT","CYRE3","Fech")</f>
        <v>#N/A</v>
      </c>
      <c r="AA30" s="37" t="e">
        <f>RTD("tryd.rtdserver",,"COT","CYRE3","Abert")</f>
        <v>#N/A</v>
      </c>
      <c r="AB30" s="37" t="e">
        <f>RTD("tryd.rtdserver",,"COT","CYRE3","Min")</f>
        <v>#N/A</v>
      </c>
      <c r="AC30" s="37" t="e">
        <f>RTD("tryd.rtdserver",,"COT","CYRE3","Media")</f>
        <v>#N/A</v>
      </c>
      <c r="AD30" s="37" t="e">
        <f>RTD("tryd.rtdserver",,"COT","CYRE3","Max")</f>
        <v>#N/A</v>
      </c>
      <c r="AE30" s="24" t="e">
        <f>RTD("tryd.rtdserver",,"COT","CYRE3","Desc")</f>
        <v>#N/A</v>
      </c>
      <c r="AF30" s="24" t="e">
        <f>RTD("tryd.rtdserver",,"COT","CYRE3","Vol")</f>
        <v>#N/A</v>
      </c>
    </row>
    <row r="31" spans="1:32" s="24" customFormat="1" ht="15.6" x14ac:dyDescent="0.3">
      <c r="A31" s="25" t="str">
        <f t="shared" si="1"/>
        <v>CERTO</v>
      </c>
      <c r="B31" s="68" t="s">
        <v>54</v>
      </c>
      <c r="C31" s="69" t="s">
        <v>54</v>
      </c>
      <c r="D31" s="70" t="e">
        <f t="shared" si="0"/>
        <v>#N/A</v>
      </c>
      <c r="E31" s="69" t="s">
        <v>55</v>
      </c>
      <c r="F31" s="69" t="s">
        <v>13</v>
      </c>
      <c r="G31" s="66">
        <v>171109276</v>
      </c>
      <c r="H31" s="66">
        <v>171109276</v>
      </c>
      <c r="I31" s="69">
        <f t="shared" si="2"/>
        <v>0</v>
      </c>
      <c r="J31" s="46">
        <v>0.127</v>
      </c>
      <c r="K31" s="33" t="e">
        <f t="shared" si="3"/>
        <v>#N/A</v>
      </c>
      <c r="L31" s="34" t="e">
        <f t="shared" si="4"/>
        <v>#N/A</v>
      </c>
      <c r="M31" s="35" t="e">
        <f t="shared" si="5"/>
        <v>#N/A</v>
      </c>
      <c r="N31" s="36" t="e">
        <f t="shared" si="6"/>
        <v>#N/A</v>
      </c>
      <c r="O31" s="57" t="e">
        <f t="shared" si="7"/>
        <v>#N/A</v>
      </c>
      <c r="P31" s="58" t="e">
        <f t="shared" si="8"/>
        <v>#N/A</v>
      </c>
      <c r="Q31" s="58" t="str">
        <f t="shared" si="9"/>
        <v>ECOR3</v>
      </c>
      <c r="R31" s="64" t="str">
        <f t="shared" si="10"/>
        <v>ECORODOVIAS</v>
      </c>
      <c r="S31" s="61" t="e">
        <f t="shared" si="11"/>
        <v>#N/A</v>
      </c>
      <c r="T31" s="24" t="s">
        <v>54</v>
      </c>
      <c r="U31" s="37" t="e">
        <f>RTD("tryd.rtdserver",,"COT","ECOR3","Ult")</f>
        <v>#N/A</v>
      </c>
      <c r="V31" s="51" t="e">
        <f>RTD("tryd.rtdserver",,"COT","ECOR3","VarPer")</f>
        <v>#N/A</v>
      </c>
      <c r="W31" s="51" t="e">
        <f>RTD("tryd.rtdserver",,"COT","ECOR3","VarVarPer")</f>
        <v>#N/A</v>
      </c>
      <c r="X31" s="49" t="e">
        <f>RTD("tryd.rtdserver",,"COT","ECOR3","PrcCpa")</f>
        <v>#N/A</v>
      </c>
      <c r="Y31" s="50" t="e">
        <f>RTD("tryd.rtdserver",,"COT","ECOR3","PrcVda")</f>
        <v>#N/A</v>
      </c>
      <c r="Z31" s="37" t="e">
        <f>RTD("tryd.rtdserver",,"COT","ECOR3","Fech")</f>
        <v>#N/A</v>
      </c>
      <c r="AA31" s="37" t="e">
        <f>RTD("tryd.rtdserver",,"COT","ECOR3","Abert")</f>
        <v>#N/A</v>
      </c>
      <c r="AB31" s="37" t="e">
        <f>RTD("tryd.rtdserver",,"COT","ECOR3","Min")</f>
        <v>#N/A</v>
      </c>
      <c r="AC31" s="37" t="e">
        <f>RTD("tryd.rtdserver",,"COT","ECOR3","Media")</f>
        <v>#N/A</v>
      </c>
      <c r="AD31" s="37" t="e">
        <f>RTD("tryd.rtdserver",,"COT","ECOR3","Max")</f>
        <v>#N/A</v>
      </c>
      <c r="AE31" s="24" t="e">
        <f>RTD("tryd.rtdserver",,"COT","ECOR3","Desc")</f>
        <v>#N/A</v>
      </c>
      <c r="AF31" s="24" t="e">
        <f>RTD("tryd.rtdserver",,"COT","ECOR3","Vol")</f>
        <v>#N/A</v>
      </c>
    </row>
    <row r="32" spans="1:32" s="24" customFormat="1" ht="15.6" x14ac:dyDescent="0.3">
      <c r="A32" s="25" t="str">
        <f t="shared" si="1"/>
        <v>CERTO</v>
      </c>
      <c r="B32" s="30" t="s">
        <v>56</v>
      </c>
      <c r="C32" s="31" t="s">
        <v>56</v>
      </c>
      <c r="D32" s="53" t="e">
        <f t="shared" si="0"/>
        <v>#N/A</v>
      </c>
      <c r="E32" s="31" t="s">
        <v>57</v>
      </c>
      <c r="F32" s="31" t="s">
        <v>13</v>
      </c>
      <c r="G32" s="66">
        <v>254792279</v>
      </c>
      <c r="H32" s="66">
        <v>254792279</v>
      </c>
      <c r="I32" s="31">
        <f t="shared" si="2"/>
        <v>0</v>
      </c>
      <c r="J32" s="46">
        <v>0.61099999999999999</v>
      </c>
      <c r="K32" s="33" t="e">
        <f t="shared" si="3"/>
        <v>#N/A</v>
      </c>
      <c r="L32" s="34" t="e">
        <f t="shared" si="4"/>
        <v>#N/A</v>
      </c>
      <c r="M32" s="35" t="e">
        <f t="shared" si="5"/>
        <v>#N/A</v>
      </c>
      <c r="N32" s="36" t="e">
        <f t="shared" si="6"/>
        <v>#N/A</v>
      </c>
      <c r="O32" s="57" t="e">
        <f t="shared" si="7"/>
        <v>#N/A</v>
      </c>
      <c r="P32" s="58" t="e">
        <f t="shared" si="8"/>
        <v>#N/A</v>
      </c>
      <c r="Q32" s="58" t="str">
        <f t="shared" si="9"/>
        <v>EGIE3</v>
      </c>
      <c r="R32" s="64" t="str">
        <f t="shared" si="10"/>
        <v>ENGIE BRASIL</v>
      </c>
      <c r="S32" s="61" t="e">
        <f t="shared" si="11"/>
        <v>#N/A</v>
      </c>
      <c r="T32" s="24" t="s">
        <v>56</v>
      </c>
      <c r="U32" s="37" t="e">
        <f>RTD("tryd.rtdserver",,"COT","EGIE3","Ult")</f>
        <v>#N/A</v>
      </c>
      <c r="V32" s="51" t="e">
        <f>RTD("tryd.rtdserver",,"COT","EGIE3","VarPer")</f>
        <v>#N/A</v>
      </c>
      <c r="W32" s="51" t="e">
        <f>RTD("tryd.rtdserver",,"COT","EGIE3","VarVarPer")</f>
        <v>#N/A</v>
      </c>
      <c r="X32" s="49" t="e">
        <f>RTD("tryd.rtdserver",,"COT","EGIE3","PrcCpa")</f>
        <v>#N/A</v>
      </c>
      <c r="Y32" s="50" t="e">
        <f>RTD("tryd.rtdserver",,"COT","EGIE3","PrcVda")</f>
        <v>#N/A</v>
      </c>
      <c r="Z32" s="37" t="e">
        <f>RTD("tryd.rtdserver",,"COT","EGIE3","Fech")</f>
        <v>#N/A</v>
      </c>
      <c r="AA32" s="37" t="e">
        <f>RTD("tryd.rtdserver",,"COT","EGIE3","Abert")</f>
        <v>#N/A</v>
      </c>
      <c r="AB32" s="37" t="e">
        <f>RTD("tryd.rtdserver",,"COT","EGIE3","Min")</f>
        <v>#N/A</v>
      </c>
      <c r="AC32" s="37" t="e">
        <f>RTD("tryd.rtdserver",,"COT","EGIE3","Media")</f>
        <v>#N/A</v>
      </c>
      <c r="AD32" s="37" t="e">
        <f>RTD("tryd.rtdserver",,"COT","EGIE3","Max")</f>
        <v>#N/A</v>
      </c>
      <c r="AE32" s="24" t="e">
        <f>RTD("tryd.rtdserver",,"COT","EGIE3","Desc")</f>
        <v>#N/A</v>
      </c>
      <c r="AF32" s="24" t="e">
        <f>RTD("tryd.rtdserver",,"COT","EGIE3","Vol")</f>
        <v>#N/A</v>
      </c>
    </row>
    <row r="33" spans="1:32" s="24" customFormat="1" ht="15.6" x14ac:dyDescent="0.3">
      <c r="A33" s="25" t="str">
        <f t="shared" si="1"/>
        <v>CERTO</v>
      </c>
      <c r="B33" s="30" t="s">
        <v>58</v>
      </c>
      <c r="C33" s="31" t="s">
        <v>58</v>
      </c>
      <c r="D33" s="53" t="e">
        <f t="shared" si="0"/>
        <v>#N/A</v>
      </c>
      <c r="E33" s="31" t="s">
        <v>59</v>
      </c>
      <c r="F33" s="31" t="s">
        <v>60</v>
      </c>
      <c r="G33" s="66">
        <v>358018408</v>
      </c>
      <c r="H33" s="66">
        <v>358018408</v>
      </c>
      <c r="I33" s="31">
        <f t="shared" si="2"/>
        <v>0</v>
      </c>
      <c r="J33" s="46">
        <v>0.70799999999999996</v>
      </c>
      <c r="K33" s="33" t="e">
        <f t="shared" si="3"/>
        <v>#N/A</v>
      </c>
      <c r="L33" s="34" t="e">
        <f t="shared" si="4"/>
        <v>#N/A</v>
      </c>
      <c r="M33" s="35" t="e">
        <f t="shared" si="5"/>
        <v>#N/A</v>
      </c>
      <c r="N33" s="36" t="e">
        <f t="shared" si="6"/>
        <v>#N/A</v>
      </c>
      <c r="O33" s="57" t="e">
        <f t="shared" si="7"/>
        <v>#N/A</v>
      </c>
      <c r="P33" s="58" t="e">
        <f t="shared" si="8"/>
        <v>#N/A</v>
      </c>
      <c r="Q33" s="58" t="str">
        <f t="shared" si="9"/>
        <v>ELET3</v>
      </c>
      <c r="R33" s="64" t="str">
        <f t="shared" si="10"/>
        <v>ELETROBRAS</v>
      </c>
      <c r="S33" s="61" t="e">
        <f t="shared" si="11"/>
        <v>#N/A</v>
      </c>
      <c r="T33" s="24" t="s">
        <v>58</v>
      </c>
      <c r="U33" s="37" t="e">
        <f>RTD("tryd.rtdserver",,"COT","ELET3","Ult")</f>
        <v>#N/A</v>
      </c>
      <c r="V33" s="51" t="e">
        <f>RTD("tryd.rtdserver",,"COT","ELET3","VarPer")</f>
        <v>#N/A</v>
      </c>
      <c r="W33" s="51" t="e">
        <f>RTD("tryd.rtdserver",,"COT","ELET3","VarVarPer")</f>
        <v>#N/A</v>
      </c>
      <c r="X33" s="49" t="e">
        <f>RTD("tryd.rtdserver",,"COT","ELET3","PrcCpa")</f>
        <v>#N/A</v>
      </c>
      <c r="Y33" s="50" t="e">
        <f>RTD("tryd.rtdserver",,"COT","ELET3","PrcVda")</f>
        <v>#N/A</v>
      </c>
      <c r="Z33" s="37" t="e">
        <f>RTD("tryd.rtdserver",,"COT","ELET3","Fech")</f>
        <v>#N/A</v>
      </c>
      <c r="AA33" s="37" t="e">
        <f>RTD("tryd.rtdserver",,"COT","ELET3","Abert")</f>
        <v>#N/A</v>
      </c>
      <c r="AB33" s="37" t="e">
        <f>RTD("tryd.rtdserver",,"COT","ELET3","Min")</f>
        <v>#N/A</v>
      </c>
      <c r="AC33" s="37" t="e">
        <f>RTD("tryd.rtdserver",,"COT","ELET3","Media")</f>
        <v>#N/A</v>
      </c>
      <c r="AD33" s="37" t="e">
        <f>RTD("tryd.rtdserver",,"COT","ELET3","Max")</f>
        <v>#N/A</v>
      </c>
      <c r="AE33" s="24" t="e">
        <f>RTD("tryd.rtdserver",,"COT","ELET3","Desc")</f>
        <v>#N/A</v>
      </c>
      <c r="AF33" s="24" t="e">
        <f>RTD("tryd.rtdserver",,"COT","ELET3","Vol")</f>
        <v>#N/A</v>
      </c>
    </row>
    <row r="34" spans="1:32" s="24" customFormat="1" ht="15.6" x14ac:dyDescent="0.3">
      <c r="A34" s="25" t="str">
        <f t="shared" si="1"/>
        <v>CERTO</v>
      </c>
      <c r="B34" s="30" t="s">
        <v>61</v>
      </c>
      <c r="C34" s="31" t="s">
        <v>61</v>
      </c>
      <c r="D34" s="53" t="e">
        <f t="shared" si="0"/>
        <v>#N/A</v>
      </c>
      <c r="E34" s="31" t="s">
        <v>59</v>
      </c>
      <c r="F34" s="31" t="s">
        <v>62</v>
      </c>
      <c r="G34" s="66">
        <v>240019548</v>
      </c>
      <c r="H34" s="66">
        <v>240019548</v>
      </c>
      <c r="I34" s="31">
        <f t="shared" si="2"/>
        <v>0</v>
      </c>
      <c r="J34" s="46">
        <v>0.48299999999999998</v>
      </c>
      <c r="K34" s="33" t="e">
        <f t="shared" si="3"/>
        <v>#N/A</v>
      </c>
      <c r="L34" s="34" t="e">
        <f t="shared" si="4"/>
        <v>#N/A</v>
      </c>
      <c r="M34" s="35" t="e">
        <f t="shared" si="5"/>
        <v>#N/A</v>
      </c>
      <c r="N34" s="36" t="e">
        <f t="shared" si="6"/>
        <v>#N/A</v>
      </c>
      <c r="O34" s="57" t="e">
        <f t="shared" si="7"/>
        <v>#N/A</v>
      </c>
      <c r="P34" s="58" t="e">
        <f t="shared" si="8"/>
        <v>#N/A</v>
      </c>
      <c r="Q34" s="58" t="str">
        <f t="shared" si="9"/>
        <v>ELET6</v>
      </c>
      <c r="R34" s="64" t="str">
        <f t="shared" si="10"/>
        <v>ELETROBRAS</v>
      </c>
      <c r="S34" s="61" t="e">
        <f t="shared" si="11"/>
        <v>#N/A</v>
      </c>
      <c r="T34" s="24" t="s">
        <v>61</v>
      </c>
      <c r="U34" s="37" t="e">
        <f>RTD("tryd.rtdserver",,"COT","ELET6","Ult")</f>
        <v>#N/A</v>
      </c>
      <c r="V34" s="51" t="e">
        <f>RTD("tryd.rtdserver",,"COT","ELET6","VarPer")</f>
        <v>#N/A</v>
      </c>
      <c r="W34" s="51" t="e">
        <f>RTD("tryd.rtdserver",,"COT","ELET6","VarVarPer")</f>
        <v>#N/A</v>
      </c>
      <c r="X34" s="49" t="e">
        <f>RTD("tryd.rtdserver",,"COT","ELET6","PrcCpa")</f>
        <v>#N/A</v>
      </c>
      <c r="Y34" s="50" t="e">
        <f>RTD("tryd.rtdserver",,"COT","ELET6","PrcVda")</f>
        <v>#N/A</v>
      </c>
      <c r="Z34" s="37" t="e">
        <f>RTD("tryd.rtdserver",,"COT","ELET6","Fech")</f>
        <v>#N/A</v>
      </c>
      <c r="AA34" s="37" t="e">
        <f>RTD("tryd.rtdserver",,"COT","ELET6","Abert")</f>
        <v>#N/A</v>
      </c>
      <c r="AB34" s="37" t="e">
        <f>RTD("tryd.rtdserver",,"COT","ELET6","Min")</f>
        <v>#N/A</v>
      </c>
      <c r="AC34" s="37" t="e">
        <f>RTD("tryd.rtdserver",,"COT","ELET6","Media")</f>
        <v>#N/A</v>
      </c>
      <c r="AD34" s="37" t="e">
        <f>RTD("tryd.rtdserver",,"COT","ELET6","Max")</f>
        <v>#N/A</v>
      </c>
      <c r="AE34" s="24" t="e">
        <f>RTD("tryd.rtdserver",,"COT","ELET6","Desc")</f>
        <v>#N/A</v>
      </c>
      <c r="AF34" s="24" t="e">
        <f>RTD("tryd.rtdserver",,"COT","ELET6","Vol")</f>
        <v>#N/A</v>
      </c>
    </row>
    <row r="35" spans="1:32" s="24" customFormat="1" ht="15.6" x14ac:dyDescent="0.3">
      <c r="A35" s="25" t="str">
        <f t="shared" si="1"/>
        <v>CERTO</v>
      </c>
      <c r="B35" s="30" t="s">
        <v>63</v>
      </c>
      <c r="C35" s="31" t="s">
        <v>63</v>
      </c>
      <c r="D35" s="53" t="e">
        <f t="shared" si="0"/>
        <v>#N/A</v>
      </c>
      <c r="E35" s="31" t="s">
        <v>64</v>
      </c>
      <c r="F35" s="31" t="s">
        <v>13</v>
      </c>
      <c r="G35" s="66">
        <v>736160905</v>
      </c>
      <c r="H35" s="66">
        <v>736160905</v>
      </c>
      <c r="I35" s="31">
        <f t="shared" si="2"/>
        <v>0</v>
      </c>
      <c r="J35" s="46">
        <v>0.29499999999999998</v>
      </c>
      <c r="K35" s="33" t="e">
        <f t="shared" si="3"/>
        <v>#N/A</v>
      </c>
      <c r="L35" s="34" t="e">
        <f t="shared" si="4"/>
        <v>#N/A</v>
      </c>
      <c r="M35" s="35" t="e">
        <f t="shared" si="5"/>
        <v>#N/A</v>
      </c>
      <c r="N35" s="36" t="e">
        <f t="shared" si="6"/>
        <v>#N/A</v>
      </c>
      <c r="O35" s="57" t="e">
        <f t="shared" si="7"/>
        <v>#N/A</v>
      </c>
      <c r="P35" s="58" t="e">
        <f t="shared" si="8"/>
        <v>#N/A</v>
      </c>
      <c r="Q35" s="58" t="str">
        <f t="shared" si="9"/>
        <v>EMBR3</v>
      </c>
      <c r="R35" s="64" t="str">
        <f t="shared" si="10"/>
        <v>EMBRAER</v>
      </c>
      <c r="S35" s="61" t="e">
        <f t="shared" si="11"/>
        <v>#N/A</v>
      </c>
      <c r="T35" s="24" t="s">
        <v>63</v>
      </c>
      <c r="U35" s="37" t="e">
        <f>RTD("tryd.rtdserver",,"COT","EMBR3","Ult")</f>
        <v>#N/A</v>
      </c>
      <c r="V35" s="51" t="e">
        <f>RTD("tryd.rtdserver",,"COT","EMBR3","VarPer")</f>
        <v>#N/A</v>
      </c>
      <c r="W35" s="51" t="e">
        <f>RTD("tryd.rtdserver",,"COT","EMBR3","VarVarPer")</f>
        <v>#N/A</v>
      </c>
      <c r="X35" s="49" t="e">
        <f>RTD("tryd.rtdserver",,"COT","EMBR3","PrcCpa")</f>
        <v>#N/A</v>
      </c>
      <c r="Y35" s="50" t="e">
        <f>RTD("tryd.rtdserver",,"COT","EMBR3","PrcVda")</f>
        <v>#N/A</v>
      </c>
      <c r="Z35" s="37" t="e">
        <f>RTD("tryd.rtdserver",,"COT","EMBR3","Fech")</f>
        <v>#N/A</v>
      </c>
      <c r="AA35" s="37" t="e">
        <f>RTD("tryd.rtdserver",,"COT","EMBR3","Abert")</f>
        <v>#N/A</v>
      </c>
      <c r="AB35" s="37" t="e">
        <f>RTD("tryd.rtdserver",,"COT","EMBR3","Min")</f>
        <v>#N/A</v>
      </c>
      <c r="AC35" s="37" t="e">
        <f>RTD("tryd.rtdserver",,"COT","EMBR3","Media")</f>
        <v>#N/A</v>
      </c>
      <c r="AD35" s="37" t="e">
        <f>RTD("tryd.rtdserver",,"COT","EMBR3","Max")</f>
        <v>#N/A</v>
      </c>
      <c r="AE35" s="24" t="e">
        <f>RTD("tryd.rtdserver",,"COT","EMBR3","Desc")</f>
        <v>#N/A</v>
      </c>
      <c r="AF35" s="24" t="e">
        <f>RTD("tryd.rtdserver",,"COT","EMBR3","Vol")</f>
        <v>#N/A</v>
      </c>
    </row>
    <row r="36" spans="1:32" s="24" customFormat="1" ht="15.6" x14ac:dyDescent="0.3">
      <c r="A36" s="25" t="str">
        <f t="shared" si="1"/>
        <v>CERTO</v>
      </c>
      <c r="B36" s="30" t="s">
        <v>65</v>
      </c>
      <c r="C36" s="31" t="s">
        <v>65</v>
      </c>
      <c r="D36" s="53" t="e">
        <f t="shared" si="0"/>
        <v>#N/A</v>
      </c>
      <c r="E36" s="31" t="s">
        <v>66</v>
      </c>
      <c r="F36" s="31" t="s">
        <v>13</v>
      </c>
      <c r="G36" s="66">
        <v>294036156</v>
      </c>
      <c r="H36" s="66">
        <v>294036156</v>
      </c>
      <c r="I36" s="31">
        <f t="shared" si="2"/>
        <v>0</v>
      </c>
      <c r="J36" s="46">
        <v>0.30099999999999999</v>
      </c>
      <c r="K36" s="33" t="e">
        <f t="shared" si="3"/>
        <v>#N/A</v>
      </c>
      <c r="L36" s="34" t="e">
        <f t="shared" si="4"/>
        <v>#N/A</v>
      </c>
      <c r="M36" s="35" t="e">
        <f t="shared" si="5"/>
        <v>#N/A</v>
      </c>
      <c r="N36" s="36" t="e">
        <f t="shared" si="6"/>
        <v>#N/A</v>
      </c>
      <c r="O36" s="57" t="e">
        <f t="shared" si="7"/>
        <v>#N/A</v>
      </c>
      <c r="P36" s="58" t="e">
        <f t="shared" si="8"/>
        <v>#N/A</v>
      </c>
      <c r="Q36" s="58" t="str">
        <f t="shared" si="9"/>
        <v>ENBR3</v>
      </c>
      <c r="R36" s="64" t="str">
        <f t="shared" si="10"/>
        <v>ENERGIAS BR</v>
      </c>
      <c r="S36" s="61" t="e">
        <f t="shared" si="11"/>
        <v>#N/A</v>
      </c>
      <c r="T36" s="24" t="s">
        <v>65</v>
      </c>
      <c r="U36" s="37" t="e">
        <f>RTD("tryd.rtdserver",,"COT","ENBR3","Ult")</f>
        <v>#N/A</v>
      </c>
      <c r="V36" s="51" t="e">
        <f>RTD("tryd.rtdserver",,"COT","ENBR3","VarPer")</f>
        <v>#N/A</v>
      </c>
      <c r="W36" s="51" t="e">
        <f>RTD("tryd.rtdserver",,"COT","ENBR3","VarVarPer")</f>
        <v>#N/A</v>
      </c>
      <c r="X36" s="49" t="e">
        <f>RTD("tryd.rtdserver",,"COT","ENBR3","PrcCpa")</f>
        <v>#N/A</v>
      </c>
      <c r="Y36" s="50" t="e">
        <f>RTD("tryd.rtdserver",,"COT","ENBR3","PrcVda")</f>
        <v>#N/A</v>
      </c>
      <c r="Z36" s="37" t="e">
        <f>RTD("tryd.rtdserver",,"COT","ENBR3","Fech")</f>
        <v>#N/A</v>
      </c>
      <c r="AA36" s="37" t="e">
        <f>RTD("tryd.rtdserver",,"COT","ENBR3","Abert")</f>
        <v>#N/A</v>
      </c>
      <c r="AB36" s="37" t="e">
        <f>RTD("tryd.rtdserver",,"COT","ENBR3","Min")</f>
        <v>#N/A</v>
      </c>
      <c r="AC36" s="37" t="e">
        <f>RTD("tryd.rtdserver",,"COT","ENBR3","Media")</f>
        <v>#N/A</v>
      </c>
      <c r="AD36" s="37" t="e">
        <f>RTD("tryd.rtdserver",,"COT","ENBR3","Max")</f>
        <v>#N/A</v>
      </c>
      <c r="AE36" s="24" t="e">
        <f>RTD("tryd.rtdserver",,"COT","ENBR3","Desc")</f>
        <v>#N/A</v>
      </c>
      <c r="AF36" s="24" t="e">
        <f>RTD("tryd.rtdserver",,"COT","ENBR3","Vol")</f>
        <v>#N/A</v>
      </c>
    </row>
    <row r="37" spans="1:32" s="24" customFormat="1" ht="15.6" x14ac:dyDescent="0.3">
      <c r="A37" s="25" t="str">
        <f t="shared" si="1"/>
        <v>CERTO</v>
      </c>
      <c r="B37" s="30" t="s">
        <v>198</v>
      </c>
      <c r="C37" s="31" t="s">
        <v>198</v>
      </c>
      <c r="D37" s="53" t="e">
        <f t="shared" ref="D37:D68" si="12">V37</f>
        <v>#N/A</v>
      </c>
      <c r="E37" s="31" t="s">
        <v>201</v>
      </c>
      <c r="F37" s="31" t="s">
        <v>23</v>
      </c>
      <c r="G37" s="66">
        <v>250679709</v>
      </c>
      <c r="H37" s="66">
        <v>250679709</v>
      </c>
      <c r="I37" s="31">
        <f t="shared" si="2"/>
        <v>0</v>
      </c>
      <c r="J37" s="46">
        <v>0.59699999999999998</v>
      </c>
      <c r="K37" s="33" t="e">
        <f t="shared" si="3"/>
        <v>#N/A</v>
      </c>
      <c r="L37" s="34" t="e">
        <f t="shared" si="4"/>
        <v>#N/A</v>
      </c>
      <c r="M37" s="35" t="e">
        <f t="shared" si="5"/>
        <v>#N/A</v>
      </c>
      <c r="N37" s="36" t="e">
        <f t="shared" si="6"/>
        <v>#N/A</v>
      </c>
      <c r="O37" s="57" t="e">
        <f t="shared" si="7"/>
        <v>#N/A</v>
      </c>
      <c r="P37" s="58" t="e">
        <f t="shared" si="8"/>
        <v>#N/A</v>
      </c>
      <c r="Q37" s="58" t="str">
        <f t="shared" si="9"/>
        <v>ENGI11</v>
      </c>
      <c r="R37" s="64" t="str">
        <f t="shared" si="10"/>
        <v>ENERGISA</v>
      </c>
      <c r="S37" s="61" t="e">
        <f t="shared" si="11"/>
        <v>#N/A</v>
      </c>
      <c r="U37" s="37" t="e">
        <f>RTD("tryd.rtdserver",,"COT","ENgi11","Ult")</f>
        <v>#N/A</v>
      </c>
      <c r="V37" s="51" t="e">
        <f>RTD("tryd.rtdserver",,"COT","ENGI11","VarPer")</f>
        <v>#N/A</v>
      </c>
      <c r="W37" s="51" t="e">
        <f>RTD("tryd.rtdserver",,"COT","ENGI11","VarVarPer")</f>
        <v>#N/A</v>
      </c>
      <c r="X37" s="49" t="e">
        <f>RTD("tryd.rtdserver",,"COT","ENGI11","PrcCpa")</f>
        <v>#N/A</v>
      </c>
      <c r="Y37" s="50" t="e">
        <f>RTD("tryd.rtdserver",,"COT","ENGI11","PrcVda")</f>
        <v>#N/A</v>
      </c>
      <c r="Z37" s="37" t="e">
        <f>RTD("tryd.rtdserver",,"COT","ENGI11","Fech")</f>
        <v>#N/A</v>
      </c>
      <c r="AA37" s="37" t="e">
        <f>RTD("tryd.rtdserver",,"COT","ENGI11","Abert")</f>
        <v>#N/A</v>
      </c>
      <c r="AB37" s="37" t="e">
        <f>RTD("tryd.rtdserver",,"COT","ENGI11","Min")</f>
        <v>#N/A</v>
      </c>
      <c r="AC37" s="37" t="e">
        <f>RTD("tryd.rtdserver",,"COT","ENGI11","Media")</f>
        <v>#N/A</v>
      </c>
      <c r="AD37" s="37" t="e">
        <f>RTD("tryd.rtdserver",,"COT","ENGI11","Max")</f>
        <v>#N/A</v>
      </c>
      <c r="AE37" s="24" t="e">
        <f>RTD("tryd.rtdserver",,"COT","ENBR3","Desc")</f>
        <v>#N/A</v>
      </c>
      <c r="AF37" s="24" t="e">
        <f>RTD("tryd.rtdserver",,"COT","ENGI11","Vol")</f>
        <v>#N/A</v>
      </c>
    </row>
    <row r="38" spans="1:32" s="24" customFormat="1" ht="15.6" x14ac:dyDescent="0.3">
      <c r="A38" s="25" t="str">
        <f t="shared" ref="A38:A69" si="13">IF(B38=C38,"CERTO","CORRIGIR")</f>
        <v>CERTO</v>
      </c>
      <c r="B38" s="30" t="s">
        <v>67</v>
      </c>
      <c r="C38" s="31" t="s">
        <v>67</v>
      </c>
      <c r="D38" s="53" t="e">
        <f t="shared" si="12"/>
        <v>#N/A</v>
      </c>
      <c r="E38" s="31" t="s">
        <v>68</v>
      </c>
      <c r="F38" s="31" t="s">
        <v>13</v>
      </c>
      <c r="G38" s="66">
        <v>1010286085</v>
      </c>
      <c r="H38" s="66">
        <v>1010286085</v>
      </c>
      <c r="I38" s="31">
        <f t="shared" si="2"/>
        <v>0</v>
      </c>
      <c r="J38" s="46">
        <v>1.3009999999999999</v>
      </c>
      <c r="K38" s="33" t="e">
        <f t="shared" ref="K38:K69" si="14">H38*Z38</f>
        <v>#N/A</v>
      </c>
      <c r="L38" s="34" t="e">
        <f t="shared" ref="L38:L69" si="15">U38*H38</f>
        <v>#N/A</v>
      </c>
      <c r="M38" s="35" t="e">
        <f t="shared" ref="M38:M69" si="16">H38*X38</f>
        <v>#N/A</v>
      </c>
      <c r="N38" s="36" t="e">
        <f t="shared" ref="N38:N69" si="17">H38*Y38</f>
        <v>#N/A</v>
      </c>
      <c r="O38" s="57" t="e">
        <f t="shared" ref="O38:O69" si="18">Y38-Z38</f>
        <v>#N/A</v>
      </c>
      <c r="P38" s="58" t="e">
        <f t="shared" ref="P38:P69" si="19">IF(L38&gt;K38,"VALORIZAÇÃO","DESVALORIZAÇÃO")</f>
        <v>#N/A</v>
      </c>
      <c r="Q38" s="58" t="str">
        <f t="shared" si="9"/>
        <v>EQTL3</v>
      </c>
      <c r="R38" s="64" t="str">
        <f t="shared" si="10"/>
        <v>EQUATORIAL</v>
      </c>
      <c r="S38" s="61" t="e">
        <f t="shared" ref="S38:S69" si="20">L38-K38</f>
        <v>#N/A</v>
      </c>
      <c r="T38" s="24" t="s">
        <v>67</v>
      </c>
      <c r="U38" s="37" t="e">
        <f>RTD("tryd.rtdserver",,"COT","EQTL3","Ult")</f>
        <v>#N/A</v>
      </c>
      <c r="V38" s="51" t="e">
        <f>RTD("tryd.rtdserver",,"COT","EQTL3","VarPer")</f>
        <v>#N/A</v>
      </c>
      <c r="W38" s="51" t="e">
        <f>RTD("tryd.rtdserver",,"COT","EQTL3","VarVarPer")</f>
        <v>#N/A</v>
      </c>
      <c r="X38" s="49" t="e">
        <f>RTD("tryd.rtdserver",,"COT","EQTL3","PrcCpa")</f>
        <v>#N/A</v>
      </c>
      <c r="Y38" s="50" t="e">
        <f>RTD("tryd.rtdserver",,"COT","EQTL3","PrcVda")</f>
        <v>#N/A</v>
      </c>
      <c r="Z38" s="37" t="e">
        <f>RTD("tryd.rtdserver",,"COT","EQTL3","Fech")</f>
        <v>#N/A</v>
      </c>
      <c r="AA38" s="37" t="e">
        <f>RTD("tryd.rtdserver",,"COT","EQTL3","Abert")</f>
        <v>#N/A</v>
      </c>
      <c r="AB38" s="37" t="e">
        <f>RTD("tryd.rtdserver",,"COT","EQTL3","Min")</f>
        <v>#N/A</v>
      </c>
      <c r="AC38" s="37" t="e">
        <f>RTD("tryd.rtdserver",,"COT","EQTL3","Media")</f>
        <v>#N/A</v>
      </c>
      <c r="AD38" s="37" t="e">
        <f>RTD("tryd.rtdserver",,"COT","EQTL3","Max")</f>
        <v>#N/A</v>
      </c>
      <c r="AE38" s="24" t="e">
        <f>RTD("tryd.rtdserver",,"COT","EQTL3","Desc")</f>
        <v>#N/A</v>
      </c>
      <c r="AF38" s="24" t="e">
        <f>RTD("tryd.rtdserver",,"COT","EQTL3","Vol")</f>
        <v>#N/A</v>
      </c>
    </row>
    <row r="39" spans="1:32" s="24" customFormat="1" ht="15.6" x14ac:dyDescent="0.3">
      <c r="A39" s="25" t="str">
        <f t="shared" si="13"/>
        <v>CERTO</v>
      </c>
      <c r="B39" s="30" t="s">
        <v>203</v>
      </c>
      <c r="C39" s="31" t="s">
        <v>203</v>
      </c>
      <c r="D39" s="53" t="e">
        <f t="shared" si="12"/>
        <v>#N/A</v>
      </c>
      <c r="E39" s="31" t="s">
        <v>208</v>
      </c>
      <c r="F39" s="31" t="s">
        <v>13</v>
      </c>
      <c r="G39" s="66">
        <v>95756217</v>
      </c>
      <c r="H39" s="66">
        <v>95756217</v>
      </c>
      <c r="I39" s="31"/>
      <c r="J39" s="46">
        <v>0.20699999999999999</v>
      </c>
      <c r="K39" s="33" t="e">
        <f t="shared" si="14"/>
        <v>#N/A</v>
      </c>
      <c r="L39" s="34" t="e">
        <f t="shared" si="15"/>
        <v>#N/A</v>
      </c>
      <c r="M39" s="35" t="e">
        <f t="shared" si="16"/>
        <v>#N/A</v>
      </c>
      <c r="N39" s="36" t="e">
        <f t="shared" si="17"/>
        <v>#N/A</v>
      </c>
      <c r="O39" s="57" t="e">
        <f t="shared" si="18"/>
        <v>#N/A</v>
      </c>
      <c r="P39" s="58" t="e">
        <f t="shared" si="19"/>
        <v>#N/A</v>
      </c>
      <c r="Q39" s="58" t="s">
        <v>203</v>
      </c>
      <c r="R39" s="64"/>
      <c r="S39" s="61" t="e">
        <f t="shared" si="20"/>
        <v>#N/A</v>
      </c>
      <c r="U39" s="37" t="e">
        <f>RTD("tryd.rtdserver",,"COT","EZTC3","Ult")</f>
        <v>#N/A</v>
      </c>
      <c r="V39" s="51" t="e">
        <f>RTD("tryd.rtdserver",,"COT","EZTC3","VarPer")</f>
        <v>#N/A</v>
      </c>
      <c r="W39" s="51" t="e">
        <f>RTD("tryd.rtdserver",,"COT","EZTC3","VarVarPer")</f>
        <v>#N/A</v>
      </c>
      <c r="X39" s="49" t="e">
        <f>RTD("tryd.rtdserver",,"COT","EZTC3","PrcCpa")</f>
        <v>#N/A</v>
      </c>
      <c r="Y39" s="50" t="e">
        <f>RTD("tryd.rtdserver",,"COT","EZTC3","PrcVda")</f>
        <v>#N/A</v>
      </c>
      <c r="Z39" s="37" t="e">
        <f>RTD("tryd.rtdserver",,"COT","EZTC3","Fech")</f>
        <v>#N/A</v>
      </c>
      <c r="AA39" s="37" t="e">
        <f>RTD("tryd.rtdserver",,"COT","EZTC3","Abert")</f>
        <v>#N/A</v>
      </c>
      <c r="AB39" s="37" t="e">
        <f>RTD("tryd.rtdserver",,"COT","EZTC3","Abert")</f>
        <v>#N/A</v>
      </c>
      <c r="AC39" s="37" t="e">
        <f>RTD("tryd.rtdserver",,"COT","EZTC3","Abert")</f>
        <v>#N/A</v>
      </c>
      <c r="AD39" s="37" t="e">
        <f>RTD("tryd.rtdserver",,"COT","EZTC3","Abert")</f>
        <v>#N/A</v>
      </c>
      <c r="AE39" s="24" t="s">
        <v>210</v>
      </c>
    </row>
    <row r="40" spans="1:32" s="24" customFormat="1" ht="15.6" x14ac:dyDescent="0.3">
      <c r="A40" s="25" t="str">
        <f t="shared" si="13"/>
        <v>CERTO</v>
      </c>
      <c r="B40" s="30" t="s">
        <v>69</v>
      </c>
      <c r="C40" s="31" t="s">
        <v>69</v>
      </c>
      <c r="D40" s="53" t="e">
        <f t="shared" si="12"/>
        <v>#N/A</v>
      </c>
      <c r="E40" s="31" t="s">
        <v>70</v>
      </c>
      <c r="F40" s="31" t="s">
        <v>13</v>
      </c>
      <c r="G40" s="66">
        <v>303800430</v>
      </c>
      <c r="H40" s="66">
        <v>303800430</v>
      </c>
      <c r="I40" s="31">
        <f t="shared" ref="I40:I63" si="21">G40-H40</f>
        <v>0</v>
      </c>
      <c r="J40" s="46">
        <v>0.47</v>
      </c>
      <c r="K40" s="33" t="e">
        <f t="shared" si="14"/>
        <v>#N/A</v>
      </c>
      <c r="L40" s="34" t="e">
        <f t="shared" si="15"/>
        <v>#N/A</v>
      </c>
      <c r="M40" s="35" t="e">
        <f t="shared" si="16"/>
        <v>#N/A</v>
      </c>
      <c r="N40" s="36" t="e">
        <f t="shared" si="17"/>
        <v>#N/A</v>
      </c>
      <c r="O40" s="57" t="e">
        <f t="shared" si="18"/>
        <v>#N/A</v>
      </c>
      <c r="P40" s="58" t="e">
        <f t="shared" si="19"/>
        <v>#N/A</v>
      </c>
      <c r="Q40" s="58" t="str">
        <f t="shared" ref="Q40:Q82" si="22">C40</f>
        <v>FLRY3</v>
      </c>
      <c r="R40" s="64" t="str">
        <f t="shared" ref="R40:R82" si="23">E40</f>
        <v>FLEURY</v>
      </c>
      <c r="S40" s="61" t="e">
        <f t="shared" si="20"/>
        <v>#N/A</v>
      </c>
      <c r="T40" s="24" t="s">
        <v>69</v>
      </c>
      <c r="U40" s="37" t="e">
        <f>RTD("tryd.rtdserver",,"COT","FLRY3","Ult")</f>
        <v>#N/A</v>
      </c>
      <c r="V40" s="51" t="e">
        <f>RTD("tryd.rtdserver",,"COT","FLRY3","VarPer")</f>
        <v>#N/A</v>
      </c>
      <c r="W40" s="51" t="e">
        <f>RTD("tryd.rtdserver",,"COT","FLRY3","VarVarPer")</f>
        <v>#N/A</v>
      </c>
      <c r="X40" s="49" t="e">
        <f>RTD("tryd.rtdserver",,"COT","FLRY3","PrcCpa")</f>
        <v>#N/A</v>
      </c>
      <c r="Y40" s="50" t="e">
        <f>RTD("tryd.rtdserver",,"COT","FLRY3","PrcVda")</f>
        <v>#N/A</v>
      </c>
      <c r="Z40" s="37" t="e">
        <f>RTD("tryd.rtdserver",,"COT","FLRY3","Fech")</f>
        <v>#N/A</v>
      </c>
      <c r="AA40" s="37" t="e">
        <f>RTD("tryd.rtdserver",,"COT","FLRY3","Abert")</f>
        <v>#N/A</v>
      </c>
      <c r="AB40" s="37" t="e">
        <f>RTD("tryd.rtdserver",,"COT","FLRY3","Min")</f>
        <v>#N/A</v>
      </c>
      <c r="AC40" s="37" t="e">
        <f>RTD("tryd.rtdserver",,"COT","FLRY3","Media")</f>
        <v>#N/A</v>
      </c>
      <c r="AD40" s="37" t="e">
        <f>RTD("tryd.rtdserver",,"COT","FLRY3","Max")</f>
        <v>#N/A</v>
      </c>
      <c r="AE40" s="24" t="e">
        <f>RTD("tryd.rtdserver",,"COT","FLRY3","Desc")</f>
        <v>#N/A</v>
      </c>
      <c r="AF40" s="24" t="e">
        <f>RTD("tryd.rtdserver",,"COT","FLRY3","Vol")</f>
        <v>#N/A</v>
      </c>
    </row>
    <row r="41" spans="1:32" s="24" customFormat="1" ht="15.6" x14ac:dyDescent="0.3">
      <c r="A41" s="25" t="str">
        <f t="shared" si="13"/>
        <v>CERTO</v>
      </c>
      <c r="B41" s="30" t="s">
        <v>71</v>
      </c>
      <c r="C41" s="31" t="s">
        <v>71</v>
      </c>
      <c r="D41" s="53" t="e">
        <f t="shared" si="12"/>
        <v>#N/A</v>
      </c>
      <c r="E41" s="31" t="s">
        <v>72</v>
      </c>
      <c r="F41" s="31" t="s">
        <v>26</v>
      </c>
      <c r="G41" s="66">
        <v>995903643</v>
      </c>
      <c r="H41" s="66">
        <v>995903643</v>
      </c>
      <c r="I41" s="31">
        <f t="shared" si="21"/>
        <v>0</v>
      </c>
      <c r="J41" s="46">
        <v>1.0660000000000001</v>
      </c>
      <c r="K41" s="33" t="e">
        <f t="shared" si="14"/>
        <v>#N/A</v>
      </c>
      <c r="L41" s="34" t="e">
        <f t="shared" si="15"/>
        <v>#N/A</v>
      </c>
      <c r="M41" s="35" t="e">
        <f t="shared" si="16"/>
        <v>#N/A</v>
      </c>
      <c r="N41" s="36" t="e">
        <f t="shared" si="17"/>
        <v>#N/A</v>
      </c>
      <c r="O41" s="57" t="e">
        <f t="shared" si="18"/>
        <v>#N/A</v>
      </c>
      <c r="P41" s="58" t="e">
        <f t="shared" si="19"/>
        <v>#N/A</v>
      </c>
      <c r="Q41" s="58" t="str">
        <f t="shared" si="22"/>
        <v>GGBR4</v>
      </c>
      <c r="R41" s="64" t="str">
        <f t="shared" si="23"/>
        <v>GERDAU</v>
      </c>
      <c r="S41" s="61" t="e">
        <f t="shared" si="20"/>
        <v>#N/A</v>
      </c>
      <c r="T41" s="24" t="s">
        <v>71</v>
      </c>
      <c r="U41" s="37" t="e">
        <f>RTD("tryd.rtdserver",,"COT","GGBR4","Ult")</f>
        <v>#N/A</v>
      </c>
      <c r="V41" s="51" t="e">
        <f>RTD("tryd.rtdserver",,"COT","GGBR4","VarPer")</f>
        <v>#N/A</v>
      </c>
      <c r="W41" s="51" t="e">
        <f>RTD("tryd.rtdserver",,"COT","GGBR4","VarVarPer")</f>
        <v>#N/A</v>
      </c>
      <c r="X41" s="49" t="e">
        <f>RTD("tryd.rtdserver",,"COT","GGBR4","PrcCpa")</f>
        <v>#N/A</v>
      </c>
      <c r="Y41" s="50" t="e">
        <f>RTD("tryd.rtdserver",,"COT","GGBR4","PrcVda")</f>
        <v>#N/A</v>
      </c>
      <c r="Z41" s="37" t="e">
        <f>RTD("tryd.rtdserver",,"COT","GGBR4","Fech")</f>
        <v>#N/A</v>
      </c>
      <c r="AA41" s="37" t="e">
        <f>RTD("tryd.rtdserver",,"COT","GGBR4","Abert")</f>
        <v>#N/A</v>
      </c>
      <c r="AB41" s="37" t="e">
        <f>RTD("tryd.rtdserver",,"COT","GGBR4","Min")</f>
        <v>#N/A</v>
      </c>
      <c r="AC41" s="37" t="e">
        <f>RTD("tryd.rtdserver",,"COT","GGBR4","Media")</f>
        <v>#N/A</v>
      </c>
      <c r="AD41" s="37" t="e">
        <f>RTD("tryd.rtdserver",,"COT","GGBR4","Max")</f>
        <v>#N/A</v>
      </c>
      <c r="AE41" s="24" t="e">
        <f>RTD("tryd.rtdserver",,"COT","GGBR4","Desc")</f>
        <v>#N/A</v>
      </c>
      <c r="AF41" s="24" t="e">
        <f>RTD("tryd.rtdserver",,"COT","GGBR4","Vol")</f>
        <v>#N/A</v>
      </c>
    </row>
    <row r="42" spans="1:32" s="24" customFormat="1" ht="15.6" x14ac:dyDescent="0.3">
      <c r="A42" s="25" t="str">
        <f t="shared" si="13"/>
        <v>CERTO</v>
      </c>
      <c r="B42" s="30" t="s">
        <v>73</v>
      </c>
      <c r="C42" s="31" t="s">
        <v>73</v>
      </c>
      <c r="D42" s="53" t="e">
        <f t="shared" si="12"/>
        <v>#N/A</v>
      </c>
      <c r="E42" s="31" t="s">
        <v>74</v>
      </c>
      <c r="F42" s="31" t="s">
        <v>13</v>
      </c>
      <c r="G42" s="66">
        <v>581199237</v>
      </c>
      <c r="H42" s="66">
        <v>581199237</v>
      </c>
      <c r="I42" s="31">
        <f t="shared" si="21"/>
        <v>0</v>
      </c>
      <c r="J42" s="46">
        <v>2.347</v>
      </c>
      <c r="K42" s="33" t="e">
        <f t="shared" si="14"/>
        <v>#N/A</v>
      </c>
      <c r="L42" s="34" t="e">
        <f t="shared" si="15"/>
        <v>#N/A</v>
      </c>
      <c r="M42" s="35" t="e">
        <f t="shared" si="16"/>
        <v>#N/A</v>
      </c>
      <c r="N42" s="36" t="e">
        <f t="shared" si="17"/>
        <v>#N/A</v>
      </c>
      <c r="O42" s="57" t="e">
        <f t="shared" si="18"/>
        <v>#N/A</v>
      </c>
      <c r="P42" s="58" t="e">
        <f t="shared" si="19"/>
        <v>#N/A</v>
      </c>
      <c r="Q42" s="58" t="str">
        <f t="shared" si="22"/>
        <v>GNDI3</v>
      </c>
      <c r="R42" s="64" t="str">
        <f t="shared" si="23"/>
        <v>INTERMEDICA</v>
      </c>
      <c r="S42" s="61" t="e">
        <f t="shared" si="20"/>
        <v>#N/A</v>
      </c>
      <c r="T42" s="24" t="s">
        <v>73</v>
      </c>
      <c r="U42" s="37" t="e">
        <f>RTD("tryd.rtdserver",,"COT","GNDI3","Ult")</f>
        <v>#N/A</v>
      </c>
      <c r="V42" s="51" t="e">
        <f>RTD("tryd.rtdserver",,"COT","GNDI3","VarPer")</f>
        <v>#N/A</v>
      </c>
      <c r="W42" s="51" t="e">
        <f>RTD("tryd.rtdserver",,"COT","GNDI3","VarVarPer")</f>
        <v>#N/A</v>
      </c>
      <c r="X42" s="49" t="e">
        <f>RTD("tryd.rtdserver",,"COT","GNDI3","PrcCpa")</f>
        <v>#N/A</v>
      </c>
      <c r="Y42" s="50" t="e">
        <f>RTD("tryd.rtdserver",,"COT","GNDI3","PrcVda")</f>
        <v>#N/A</v>
      </c>
      <c r="Z42" s="37" t="e">
        <f>RTD("tryd.rtdserver",,"COT","GNDI3","Fech")</f>
        <v>#N/A</v>
      </c>
      <c r="AA42" s="37" t="e">
        <f>RTD("tryd.rtdserver",,"COT","GNDI3","Abert")</f>
        <v>#N/A</v>
      </c>
      <c r="AB42" s="37" t="e">
        <f>RTD("tryd.rtdserver",,"COT","GNDI3","Min")</f>
        <v>#N/A</v>
      </c>
      <c r="AC42" s="37" t="e">
        <f>RTD("tryd.rtdserver",,"COT","GNDI3","Media")</f>
        <v>#N/A</v>
      </c>
      <c r="AD42" s="37" t="e">
        <f>RTD("tryd.rtdserver",,"COT","GNDI3","Max")</f>
        <v>#N/A</v>
      </c>
      <c r="AE42" s="24" t="e">
        <f>RTD("tryd.rtdserver",,"COT","GNDI3","Desc")</f>
        <v>#N/A</v>
      </c>
      <c r="AF42" s="24" t="e">
        <f>RTD("tryd.rtdserver",,"COT","GNDI3","Vol")</f>
        <v>#N/A</v>
      </c>
    </row>
    <row r="43" spans="1:32" s="24" customFormat="1" ht="15.6" x14ac:dyDescent="0.3">
      <c r="A43" s="25" t="str">
        <f t="shared" si="13"/>
        <v>CERTO</v>
      </c>
      <c r="B43" s="30" t="s">
        <v>75</v>
      </c>
      <c r="C43" s="31" t="s">
        <v>75</v>
      </c>
      <c r="D43" s="53" t="e">
        <f t="shared" si="12"/>
        <v>#N/A</v>
      </c>
      <c r="E43" s="31" t="s">
        <v>76</v>
      </c>
      <c r="F43" s="31" t="s">
        <v>26</v>
      </c>
      <c r="G43" s="66">
        <v>693699918</v>
      </c>
      <c r="H43" s="66">
        <v>693699918</v>
      </c>
      <c r="I43" s="31">
        <f t="shared" si="21"/>
        <v>0</v>
      </c>
      <c r="J43" s="46">
        <v>0.33700000000000002</v>
      </c>
      <c r="K43" s="33" t="e">
        <f t="shared" si="14"/>
        <v>#N/A</v>
      </c>
      <c r="L43" s="34" t="e">
        <f t="shared" si="15"/>
        <v>#N/A</v>
      </c>
      <c r="M43" s="35" t="e">
        <f t="shared" si="16"/>
        <v>#N/A</v>
      </c>
      <c r="N43" s="36" t="e">
        <f t="shared" si="17"/>
        <v>#N/A</v>
      </c>
      <c r="O43" s="57" t="e">
        <f t="shared" si="18"/>
        <v>#N/A</v>
      </c>
      <c r="P43" s="58" t="e">
        <f t="shared" si="19"/>
        <v>#N/A</v>
      </c>
      <c r="Q43" s="58" t="str">
        <f t="shared" si="22"/>
        <v>GOAU4</v>
      </c>
      <c r="R43" s="64" t="str">
        <f t="shared" si="23"/>
        <v>GERDAU MET</v>
      </c>
      <c r="S43" s="61" t="e">
        <f t="shared" si="20"/>
        <v>#N/A</v>
      </c>
      <c r="T43" s="24" t="s">
        <v>75</v>
      </c>
      <c r="U43" s="37" t="e">
        <f>RTD("tryd.rtdserver",,"COT","GOAU4","Ult")</f>
        <v>#N/A</v>
      </c>
      <c r="V43" s="51" t="e">
        <f>RTD("tryd.rtdserver",,"COT","GOAU4","VarPer")</f>
        <v>#N/A</v>
      </c>
      <c r="W43" s="51" t="e">
        <f>RTD("tryd.rtdserver",,"COT","GOAU4","VarVarPer")</f>
        <v>#N/A</v>
      </c>
      <c r="X43" s="49" t="e">
        <f>RTD("tryd.rtdserver",,"COT","GOAU4","PrcCpa")</f>
        <v>#N/A</v>
      </c>
      <c r="Y43" s="50" t="e">
        <f>RTD("tryd.rtdserver",,"COT","GOAU4","PrcVda")</f>
        <v>#N/A</v>
      </c>
      <c r="Z43" s="37" t="e">
        <f>RTD("tryd.rtdserver",,"COT","GOAU4","Fech")</f>
        <v>#N/A</v>
      </c>
      <c r="AA43" s="37" t="e">
        <f>RTD("tryd.rtdserver",,"COT","GOAU4","Abert")</f>
        <v>#N/A</v>
      </c>
      <c r="AB43" s="37" t="e">
        <f>RTD("tryd.rtdserver",,"COT","GOAU4","Min")</f>
        <v>#N/A</v>
      </c>
      <c r="AC43" s="37" t="e">
        <f>RTD("tryd.rtdserver",,"COT","GOAU4","Media")</f>
        <v>#N/A</v>
      </c>
      <c r="AD43" s="37" t="e">
        <f>RTD("tryd.rtdserver",,"COT","GOAU4","Max")</f>
        <v>#N/A</v>
      </c>
      <c r="AE43" s="24" t="e">
        <f>RTD("tryd.rtdserver",,"COT","GOAU4","Desc")</f>
        <v>#N/A</v>
      </c>
      <c r="AF43" s="24" t="e">
        <f>RTD("tryd.rtdserver",,"COT","GOAU4","Vol")</f>
        <v>#N/A</v>
      </c>
    </row>
    <row r="44" spans="1:32" s="24" customFormat="1" ht="15.6" x14ac:dyDescent="0.3">
      <c r="A44" s="25" t="str">
        <f t="shared" si="13"/>
        <v>CERTO</v>
      </c>
      <c r="B44" s="68" t="s">
        <v>77</v>
      </c>
      <c r="C44" s="69" t="s">
        <v>77</v>
      </c>
      <c r="D44" s="70" t="e">
        <f t="shared" si="12"/>
        <v>#N/A</v>
      </c>
      <c r="E44" s="69" t="s">
        <v>78</v>
      </c>
      <c r="F44" s="69" t="s">
        <v>10</v>
      </c>
      <c r="G44" s="71">
        <v>137716367</v>
      </c>
      <c r="H44" s="66">
        <v>137716367</v>
      </c>
      <c r="I44" s="31">
        <f t="shared" si="21"/>
        <v>0</v>
      </c>
      <c r="J44" s="46">
        <v>0.152</v>
      </c>
      <c r="K44" s="33" t="e">
        <f t="shared" si="14"/>
        <v>#N/A</v>
      </c>
      <c r="L44" s="34" t="e">
        <f t="shared" si="15"/>
        <v>#N/A</v>
      </c>
      <c r="M44" s="35" t="e">
        <f t="shared" si="16"/>
        <v>#N/A</v>
      </c>
      <c r="N44" s="36" t="e">
        <f t="shared" si="17"/>
        <v>#N/A</v>
      </c>
      <c r="O44" s="57" t="e">
        <f t="shared" si="18"/>
        <v>#N/A</v>
      </c>
      <c r="P44" s="58" t="e">
        <f t="shared" si="19"/>
        <v>#N/A</v>
      </c>
      <c r="Q44" s="58" t="str">
        <f t="shared" si="22"/>
        <v>GOLL4</v>
      </c>
      <c r="R44" s="64" t="str">
        <f t="shared" si="23"/>
        <v>GOL</v>
      </c>
      <c r="S44" s="61" t="e">
        <f t="shared" si="20"/>
        <v>#N/A</v>
      </c>
      <c r="T44" s="24" t="s">
        <v>77</v>
      </c>
      <c r="U44" s="37" t="e">
        <f>RTD("tryd.rtdserver",,"COT","GOLL4","Ult")</f>
        <v>#N/A</v>
      </c>
      <c r="V44" s="51" t="e">
        <f>RTD("tryd.rtdserver",,"COT","GOLL4","VarPer")</f>
        <v>#N/A</v>
      </c>
      <c r="W44" s="51" t="e">
        <f>RTD("tryd.rtdserver",,"COT","GOLL4","VarVarPer")</f>
        <v>#N/A</v>
      </c>
      <c r="X44" s="49" t="e">
        <f>RTD("tryd.rtdserver",,"COT","GOLL4","PrcCpa")</f>
        <v>#N/A</v>
      </c>
      <c r="Y44" s="50" t="e">
        <f>RTD("tryd.rtdserver",,"COT","GOLL4","PrcVda")</f>
        <v>#N/A</v>
      </c>
      <c r="Z44" s="37" t="e">
        <f>RTD("tryd.rtdserver",,"COT","GOLL4","Fech")</f>
        <v>#N/A</v>
      </c>
      <c r="AA44" s="37" t="e">
        <f>RTD("tryd.rtdserver",,"COT","GOLL4","Abert")</f>
        <v>#N/A</v>
      </c>
      <c r="AB44" s="37" t="e">
        <f>RTD("tryd.rtdserver",,"COT","GOLL4","Min")</f>
        <v>#N/A</v>
      </c>
      <c r="AC44" s="37" t="e">
        <f>RTD("tryd.rtdserver",,"COT","GOLL4","Media")</f>
        <v>#N/A</v>
      </c>
      <c r="AD44" s="37" t="e">
        <f>RTD("tryd.rtdserver",,"COT","GOLL4","Max")</f>
        <v>#N/A</v>
      </c>
      <c r="AE44" s="24" t="e">
        <f>RTD("tryd.rtdserver",,"COT","GOLL4","Desc")</f>
        <v>#N/A</v>
      </c>
      <c r="AF44" s="24" t="e">
        <f>RTD("tryd.rtdserver",,"COT","GOLL4","Vol")</f>
        <v>#N/A</v>
      </c>
    </row>
    <row r="45" spans="1:32" s="24" customFormat="1" ht="15.6" x14ac:dyDescent="0.3">
      <c r="A45" s="25" t="str">
        <f t="shared" si="13"/>
        <v>CERTO</v>
      </c>
      <c r="B45" s="30" t="s">
        <v>175</v>
      </c>
      <c r="C45" s="31" t="s">
        <v>175</v>
      </c>
      <c r="D45" s="53" t="e">
        <f t="shared" si="12"/>
        <v>#N/A</v>
      </c>
      <c r="E45" s="31" t="s">
        <v>181</v>
      </c>
      <c r="F45" s="31" t="s">
        <v>13</v>
      </c>
      <c r="G45" s="66">
        <v>217045654</v>
      </c>
      <c r="H45" s="66">
        <v>217045654</v>
      </c>
      <c r="I45" s="31">
        <f t="shared" si="21"/>
        <v>0</v>
      </c>
      <c r="J45" s="46">
        <v>0.79500000000000004</v>
      </c>
      <c r="K45" s="33" t="e">
        <f t="shared" si="14"/>
        <v>#N/A</v>
      </c>
      <c r="L45" s="34" t="e">
        <f t="shared" si="15"/>
        <v>#N/A</v>
      </c>
      <c r="M45" s="35" t="e">
        <f t="shared" si="16"/>
        <v>#N/A</v>
      </c>
      <c r="N45" s="36" t="e">
        <f t="shared" si="17"/>
        <v>#N/A</v>
      </c>
      <c r="O45" s="57" t="e">
        <f t="shared" si="18"/>
        <v>#N/A</v>
      </c>
      <c r="P45" s="58" t="e">
        <f t="shared" si="19"/>
        <v>#N/A</v>
      </c>
      <c r="Q45" s="58" t="str">
        <f t="shared" si="22"/>
        <v>HAPV3</v>
      </c>
      <c r="R45" s="64" t="str">
        <f t="shared" si="23"/>
        <v>HAPVIDA</v>
      </c>
      <c r="S45" s="61" t="e">
        <f t="shared" si="20"/>
        <v>#N/A</v>
      </c>
      <c r="T45" s="24" t="s">
        <v>175</v>
      </c>
      <c r="U45" s="37" t="e">
        <f>RTD("tryd.rtdserver",,"COT","HAPV3","Ult")</f>
        <v>#N/A</v>
      </c>
      <c r="V45" s="51" t="e">
        <f>RTD("tryd.rtdserver",,"COT","HAPV3","VarPer")</f>
        <v>#N/A</v>
      </c>
      <c r="W45" s="51" t="e">
        <f>RTD("tryd.rtdserver",,"COT","HAPV3","VarVarPer")</f>
        <v>#N/A</v>
      </c>
      <c r="X45" s="49" t="e">
        <f>RTD("tryd.rtdserver",,"COT","HAPV3","PrcCpa")</f>
        <v>#N/A</v>
      </c>
      <c r="Y45" s="50" t="e">
        <f>RTD("tryd.rtdserver",,"COT","HAPV3","PrcVda")</f>
        <v>#N/A</v>
      </c>
      <c r="Z45" s="37" t="e">
        <f>RTD("tryd.rtdserver",,"COT","HAPV3","Fech")</f>
        <v>#N/A</v>
      </c>
      <c r="AA45" s="37" t="e">
        <f>RTD("tryd.rtdserver",,"COT","HAPV3","Abert")</f>
        <v>#N/A</v>
      </c>
      <c r="AB45" s="37" t="e">
        <f>RTD("tryd.rtdserver",,"COT","HAPV3","Min")</f>
        <v>#N/A</v>
      </c>
      <c r="AC45" s="37" t="e">
        <f>RTD("tryd.rtdserver",,"COT","HAPV3","Media")</f>
        <v>#N/A</v>
      </c>
      <c r="AD45" s="37" t="e">
        <f>RTD("tryd.rtdserver",,"COT","HAPV3","Max")</f>
        <v>#N/A</v>
      </c>
      <c r="AE45" s="24" t="e">
        <f>RTD("tryd.rtdserver",,"COT","HAPV3","Desc")</f>
        <v>#N/A</v>
      </c>
      <c r="AF45" s="24" t="e">
        <f>RTD("tryd.rtdserver",,"COT","HAPV3","Vol")</f>
        <v>#N/A</v>
      </c>
    </row>
    <row r="46" spans="1:32" s="24" customFormat="1" ht="15.6" x14ac:dyDescent="0.3">
      <c r="A46" s="25" t="str">
        <f t="shared" si="13"/>
        <v>CERTO</v>
      </c>
      <c r="B46" s="68" t="s">
        <v>176</v>
      </c>
      <c r="C46" s="69" t="s">
        <v>176</v>
      </c>
      <c r="D46" s="70" t="e">
        <f t="shared" si="12"/>
        <v>#N/A</v>
      </c>
      <c r="E46" s="69" t="s">
        <v>182</v>
      </c>
      <c r="F46" s="69" t="s">
        <v>13</v>
      </c>
      <c r="G46" s="71">
        <v>126186408</v>
      </c>
      <c r="H46" s="71">
        <v>126186408</v>
      </c>
      <c r="I46" s="69">
        <f t="shared" si="21"/>
        <v>0</v>
      </c>
      <c r="J46" s="46">
        <v>0.13300000000000001</v>
      </c>
      <c r="K46" s="33" t="e">
        <f t="shared" si="14"/>
        <v>#N/A</v>
      </c>
      <c r="L46" s="34" t="e">
        <f t="shared" si="15"/>
        <v>#N/A</v>
      </c>
      <c r="M46" s="35" t="e">
        <f t="shared" si="16"/>
        <v>#N/A</v>
      </c>
      <c r="N46" s="36" t="e">
        <f t="shared" si="17"/>
        <v>#N/A</v>
      </c>
      <c r="O46" s="57" t="e">
        <f t="shared" si="18"/>
        <v>#N/A</v>
      </c>
      <c r="P46" s="58" t="e">
        <f t="shared" si="19"/>
        <v>#N/A</v>
      </c>
      <c r="Q46" s="58" t="str">
        <f t="shared" si="22"/>
        <v>HGTX3</v>
      </c>
      <c r="R46" s="64" t="str">
        <f t="shared" si="23"/>
        <v>CIA HERING</v>
      </c>
      <c r="S46" s="61" t="e">
        <f t="shared" si="20"/>
        <v>#N/A</v>
      </c>
      <c r="T46" s="24" t="s">
        <v>176</v>
      </c>
      <c r="U46" s="37" t="e">
        <f>RTD("tryd.rtdserver",,"COT","HGTx3","Ult")</f>
        <v>#N/A</v>
      </c>
      <c r="V46" s="51" t="e">
        <f>RTD("tryd.rtdserver",,"COT","HGTX3","VarPer")</f>
        <v>#N/A</v>
      </c>
      <c r="W46" s="51" t="e">
        <f>RTD("tryd.rtdserver",,"COT","HGTX3","VarVarPer")</f>
        <v>#N/A</v>
      </c>
      <c r="X46" s="49" t="e">
        <f>RTD("tryd.rtdserver",,"COT","HGTX3","PrcCpa")</f>
        <v>#N/A</v>
      </c>
      <c r="Y46" s="50" t="e">
        <f>RTD("tryd.rtdserver",,"COT","HGTX3","PrcVda")</f>
        <v>#N/A</v>
      </c>
      <c r="Z46" s="37" t="e">
        <f>RTD("tryd.rtdserver",,"COT","HGTX3","Fech")</f>
        <v>#N/A</v>
      </c>
      <c r="AA46" s="37" t="e">
        <f>RTD("tryd.rtdserver",,"COT","HGTX3","Abert")</f>
        <v>#N/A</v>
      </c>
      <c r="AB46" s="37" t="e">
        <f>RTD("tryd.rtdserver",,"COT","HGTX3","Min")</f>
        <v>#N/A</v>
      </c>
      <c r="AC46" s="37" t="e">
        <f>RTD("tryd.rtdserver",,"COT","HGTX3","Media")</f>
        <v>#N/A</v>
      </c>
      <c r="AD46" s="37" t="e">
        <f>RTD("tryd.rtdserver",,"COT","HGTX3","Max")</f>
        <v>#N/A</v>
      </c>
      <c r="AE46" s="24" t="e">
        <f>RTD("tryd.rtdserver",,"COT","HGTX3","Desc")</f>
        <v>#N/A</v>
      </c>
      <c r="AF46" s="24" t="e">
        <f>RTD("tryd.rtdserver",,"COT","HGTX3","Vol")</f>
        <v>#N/A</v>
      </c>
    </row>
    <row r="47" spans="1:32" s="24" customFormat="1" ht="15.6" x14ac:dyDescent="0.3">
      <c r="A47" s="25" t="str">
        <f t="shared" si="13"/>
        <v>CERTO</v>
      </c>
      <c r="B47" s="30" t="s">
        <v>79</v>
      </c>
      <c r="C47" s="31" t="s">
        <v>79</v>
      </c>
      <c r="D47" s="53" t="e">
        <f t="shared" si="12"/>
        <v>#N/A</v>
      </c>
      <c r="E47" s="31" t="s">
        <v>80</v>
      </c>
      <c r="F47" s="31" t="s">
        <v>13</v>
      </c>
      <c r="G47" s="66">
        <v>410147968</v>
      </c>
      <c r="H47" s="66">
        <v>410147968</v>
      </c>
      <c r="I47" s="31">
        <f t="shared" si="21"/>
        <v>0</v>
      </c>
      <c r="J47" s="46">
        <v>0.70399999999999996</v>
      </c>
      <c r="K47" s="33" t="e">
        <f t="shared" si="14"/>
        <v>#N/A</v>
      </c>
      <c r="L47" s="34" t="e">
        <f t="shared" si="15"/>
        <v>#N/A</v>
      </c>
      <c r="M47" s="35" t="e">
        <f t="shared" si="16"/>
        <v>#N/A</v>
      </c>
      <c r="N47" s="36" t="e">
        <f t="shared" si="17"/>
        <v>#N/A</v>
      </c>
      <c r="O47" s="57" t="e">
        <f t="shared" si="18"/>
        <v>#N/A</v>
      </c>
      <c r="P47" s="58" t="e">
        <f t="shared" si="19"/>
        <v>#N/A</v>
      </c>
      <c r="Q47" s="58" t="str">
        <f t="shared" si="22"/>
        <v>HYPE3</v>
      </c>
      <c r="R47" s="64" t="str">
        <f t="shared" si="23"/>
        <v>HYPERA</v>
      </c>
      <c r="S47" s="61" t="e">
        <f t="shared" si="20"/>
        <v>#N/A</v>
      </c>
      <c r="T47" s="24" t="s">
        <v>79</v>
      </c>
      <c r="U47" s="37" t="e">
        <f>RTD("tryd.rtdserver",,"COT","HYPE3","Ult")</f>
        <v>#N/A</v>
      </c>
      <c r="V47" s="51" t="e">
        <f>RTD("tryd.rtdserver",,"COT","HYPE3","VarPer")</f>
        <v>#N/A</v>
      </c>
      <c r="W47" s="51" t="e">
        <f>RTD("tryd.rtdserver",,"COT","HYPE3","VarVarPer")</f>
        <v>#N/A</v>
      </c>
      <c r="X47" s="49" t="e">
        <f>RTD("tryd.rtdserver",,"COT","HYPE3","PrcCpa")</f>
        <v>#N/A</v>
      </c>
      <c r="Y47" s="50" t="e">
        <f>RTD("tryd.rtdserver",,"COT","HYPE3","PrcVda")</f>
        <v>#N/A</v>
      </c>
      <c r="Z47" s="37" t="e">
        <f>RTD("tryd.rtdserver",,"COT","HYPE3","Fech")</f>
        <v>#N/A</v>
      </c>
      <c r="AA47" s="37" t="e">
        <f>RTD("tryd.rtdserver",,"COT","HYPE3","Abert")</f>
        <v>#N/A</v>
      </c>
      <c r="AB47" s="37" t="e">
        <f>RTD("tryd.rtdserver",,"COT","HYPE3","Min")</f>
        <v>#N/A</v>
      </c>
      <c r="AC47" s="37" t="e">
        <f>RTD("tryd.rtdserver",,"COT","HYPE3","Media")</f>
        <v>#N/A</v>
      </c>
      <c r="AD47" s="37" t="e">
        <f>RTD("tryd.rtdserver",,"COT","HYPE3","Max")</f>
        <v>#N/A</v>
      </c>
      <c r="AE47" s="24" t="e">
        <f>RTD("tryd.rtdserver",,"COT","HYPE3","Desc")</f>
        <v>#N/A</v>
      </c>
      <c r="AF47" s="24" t="e">
        <f>RTD("tryd.rtdserver",,"COT","HYPE3","Vol")</f>
        <v>#N/A</v>
      </c>
    </row>
    <row r="48" spans="1:32" s="24" customFormat="1" ht="15.6" x14ac:dyDescent="0.3">
      <c r="A48" s="25" t="str">
        <f t="shared" si="13"/>
        <v>CERTO</v>
      </c>
      <c r="B48" s="30" t="s">
        <v>81</v>
      </c>
      <c r="C48" s="31" t="s">
        <v>81</v>
      </c>
      <c r="D48" s="53" t="e">
        <f t="shared" si="12"/>
        <v>#N/A</v>
      </c>
      <c r="E48" s="31" t="s">
        <v>82</v>
      </c>
      <c r="F48" s="31" t="s">
        <v>13</v>
      </c>
      <c r="G48" s="66">
        <v>85796919</v>
      </c>
      <c r="H48" s="66">
        <v>85796919</v>
      </c>
      <c r="I48" s="31">
        <f t="shared" si="21"/>
        <v>0</v>
      </c>
      <c r="J48" s="46">
        <v>0.16800000000000001</v>
      </c>
      <c r="K48" s="33" t="e">
        <f t="shared" si="14"/>
        <v>#N/A</v>
      </c>
      <c r="L48" s="34" t="e">
        <f t="shared" si="15"/>
        <v>#N/A</v>
      </c>
      <c r="M48" s="35" t="e">
        <f t="shared" si="16"/>
        <v>#N/A</v>
      </c>
      <c r="N48" s="36" t="e">
        <f t="shared" si="17"/>
        <v>#N/A</v>
      </c>
      <c r="O48" s="57" t="e">
        <f t="shared" si="18"/>
        <v>#N/A</v>
      </c>
      <c r="P48" s="58" t="e">
        <f t="shared" si="19"/>
        <v>#N/A</v>
      </c>
      <c r="Q48" s="58" t="str">
        <f t="shared" si="22"/>
        <v>IGTA3</v>
      </c>
      <c r="R48" s="64" t="str">
        <f t="shared" si="23"/>
        <v>IGUATEMI</v>
      </c>
      <c r="S48" s="61" t="e">
        <f t="shared" si="20"/>
        <v>#N/A</v>
      </c>
      <c r="T48" s="24" t="s">
        <v>81</v>
      </c>
      <c r="U48" s="37" t="e">
        <f>RTD("tryd.rtdserver",,"COT","IGTA3","Ult")</f>
        <v>#N/A</v>
      </c>
      <c r="V48" s="51" t="e">
        <f>RTD("tryd.rtdserver",,"COT","IGTA3","VarPer")</f>
        <v>#N/A</v>
      </c>
      <c r="W48" s="51" t="e">
        <f>RTD("tryd.rtdserver",,"COT","IGTA3","VarVarPer")</f>
        <v>#N/A</v>
      </c>
      <c r="X48" s="49" t="e">
        <f>RTD("tryd.rtdserver",,"COT","IGTA3","PrcCpa")</f>
        <v>#N/A</v>
      </c>
      <c r="Y48" s="50" t="e">
        <f>RTD("tryd.rtdserver",,"COT","IGTA3","PrcVda")</f>
        <v>#N/A</v>
      </c>
      <c r="Z48" s="37" t="e">
        <f>RTD("tryd.rtdserver",,"COT","IGTA3","Fech")</f>
        <v>#N/A</v>
      </c>
      <c r="AA48" s="37" t="e">
        <f>RTD("tryd.rtdserver",,"COT","IGTA3","Abert")</f>
        <v>#N/A</v>
      </c>
      <c r="AB48" s="37" t="e">
        <f>RTD("tryd.rtdserver",,"COT","IGTA3","Min")</f>
        <v>#N/A</v>
      </c>
      <c r="AC48" s="37" t="e">
        <f>RTD("tryd.rtdserver",,"COT","IGTA3","Media")</f>
        <v>#N/A</v>
      </c>
      <c r="AD48" s="37" t="e">
        <f>RTD("tryd.rtdserver",,"COT","IGTA3","Max")</f>
        <v>#N/A</v>
      </c>
      <c r="AE48" s="24" t="e">
        <f>RTD("tryd.rtdserver",,"COT","IGTA3","Desc")</f>
        <v>#N/A</v>
      </c>
      <c r="AF48" s="24" t="e">
        <f>RTD("tryd.rtdserver",,"COT","IGTA3","Vol")</f>
        <v>#N/A</v>
      </c>
    </row>
    <row r="49" spans="1:41" s="24" customFormat="1" ht="15.6" x14ac:dyDescent="0.3">
      <c r="A49" s="25" t="str">
        <f t="shared" si="13"/>
        <v>CERTO</v>
      </c>
      <c r="B49" s="30" t="s">
        <v>83</v>
      </c>
      <c r="C49" s="31" t="s">
        <v>83</v>
      </c>
      <c r="D49" s="53" t="e">
        <f t="shared" si="12"/>
        <v>#N/A</v>
      </c>
      <c r="E49" s="31" t="s">
        <v>84</v>
      </c>
      <c r="F49" s="31" t="s">
        <v>13</v>
      </c>
      <c r="G49" s="66">
        <v>1255352371</v>
      </c>
      <c r="H49" s="66">
        <v>1255352371</v>
      </c>
      <c r="I49" s="31">
        <f t="shared" si="21"/>
        <v>0</v>
      </c>
      <c r="J49" s="46">
        <v>0.45900000000000002</v>
      </c>
      <c r="K49" s="33" t="e">
        <f t="shared" si="14"/>
        <v>#N/A</v>
      </c>
      <c r="L49" s="34" t="e">
        <f t="shared" si="15"/>
        <v>#N/A</v>
      </c>
      <c r="M49" s="35" t="e">
        <f t="shared" si="16"/>
        <v>#N/A</v>
      </c>
      <c r="N49" s="36" t="e">
        <f t="shared" si="17"/>
        <v>#N/A</v>
      </c>
      <c r="O49" s="57" t="e">
        <f t="shared" si="18"/>
        <v>#N/A</v>
      </c>
      <c r="P49" s="58" t="e">
        <f t="shared" si="19"/>
        <v>#N/A</v>
      </c>
      <c r="Q49" s="58" t="str">
        <f t="shared" si="22"/>
        <v>IRBR3</v>
      </c>
      <c r="R49" s="64" t="str">
        <f t="shared" si="23"/>
        <v>IRBBRASIL RE</v>
      </c>
      <c r="S49" s="61" t="e">
        <f t="shared" si="20"/>
        <v>#N/A</v>
      </c>
      <c r="T49" s="24" t="s">
        <v>83</v>
      </c>
      <c r="U49" s="37" t="e">
        <f>RTD("tryd.rtdserver",,"COT","IRBR3","Ult")</f>
        <v>#N/A</v>
      </c>
      <c r="V49" s="51" t="e">
        <f>RTD("tryd.rtdserver",,"COT","IRBR3","VarPer")</f>
        <v>#N/A</v>
      </c>
      <c r="W49" s="51" t="e">
        <f>RTD("tryd.rtdserver",,"COT","IRBR3","VarVarPer")</f>
        <v>#N/A</v>
      </c>
      <c r="X49" s="49" t="e">
        <f>RTD("tryd.rtdserver",,"COT","IRBR3","PrcCpa")</f>
        <v>#N/A</v>
      </c>
      <c r="Y49" s="50" t="e">
        <f>RTD("tryd.rtdserver",,"COT","IRBR3","PrcVda")</f>
        <v>#N/A</v>
      </c>
      <c r="Z49" s="37" t="e">
        <f>RTD("tryd.rtdserver",,"COT","IRBR3","Fech")</f>
        <v>#N/A</v>
      </c>
      <c r="AA49" s="37" t="e">
        <f>RTD("tryd.rtdserver",,"COT","IRBR3","Abert")</f>
        <v>#N/A</v>
      </c>
      <c r="AB49" s="37" t="e">
        <f>RTD("tryd.rtdserver",,"COT","IRBR3","Min")</f>
        <v>#N/A</v>
      </c>
      <c r="AC49" s="37" t="e">
        <f>RTD("tryd.rtdserver",,"COT","IRBR3","Media")</f>
        <v>#N/A</v>
      </c>
      <c r="AD49" s="37" t="e">
        <f>RTD("tryd.rtdserver",,"COT","IRBR3","Max")</f>
        <v>#N/A</v>
      </c>
      <c r="AE49" s="24" t="e">
        <f>RTD("tryd.rtdserver",,"COT","IRBR3","Desc")</f>
        <v>#N/A</v>
      </c>
      <c r="AF49" s="24" t="e">
        <f>RTD("tryd.rtdserver",,"COT","IRBR3","Vol")</f>
        <v>#N/A</v>
      </c>
    </row>
    <row r="50" spans="1:41" s="24" customFormat="1" ht="15.6" x14ac:dyDescent="0.3">
      <c r="A50" s="25" t="str">
        <f t="shared" si="13"/>
        <v>CERTO</v>
      </c>
      <c r="B50" s="30" t="s">
        <v>85</v>
      </c>
      <c r="C50" s="31" t="s">
        <v>85</v>
      </c>
      <c r="D50" s="53" t="e">
        <f t="shared" si="12"/>
        <v>#N/A</v>
      </c>
      <c r="E50" s="31" t="s">
        <v>86</v>
      </c>
      <c r="F50" s="31" t="s">
        <v>207</v>
      </c>
      <c r="G50" s="66">
        <v>4515538171</v>
      </c>
      <c r="H50" s="66">
        <v>4515538171</v>
      </c>
      <c r="I50" s="31">
        <f t="shared" si="21"/>
        <v>0</v>
      </c>
      <c r="J50" s="46">
        <v>2.367</v>
      </c>
      <c r="K50" s="33" t="e">
        <f t="shared" si="14"/>
        <v>#N/A</v>
      </c>
      <c r="L50" s="34" t="e">
        <f t="shared" si="15"/>
        <v>#N/A</v>
      </c>
      <c r="M50" s="35" t="e">
        <f t="shared" si="16"/>
        <v>#N/A</v>
      </c>
      <c r="N50" s="36" t="e">
        <f t="shared" si="17"/>
        <v>#N/A</v>
      </c>
      <c r="O50" s="57" t="e">
        <f t="shared" si="18"/>
        <v>#N/A</v>
      </c>
      <c r="P50" s="58" t="e">
        <f t="shared" si="19"/>
        <v>#N/A</v>
      </c>
      <c r="Q50" s="58" t="str">
        <f t="shared" si="22"/>
        <v>ITSA4</v>
      </c>
      <c r="R50" s="64" t="str">
        <f t="shared" si="23"/>
        <v>ITAUSA</v>
      </c>
      <c r="S50" s="61" t="e">
        <f t="shared" si="20"/>
        <v>#N/A</v>
      </c>
      <c r="T50" s="24" t="s">
        <v>85</v>
      </c>
      <c r="U50" s="37" t="e">
        <f>RTD("tryd.rtdserver",,"COT","ITSA4","Ult")</f>
        <v>#N/A</v>
      </c>
      <c r="V50" s="51" t="e">
        <f>RTD("tryd.rtdserver",,"COT","ITSA4","VarPer")</f>
        <v>#N/A</v>
      </c>
      <c r="W50" s="51" t="e">
        <f>RTD("tryd.rtdserver",,"COT","ITSA4","VarVarPer")</f>
        <v>#N/A</v>
      </c>
      <c r="X50" s="49" t="e">
        <f>RTD("tryd.rtdserver",,"COT","ITSA4","PrcCpa")</f>
        <v>#N/A</v>
      </c>
      <c r="Y50" s="50" t="e">
        <f>RTD("tryd.rtdserver",,"COT","ITSA4","PrcVda")</f>
        <v>#N/A</v>
      </c>
      <c r="Z50" s="37" t="e">
        <f>RTD("tryd.rtdserver",,"COT","ITSA4","Fech")</f>
        <v>#N/A</v>
      </c>
      <c r="AA50" s="37" t="e">
        <f>RTD("tryd.rtdserver",,"COT","ITSA4","Abert")</f>
        <v>#N/A</v>
      </c>
      <c r="AB50" s="37" t="e">
        <f>RTD("tryd.rtdserver",,"COT","ITSA4","Min")</f>
        <v>#N/A</v>
      </c>
      <c r="AC50" s="37" t="e">
        <f>RTD("tryd.rtdserver",,"COT","ITSA4","Media")</f>
        <v>#N/A</v>
      </c>
      <c r="AD50" s="37" t="e">
        <f>RTD("tryd.rtdserver",,"COT","ITSA4","Max")</f>
        <v>#N/A</v>
      </c>
      <c r="AE50" s="24" t="e">
        <f>RTD("tryd.rtdserver",,"COT","ITSA4","Desc")</f>
        <v>#N/A</v>
      </c>
      <c r="AF50" s="24" t="e">
        <f>RTD("tryd.rtdserver",,"COT","ITSA4","Vol")</f>
        <v>#N/A</v>
      </c>
    </row>
    <row r="51" spans="1:41" s="24" customFormat="1" ht="15.6" x14ac:dyDescent="0.3">
      <c r="A51" s="25" t="str">
        <f t="shared" si="13"/>
        <v>CERTO</v>
      </c>
      <c r="B51" s="30" t="s">
        <v>87</v>
      </c>
      <c r="C51" s="31" t="s">
        <v>87</v>
      </c>
      <c r="D51" s="53" t="e">
        <f t="shared" si="12"/>
        <v>#N/A</v>
      </c>
      <c r="E51" s="31" t="s">
        <v>88</v>
      </c>
      <c r="F51" s="31" t="s">
        <v>207</v>
      </c>
      <c r="G51" s="66">
        <v>4757466114</v>
      </c>
      <c r="H51" s="66">
        <v>4757466114</v>
      </c>
      <c r="I51" s="31">
        <f t="shared" si="21"/>
        <v>0</v>
      </c>
      <c r="J51" s="46">
        <v>6.3109999999999999</v>
      </c>
      <c r="K51" s="33" t="e">
        <f t="shared" si="14"/>
        <v>#N/A</v>
      </c>
      <c r="L51" s="34" t="e">
        <f t="shared" si="15"/>
        <v>#N/A</v>
      </c>
      <c r="M51" s="35" t="e">
        <f t="shared" si="16"/>
        <v>#N/A</v>
      </c>
      <c r="N51" s="36" t="e">
        <f t="shared" si="17"/>
        <v>#N/A</v>
      </c>
      <c r="O51" s="57" t="e">
        <f t="shared" si="18"/>
        <v>#N/A</v>
      </c>
      <c r="P51" s="58" t="e">
        <f t="shared" si="19"/>
        <v>#N/A</v>
      </c>
      <c r="Q51" s="58" t="str">
        <f t="shared" si="22"/>
        <v>ITUB4</v>
      </c>
      <c r="R51" s="64" t="str">
        <f t="shared" si="23"/>
        <v>ITAUUNIBANCO</v>
      </c>
      <c r="S51" s="61" t="e">
        <f t="shared" si="20"/>
        <v>#N/A</v>
      </c>
      <c r="T51" s="24" t="s">
        <v>87</v>
      </c>
      <c r="U51" s="37" t="e">
        <f>RTD("tryd.rtdserver",,"COT","ITUB4","Ult")</f>
        <v>#N/A</v>
      </c>
      <c r="V51" s="51" t="e">
        <f>RTD("tryd.rtdserver",,"COT","ITUB4","VarPer")</f>
        <v>#N/A</v>
      </c>
      <c r="W51" s="51" t="e">
        <f>RTD("tryd.rtdserver",,"COT","ITUB4","VarVarPer")</f>
        <v>#N/A</v>
      </c>
      <c r="X51" s="49" t="e">
        <f>RTD("tryd.rtdserver",,"COT","ITUB4","PrcCpa")</f>
        <v>#N/A</v>
      </c>
      <c r="Y51" s="50" t="e">
        <f>RTD("tryd.rtdserver",,"COT","ITUB4","PrcVda")</f>
        <v>#N/A</v>
      </c>
      <c r="Z51" s="37" t="e">
        <f>RTD("tryd.rtdserver",,"COT","ITUB4","Fech")</f>
        <v>#N/A</v>
      </c>
      <c r="AA51" s="37" t="e">
        <f>RTD("tryd.rtdserver",,"COT","ITUB4","Abert")</f>
        <v>#N/A</v>
      </c>
      <c r="AB51" s="37" t="e">
        <f>RTD("tryd.rtdserver",,"COT","ITUB4","Min")</f>
        <v>#N/A</v>
      </c>
      <c r="AC51" s="37" t="e">
        <f>RTD("tryd.rtdserver",,"COT","ITUB4","Media")</f>
        <v>#N/A</v>
      </c>
      <c r="AD51" s="37" t="e">
        <f>RTD("tryd.rtdserver",,"COT","ITUB4","Max")</f>
        <v>#N/A</v>
      </c>
      <c r="AE51" s="24" t="e">
        <f>RTD("tryd.rtdserver",,"COT","ITUB4","Desc")</f>
        <v>#N/A</v>
      </c>
      <c r="AF51" s="24" t="e">
        <f>RTD("tryd.rtdserver",,"COT","ITUB4","Vol")</f>
        <v>#N/A</v>
      </c>
    </row>
    <row r="52" spans="1:41" s="24" customFormat="1" ht="15.6" x14ac:dyDescent="0.3">
      <c r="A52" s="25" t="str">
        <f t="shared" si="13"/>
        <v>CERTO</v>
      </c>
      <c r="B52" s="30" t="s">
        <v>89</v>
      </c>
      <c r="C52" s="31" t="s">
        <v>89</v>
      </c>
      <c r="D52" s="53" t="e">
        <f t="shared" si="12"/>
        <v>#N/A</v>
      </c>
      <c r="E52" s="31" t="s">
        <v>90</v>
      </c>
      <c r="F52" s="31" t="s">
        <v>13</v>
      </c>
      <c r="G52" s="66">
        <v>1568829515</v>
      </c>
      <c r="H52" s="66">
        <v>1568829515</v>
      </c>
      <c r="I52" s="31">
        <f t="shared" si="21"/>
        <v>0</v>
      </c>
      <c r="J52" s="46">
        <v>1.8640000000000001</v>
      </c>
      <c r="K52" s="33" t="e">
        <f t="shared" si="14"/>
        <v>#N/A</v>
      </c>
      <c r="L52" s="34" t="e">
        <f t="shared" si="15"/>
        <v>#N/A</v>
      </c>
      <c r="M52" s="35" t="e">
        <f t="shared" si="16"/>
        <v>#N/A</v>
      </c>
      <c r="N52" s="36" t="e">
        <f t="shared" si="17"/>
        <v>#N/A</v>
      </c>
      <c r="O52" s="57" t="e">
        <f t="shared" si="18"/>
        <v>#N/A</v>
      </c>
      <c r="P52" s="58" t="e">
        <f t="shared" si="19"/>
        <v>#N/A</v>
      </c>
      <c r="Q52" s="58" t="str">
        <f t="shared" si="22"/>
        <v>JBSS3</v>
      </c>
      <c r="R52" s="64" t="str">
        <f t="shared" si="23"/>
        <v>JBS</v>
      </c>
      <c r="S52" s="61" t="e">
        <f t="shared" si="20"/>
        <v>#N/A</v>
      </c>
      <c r="T52" s="24" t="s">
        <v>89</v>
      </c>
      <c r="U52" s="37" t="e">
        <f>RTD("tryd.rtdserver",,"COT","JBSS3","Ult")</f>
        <v>#N/A</v>
      </c>
      <c r="V52" s="51" t="e">
        <f>RTD("tryd.rtdserver",,"COT","JBSS3","VarPer")</f>
        <v>#N/A</v>
      </c>
      <c r="W52" s="51" t="e">
        <f>RTD("tryd.rtdserver",,"COT","JBSS3","VarVarPer")</f>
        <v>#N/A</v>
      </c>
      <c r="X52" s="49" t="e">
        <f>RTD("tryd.rtdserver",,"COT","JBSS3","PrcCpa")</f>
        <v>#N/A</v>
      </c>
      <c r="Y52" s="50" t="e">
        <f>RTD("tryd.rtdserver",,"COT","JBSS3","PrcVda")</f>
        <v>#N/A</v>
      </c>
      <c r="Z52" s="37" t="e">
        <f>RTD("tryd.rtdserver",,"COT","JBSS3","Fech")</f>
        <v>#N/A</v>
      </c>
      <c r="AA52" s="37" t="e">
        <f>RTD("tryd.rtdserver",,"COT","JBSS3","Abert")</f>
        <v>#N/A</v>
      </c>
      <c r="AB52" s="37" t="e">
        <f>RTD("tryd.rtdserver",,"COT","JBSS3","Min")</f>
        <v>#N/A</v>
      </c>
      <c r="AC52" s="37" t="e">
        <f>RTD("tryd.rtdserver",,"COT","JBSS3","Media")</f>
        <v>#N/A</v>
      </c>
      <c r="AD52" s="37" t="e">
        <f>RTD("tryd.rtdserver",,"COT","JBSS3","Max")</f>
        <v>#N/A</v>
      </c>
      <c r="AE52" s="24" t="e">
        <f>RTD("tryd.rtdserver",,"COT","JBSS3","Desc")</f>
        <v>#N/A</v>
      </c>
      <c r="AF52" s="24" t="e">
        <f>RTD("tryd.rtdserver",,"COT","JBSS3","Vol")</f>
        <v>#N/A</v>
      </c>
    </row>
    <row r="53" spans="1:41" s="24" customFormat="1" ht="15.6" x14ac:dyDescent="0.3">
      <c r="A53" s="25" t="str">
        <f t="shared" si="13"/>
        <v>CERTO</v>
      </c>
      <c r="B53" s="30" t="s">
        <v>91</v>
      </c>
      <c r="C53" s="31" t="s">
        <v>91</v>
      </c>
      <c r="D53" s="53" t="e">
        <f t="shared" si="12"/>
        <v>#N/A</v>
      </c>
      <c r="E53" s="31" t="s">
        <v>92</v>
      </c>
      <c r="F53" s="31" t="s">
        <v>23</v>
      </c>
      <c r="G53" s="66">
        <v>637999310</v>
      </c>
      <c r="H53" s="66">
        <v>637999310</v>
      </c>
      <c r="I53" s="31">
        <f t="shared" si="21"/>
        <v>0</v>
      </c>
      <c r="J53" s="46">
        <v>0.84699999999999998</v>
      </c>
      <c r="K53" s="33" t="e">
        <f t="shared" si="14"/>
        <v>#N/A</v>
      </c>
      <c r="L53" s="34" t="e">
        <f t="shared" si="15"/>
        <v>#N/A</v>
      </c>
      <c r="M53" s="35" t="e">
        <f t="shared" si="16"/>
        <v>#N/A</v>
      </c>
      <c r="N53" s="36" t="e">
        <f t="shared" si="17"/>
        <v>#N/A</v>
      </c>
      <c r="O53" s="57" t="e">
        <f t="shared" si="18"/>
        <v>#N/A</v>
      </c>
      <c r="P53" s="58" t="e">
        <f t="shared" si="19"/>
        <v>#N/A</v>
      </c>
      <c r="Q53" s="58" t="str">
        <f t="shared" si="22"/>
        <v>KLBN11</v>
      </c>
      <c r="R53" s="64" t="str">
        <f t="shared" si="23"/>
        <v>KLABIN S/A</v>
      </c>
      <c r="S53" s="61" t="e">
        <f t="shared" si="20"/>
        <v>#N/A</v>
      </c>
      <c r="T53" s="24" t="s">
        <v>91</v>
      </c>
      <c r="U53" s="37" t="e">
        <f>RTD("tryd.rtdserver",,"COT","KLBN11","Ult")</f>
        <v>#N/A</v>
      </c>
      <c r="V53" s="51" t="e">
        <f>RTD("tryd.rtdserver",,"COT","KLBN11","VarPer")</f>
        <v>#N/A</v>
      </c>
      <c r="W53" s="51" t="e">
        <f>RTD("tryd.rtdserver",,"COT","KLBN11","VarVarPer")</f>
        <v>#N/A</v>
      </c>
      <c r="X53" s="49" t="e">
        <f>RTD("tryd.rtdserver",,"COT","KLBN11","PrcCpa")</f>
        <v>#N/A</v>
      </c>
      <c r="Y53" s="50" t="e">
        <f>RTD("tryd.rtdserver",,"COT","KLBN11","PrcVda")</f>
        <v>#N/A</v>
      </c>
      <c r="Z53" s="37" t="e">
        <f>RTD("tryd.rtdserver",,"COT","KLBN11","Fech")</f>
        <v>#N/A</v>
      </c>
      <c r="AA53" s="37" t="e">
        <f>RTD("tryd.rtdserver",,"COT","KLBN11","Abert")</f>
        <v>#N/A</v>
      </c>
      <c r="AB53" s="37" t="e">
        <f>RTD("tryd.rtdserver",,"COT","KLBN11","Min")</f>
        <v>#N/A</v>
      </c>
      <c r="AC53" s="37" t="e">
        <f>RTD("tryd.rtdserver",,"COT","KLBN11","Media")</f>
        <v>#N/A</v>
      </c>
      <c r="AD53" s="37" t="e">
        <f>RTD("tryd.rtdserver",,"COT","KLBN11","Max")</f>
        <v>#N/A</v>
      </c>
      <c r="AE53" s="24" t="e">
        <f>RTD("tryd.rtdserver",,"COT","KLBN11","Desc")</f>
        <v>#N/A</v>
      </c>
      <c r="AF53" s="24" t="e">
        <f>RTD("tryd.rtdserver",,"COT","KLBN11","Vol")</f>
        <v>#N/A</v>
      </c>
    </row>
    <row r="54" spans="1:41" s="24" customFormat="1" ht="15.6" x14ac:dyDescent="0.3">
      <c r="A54" s="25" t="str">
        <f t="shared" si="13"/>
        <v>CERTO</v>
      </c>
      <c r="B54" s="30" t="s">
        <v>93</v>
      </c>
      <c r="C54" s="31" t="s">
        <v>93</v>
      </c>
      <c r="D54" s="53" t="e">
        <f t="shared" si="12"/>
        <v>#N/A</v>
      </c>
      <c r="E54" s="31" t="s">
        <v>94</v>
      </c>
      <c r="F54" s="31" t="s">
        <v>26</v>
      </c>
      <c r="G54" s="66">
        <v>835033880</v>
      </c>
      <c r="H54" s="66">
        <v>835033880</v>
      </c>
      <c r="I54" s="31">
        <f t="shared" si="21"/>
        <v>0</v>
      </c>
      <c r="J54" s="46">
        <v>1.4059999999999999</v>
      </c>
      <c r="K54" s="33" t="e">
        <f t="shared" si="14"/>
        <v>#N/A</v>
      </c>
      <c r="L54" s="34" t="e">
        <f t="shared" si="15"/>
        <v>#N/A</v>
      </c>
      <c r="M54" s="35" t="e">
        <f t="shared" si="16"/>
        <v>#N/A</v>
      </c>
      <c r="N54" s="36" t="e">
        <f t="shared" si="17"/>
        <v>#N/A</v>
      </c>
      <c r="O54" s="57" t="e">
        <f t="shared" si="18"/>
        <v>#N/A</v>
      </c>
      <c r="P54" s="58" t="e">
        <f t="shared" si="19"/>
        <v>#N/A</v>
      </c>
      <c r="Q54" s="58" t="str">
        <f t="shared" si="22"/>
        <v>LAME4</v>
      </c>
      <c r="R54" s="64" t="str">
        <f t="shared" si="23"/>
        <v>LOJAS AMERIC</v>
      </c>
      <c r="S54" s="61" t="e">
        <f t="shared" si="20"/>
        <v>#N/A</v>
      </c>
      <c r="T54" s="24" t="s">
        <v>93</v>
      </c>
      <c r="U54" s="37" t="e">
        <f>RTD("tryd.rtdserver",,"COT","LAME4","Ult")</f>
        <v>#N/A</v>
      </c>
      <c r="V54" s="51" t="e">
        <f>RTD("tryd.rtdserver",,"COT","LAME4","VarPer")</f>
        <v>#N/A</v>
      </c>
      <c r="W54" s="51" t="e">
        <f>RTD("tryd.rtdserver",,"COT","LAME4","VarVarPer")</f>
        <v>#N/A</v>
      </c>
      <c r="X54" s="49" t="e">
        <f>RTD("tryd.rtdserver",,"COT","LAME4","PrcCpa")</f>
        <v>#N/A</v>
      </c>
      <c r="Y54" s="50" t="e">
        <f>RTD("tryd.rtdserver",,"COT","LAME4","PrcVda")</f>
        <v>#N/A</v>
      </c>
      <c r="Z54" s="37" t="e">
        <f>RTD("tryd.rtdserver",,"COT","LAME4","Fech")</f>
        <v>#N/A</v>
      </c>
      <c r="AA54" s="37" t="e">
        <f>RTD("tryd.rtdserver",,"COT","LAME4","Abert")</f>
        <v>#N/A</v>
      </c>
      <c r="AB54" s="37" t="e">
        <f>RTD("tryd.rtdserver",,"COT","LAME4","Min")</f>
        <v>#N/A</v>
      </c>
      <c r="AC54" s="37" t="e">
        <f>RTD("tryd.rtdserver",,"COT","LAME4","Media")</f>
        <v>#N/A</v>
      </c>
      <c r="AD54" s="37" t="e">
        <f>RTD("tryd.rtdserver",,"COT","LAME4","Max")</f>
        <v>#N/A</v>
      </c>
      <c r="AE54" s="24" t="e">
        <f>RTD("tryd.rtdserver",,"COT","LAME4","Desc")</f>
        <v>#N/A</v>
      </c>
      <c r="AF54" s="24" t="e">
        <f>RTD("tryd.rtdserver",,"COT","LAME4","Vol")</f>
        <v>#N/A</v>
      </c>
    </row>
    <row r="55" spans="1:41" s="24" customFormat="1" ht="15.6" x14ac:dyDescent="0.3">
      <c r="A55" s="25" t="str">
        <f t="shared" si="13"/>
        <v>CERTO</v>
      </c>
      <c r="B55" s="30" t="s">
        <v>95</v>
      </c>
      <c r="C55" s="31" t="s">
        <v>95</v>
      </c>
      <c r="D55" s="53" t="e">
        <f t="shared" si="12"/>
        <v>#N/A</v>
      </c>
      <c r="E55" s="31" t="s">
        <v>96</v>
      </c>
      <c r="F55" s="31" t="s">
        <v>13</v>
      </c>
      <c r="G55" s="66">
        <v>785417914</v>
      </c>
      <c r="H55" s="66">
        <v>785417914</v>
      </c>
      <c r="I55" s="31">
        <f t="shared" si="21"/>
        <v>0</v>
      </c>
      <c r="J55" s="46">
        <v>1.9710000000000001</v>
      </c>
      <c r="K55" s="33" t="e">
        <f t="shared" si="14"/>
        <v>#N/A</v>
      </c>
      <c r="L55" s="34" t="e">
        <f t="shared" si="15"/>
        <v>#N/A</v>
      </c>
      <c r="M55" s="35" t="e">
        <f t="shared" si="16"/>
        <v>#N/A</v>
      </c>
      <c r="N55" s="36" t="e">
        <f t="shared" si="17"/>
        <v>#N/A</v>
      </c>
      <c r="O55" s="57" t="e">
        <f t="shared" si="18"/>
        <v>#N/A</v>
      </c>
      <c r="P55" s="58" t="e">
        <f t="shared" si="19"/>
        <v>#N/A</v>
      </c>
      <c r="Q55" s="58" t="str">
        <f t="shared" si="22"/>
        <v>LREN3</v>
      </c>
      <c r="R55" s="64" t="str">
        <f t="shared" si="23"/>
        <v>LOJAS RENNER</v>
      </c>
      <c r="S55" s="61" t="e">
        <f t="shared" si="20"/>
        <v>#N/A</v>
      </c>
      <c r="T55" s="24" t="s">
        <v>95</v>
      </c>
      <c r="U55" s="37" t="e">
        <f>RTD("tryd.rtdserver",,"COT","LREN3","Ult")</f>
        <v>#N/A</v>
      </c>
      <c r="V55" s="51" t="e">
        <f>RTD("tryd.rtdserver",,"COT","LREN3","VarPer")</f>
        <v>#N/A</v>
      </c>
      <c r="W55" s="51" t="e">
        <f>RTD("tryd.rtdserver",,"COT","LREN3","VarVarPer")</f>
        <v>#N/A</v>
      </c>
      <c r="X55" s="49" t="e">
        <f>RTD("tryd.rtdserver",,"COT","LREN3","PrcCpa")</f>
        <v>#N/A</v>
      </c>
      <c r="Y55" s="50" t="e">
        <f>RTD("tryd.rtdserver",,"COT","LREN3","PrcVda")</f>
        <v>#N/A</v>
      </c>
      <c r="Z55" s="37" t="e">
        <f>RTD("tryd.rtdserver",,"COT","LREN3","Fech")</f>
        <v>#N/A</v>
      </c>
      <c r="AA55" s="37" t="e">
        <f>RTD("tryd.rtdserver",,"COT","LREN3","Abert")</f>
        <v>#N/A</v>
      </c>
      <c r="AB55" s="37" t="e">
        <f>RTD("tryd.rtdserver",,"COT","LREN3","Min")</f>
        <v>#N/A</v>
      </c>
      <c r="AC55" s="37" t="e">
        <f>RTD("tryd.rtdserver",,"COT","LREN3","Media")</f>
        <v>#N/A</v>
      </c>
      <c r="AD55" s="37" t="e">
        <f>RTD("tryd.rtdserver",,"COT","LREN3","Max")</f>
        <v>#N/A</v>
      </c>
      <c r="AE55" s="24" t="e">
        <f>RTD("tryd.rtdserver",,"COT","LREN3","Desc")</f>
        <v>#N/A</v>
      </c>
      <c r="AF55" s="24" t="e">
        <f>RTD("tryd.rtdserver",,"COT","LREN3","Vol")</f>
        <v>#N/A</v>
      </c>
    </row>
    <row r="56" spans="1:41" s="24" customFormat="1" ht="15.6" x14ac:dyDescent="0.3">
      <c r="A56" s="25" t="str">
        <f t="shared" si="13"/>
        <v>CERTO</v>
      </c>
      <c r="B56" s="30" t="s">
        <v>97</v>
      </c>
      <c r="C56" s="31" t="s">
        <v>97</v>
      </c>
      <c r="D56" s="53" t="e">
        <f t="shared" si="12"/>
        <v>#N/A</v>
      </c>
      <c r="E56" s="31" t="s">
        <v>98</v>
      </c>
      <c r="F56" s="31" t="s">
        <v>13</v>
      </c>
      <c r="G56" s="66">
        <v>668758001</v>
      </c>
      <c r="H56" s="66">
        <v>668758001</v>
      </c>
      <c r="I56" s="31">
        <f t="shared" si="21"/>
        <v>0</v>
      </c>
      <c r="J56" s="46">
        <v>3.1880000000000002</v>
      </c>
      <c r="K56" s="33" t="e">
        <f t="shared" si="14"/>
        <v>#N/A</v>
      </c>
      <c r="L56" s="34" t="e">
        <f t="shared" si="15"/>
        <v>#N/A</v>
      </c>
      <c r="M56" s="35" t="e">
        <f t="shared" si="16"/>
        <v>#N/A</v>
      </c>
      <c r="N56" s="36" t="e">
        <f t="shared" si="17"/>
        <v>#N/A</v>
      </c>
      <c r="O56" s="57" t="e">
        <f t="shared" si="18"/>
        <v>#N/A</v>
      </c>
      <c r="P56" s="58" t="e">
        <f t="shared" si="19"/>
        <v>#N/A</v>
      </c>
      <c r="Q56" s="58" t="str">
        <f t="shared" si="22"/>
        <v>MGLU3</v>
      </c>
      <c r="R56" s="64" t="str">
        <f t="shared" si="23"/>
        <v>MAGAZ LUIZA</v>
      </c>
      <c r="S56" s="61" t="e">
        <f t="shared" si="20"/>
        <v>#N/A</v>
      </c>
      <c r="T56" s="24" t="s">
        <v>97</v>
      </c>
      <c r="U56" s="37" t="e">
        <f>RTD("tryd.rtdserver",,"COT","MGLU3","Ult")</f>
        <v>#N/A</v>
      </c>
      <c r="V56" s="51" t="e">
        <f>RTD("tryd.rtdserver",,"COT","MGLU3","VarPer")</f>
        <v>#N/A</v>
      </c>
      <c r="W56" s="51" t="e">
        <f>RTD("tryd.rtdserver",,"COT","MGLU3","VarVarPer")</f>
        <v>#N/A</v>
      </c>
      <c r="X56" s="49" t="e">
        <f>RTD("tryd.rtdserver",,"COT","MGLU3","PrcCpa")</f>
        <v>#N/A</v>
      </c>
      <c r="Y56" s="50" t="e">
        <f>RTD("tryd.rtdserver",,"COT","MGLU3","PrcVda")</f>
        <v>#N/A</v>
      </c>
      <c r="Z56" s="37" t="e">
        <f>RTD("tryd.rtdserver",,"COT","MGLU3","Fech")</f>
        <v>#N/A</v>
      </c>
      <c r="AA56" s="37" t="e">
        <f>RTD("tryd.rtdserver",,"COT","MGLU3","Abert")</f>
        <v>#N/A</v>
      </c>
      <c r="AB56" s="37" t="e">
        <f>RTD("tryd.rtdserver",,"COT","MGLU3","Min")</f>
        <v>#N/A</v>
      </c>
      <c r="AC56" s="37" t="e">
        <f>RTD("tryd.rtdserver",,"COT","MGLU3","Media")</f>
        <v>#N/A</v>
      </c>
      <c r="AD56" s="37" t="e">
        <f>RTD("tryd.rtdserver",,"COT","MGLU3","Max")</f>
        <v>#N/A</v>
      </c>
      <c r="AE56" s="24" t="e">
        <f>RTD("tryd.rtdserver",,"COT","MGLU3","Desc")</f>
        <v>#N/A</v>
      </c>
      <c r="AF56" s="24" t="e">
        <f>RTD("tryd.rtdserver",,"COT","MGLU3","Vol")</f>
        <v>#N/A</v>
      </c>
    </row>
    <row r="57" spans="1:41" s="24" customFormat="1" ht="15.6" x14ac:dyDescent="0.3">
      <c r="A57" s="25" t="str">
        <f t="shared" si="13"/>
        <v>CERTO</v>
      </c>
      <c r="B57" s="30" t="s">
        <v>99</v>
      </c>
      <c r="C57" s="31" t="s">
        <v>99</v>
      </c>
      <c r="D57" s="53" t="e">
        <f t="shared" si="12"/>
        <v>#N/A</v>
      </c>
      <c r="E57" s="31" t="s">
        <v>100</v>
      </c>
      <c r="F57" s="31" t="s">
        <v>13</v>
      </c>
      <c r="G57" s="66">
        <v>368864634</v>
      </c>
      <c r="H57" s="66">
        <v>368864634</v>
      </c>
      <c r="I57" s="31">
        <f t="shared" si="21"/>
        <v>0</v>
      </c>
      <c r="J57" s="46">
        <v>0.32700000000000001</v>
      </c>
      <c r="K57" s="33" t="e">
        <f t="shared" si="14"/>
        <v>#N/A</v>
      </c>
      <c r="L57" s="34" t="e">
        <f t="shared" si="15"/>
        <v>#N/A</v>
      </c>
      <c r="M57" s="35" t="e">
        <f t="shared" si="16"/>
        <v>#N/A</v>
      </c>
      <c r="N57" s="36" t="e">
        <f t="shared" si="17"/>
        <v>#N/A</v>
      </c>
      <c r="O57" s="57" t="e">
        <f t="shared" si="18"/>
        <v>#N/A</v>
      </c>
      <c r="P57" s="58" t="e">
        <f t="shared" si="19"/>
        <v>#N/A</v>
      </c>
      <c r="Q57" s="58" t="str">
        <f t="shared" si="22"/>
        <v>MRFG3</v>
      </c>
      <c r="R57" s="64" t="str">
        <f t="shared" si="23"/>
        <v>MARFRIG</v>
      </c>
      <c r="S57" s="61" t="e">
        <f t="shared" si="20"/>
        <v>#N/A</v>
      </c>
      <c r="T57" s="24" t="s">
        <v>99</v>
      </c>
      <c r="U57" s="37" t="e">
        <f>RTD("tryd.rtdserver",,"COT","MRFG3","Ult")</f>
        <v>#N/A</v>
      </c>
      <c r="V57" s="51" t="e">
        <f>RTD("tryd.rtdserver",,"COT","MRFG3","VarPer")</f>
        <v>#N/A</v>
      </c>
      <c r="W57" s="51" t="e">
        <f>RTD("tryd.rtdserver",,"COT","MRFG3","VarVarPer")</f>
        <v>#N/A</v>
      </c>
      <c r="X57" s="49" t="e">
        <f>RTD("tryd.rtdserver",,"COT","MRFG3","PrcCpa")</f>
        <v>#N/A</v>
      </c>
      <c r="Y57" s="50" t="e">
        <f>RTD("tryd.rtdserver",,"COT","MRFG3","PrcVda")</f>
        <v>#N/A</v>
      </c>
      <c r="Z57" s="37" t="e">
        <f>RTD("tryd.rtdserver",,"COT","MRFG3","Fech")</f>
        <v>#N/A</v>
      </c>
      <c r="AA57" s="37" t="e">
        <f>RTD("tryd.rtdserver",,"COT","MRFG3","Abert")</f>
        <v>#N/A</v>
      </c>
      <c r="AB57" s="37" t="e">
        <f>RTD("tryd.rtdserver",,"COT","MRFG3","Min")</f>
        <v>#N/A</v>
      </c>
      <c r="AC57" s="37" t="e">
        <f>RTD("tryd.rtdserver",,"COT","MRFG3","Media")</f>
        <v>#N/A</v>
      </c>
      <c r="AD57" s="37" t="e">
        <f>RTD("tryd.rtdserver",,"COT","MRFG3","Max")</f>
        <v>#N/A</v>
      </c>
      <c r="AE57" s="24" t="e">
        <f>RTD("tryd.rtdserver",,"COT","MRFG3","Desc")</f>
        <v>#N/A</v>
      </c>
      <c r="AF57" s="24" t="e">
        <f>RTD("tryd.rtdserver",,"COT","MRFG3","Vol")</f>
        <v>#N/A</v>
      </c>
    </row>
    <row r="58" spans="1:41" s="24" customFormat="1" ht="15.6" x14ac:dyDescent="0.3">
      <c r="A58" s="25" t="str">
        <f t="shared" si="13"/>
        <v>CERTO</v>
      </c>
      <c r="B58" s="30" t="s">
        <v>101</v>
      </c>
      <c r="C58" s="31" t="s">
        <v>101</v>
      </c>
      <c r="D58" s="53" t="e">
        <f t="shared" si="12"/>
        <v>#N/A</v>
      </c>
      <c r="E58" s="31" t="s">
        <v>102</v>
      </c>
      <c r="F58" s="31" t="s">
        <v>13</v>
      </c>
      <c r="G58" s="66">
        <v>298796441</v>
      </c>
      <c r="H58" s="66">
        <v>298796441</v>
      </c>
      <c r="I58" s="31">
        <f t="shared" si="21"/>
        <v>0</v>
      </c>
      <c r="J58" s="46">
        <v>0.29099999999999998</v>
      </c>
      <c r="K58" s="33" t="e">
        <f t="shared" si="14"/>
        <v>#N/A</v>
      </c>
      <c r="L58" s="34" t="e">
        <f t="shared" si="15"/>
        <v>#N/A</v>
      </c>
      <c r="M58" s="35" t="e">
        <f t="shared" si="16"/>
        <v>#N/A</v>
      </c>
      <c r="N58" s="36" t="e">
        <f t="shared" si="17"/>
        <v>#N/A</v>
      </c>
      <c r="O58" s="57" t="e">
        <f t="shared" si="18"/>
        <v>#N/A</v>
      </c>
      <c r="P58" s="58" t="e">
        <f t="shared" si="19"/>
        <v>#N/A</v>
      </c>
      <c r="Q58" s="58" t="str">
        <f t="shared" si="22"/>
        <v>MRVE3</v>
      </c>
      <c r="R58" s="64" t="str">
        <f t="shared" si="23"/>
        <v>MRV</v>
      </c>
      <c r="S58" s="61" t="e">
        <f t="shared" si="20"/>
        <v>#N/A</v>
      </c>
      <c r="T58" s="24" t="s">
        <v>101</v>
      </c>
      <c r="U58" s="37" t="e">
        <f>RTD("tryd.rtdserver",,"COT","MRVE3","Ult")</f>
        <v>#N/A</v>
      </c>
      <c r="V58" s="51" t="e">
        <f>RTD("tryd.rtdserver",,"COT","MRVE3","VarPer")</f>
        <v>#N/A</v>
      </c>
      <c r="W58" s="51" t="e">
        <f>RTD("tryd.rtdserver",,"COT","MRVE3","VarVarPer")</f>
        <v>#N/A</v>
      </c>
      <c r="X58" s="49" t="e">
        <f>RTD("tryd.rtdserver",,"COT","MRVE3","PrcCpa")</f>
        <v>#N/A</v>
      </c>
      <c r="Y58" s="50" t="e">
        <f>RTD("tryd.rtdserver",,"COT","MRVE3","PrcVda")</f>
        <v>#N/A</v>
      </c>
      <c r="Z58" s="37" t="e">
        <f>RTD("tryd.rtdserver",,"COT","MRVE3","Fech")</f>
        <v>#N/A</v>
      </c>
      <c r="AA58" s="37" t="e">
        <f>RTD("tryd.rtdserver",,"COT","MRVE3","Abert")</f>
        <v>#N/A</v>
      </c>
      <c r="AB58" s="37" t="e">
        <f>RTD("tryd.rtdserver",,"COT","MRVE3","Min")</f>
        <v>#N/A</v>
      </c>
      <c r="AC58" s="37" t="e">
        <f>RTD("tryd.rtdserver",,"COT","MRVE3","Media")</f>
        <v>#N/A</v>
      </c>
      <c r="AD58" s="37" t="e">
        <f>RTD("tryd.rtdserver",,"COT","MRVE3","Max")</f>
        <v>#N/A</v>
      </c>
      <c r="AE58" s="24" t="e">
        <f>RTD("tryd.rtdserver",,"COT","MRVE3","Desc")</f>
        <v>#N/A</v>
      </c>
      <c r="AF58" s="24" t="e">
        <f>RTD("tryd.rtdserver",,"COT","MRVE3","Vol")</f>
        <v>#N/A</v>
      </c>
      <c r="AN58" s="24" t="s">
        <v>187</v>
      </c>
    </row>
    <row r="59" spans="1:41" s="24" customFormat="1" ht="15.6" x14ac:dyDescent="0.3">
      <c r="A59" s="25" t="str">
        <f t="shared" si="13"/>
        <v>CERTO</v>
      </c>
      <c r="B59" s="30" t="s">
        <v>103</v>
      </c>
      <c r="C59" s="31" t="s">
        <v>103</v>
      </c>
      <c r="D59" s="53" t="e">
        <f t="shared" si="12"/>
        <v>#N/A</v>
      </c>
      <c r="E59" s="31" t="s">
        <v>104</v>
      </c>
      <c r="F59" s="31" t="s">
        <v>105</v>
      </c>
      <c r="G59" s="66">
        <v>276848567</v>
      </c>
      <c r="H59" s="66">
        <v>276848567</v>
      </c>
      <c r="I59" s="31">
        <f t="shared" si="21"/>
        <v>0</v>
      </c>
      <c r="J59" s="46">
        <v>0.34799999999999998</v>
      </c>
      <c r="K59" s="33" t="e">
        <f t="shared" si="14"/>
        <v>#N/A</v>
      </c>
      <c r="L59" s="34" t="e">
        <f t="shared" si="15"/>
        <v>#N/A</v>
      </c>
      <c r="M59" s="35" t="e">
        <f t="shared" si="16"/>
        <v>#N/A</v>
      </c>
      <c r="N59" s="36" t="e">
        <f t="shared" si="17"/>
        <v>#N/A</v>
      </c>
      <c r="O59" s="57" t="e">
        <f t="shared" si="18"/>
        <v>#N/A</v>
      </c>
      <c r="P59" s="58" t="e">
        <f t="shared" si="19"/>
        <v>#N/A</v>
      </c>
      <c r="Q59" s="58" t="str">
        <f t="shared" si="22"/>
        <v>MULT3</v>
      </c>
      <c r="R59" s="64" t="str">
        <f t="shared" si="23"/>
        <v>MULTIPLAN</v>
      </c>
      <c r="S59" s="61" t="e">
        <f t="shared" si="20"/>
        <v>#N/A</v>
      </c>
      <c r="T59" s="24" t="s">
        <v>103</v>
      </c>
      <c r="U59" s="37" t="e">
        <f>RTD("tryd.rtdserver",,"COT","MULT3","Ult")</f>
        <v>#N/A</v>
      </c>
      <c r="V59" s="51" t="e">
        <f>RTD("tryd.rtdserver",,"COT","MULT3","VarPer")</f>
        <v>#N/A</v>
      </c>
      <c r="W59" s="51" t="e">
        <f>RTD("tryd.rtdserver",,"COT","MULT3","VarVarPer")</f>
        <v>#N/A</v>
      </c>
      <c r="X59" s="49" t="e">
        <f>RTD("tryd.rtdserver",,"COT","MULT3","PrcCpa")</f>
        <v>#N/A</v>
      </c>
      <c r="Y59" s="50" t="e">
        <f>RTD("tryd.rtdserver",,"COT","MULT3","PrcVda")</f>
        <v>#N/A</v>
      </c>
      <c r="Z59" s="37" t="e">
        <f>RTD("tryd.rtdserver",,"COT","MULT3","Fech")</f>
        <v>#N/A</v>
      </c>
      <c r="AA59" s="37" t="e">
        <f>RTD("tryd.rtdserver",,"COT","MULT3","Abert")</f>
        <v>#N/A</v>
      </c>
      <c r="AB59" s="37" t="e">
        <f>RTD("tryd.rtdserver",,"COT","MULT3","Min")</f>
        <v>#N/A</v>
      </c>
      <c r="AC59" s="37" t="e">
        <f>RTD("tryd.rtdserver",,"COT","MULT3","Media")</f>
        <v>#N/A</v>
      </c>
      <c r="AD59" s="37" t="e">
        <f>RTD("tryd.rtdserver",,"COT","MULT3","Max")</f>
        <v>#N/A</v>
      </c>
      <c r="AE59" s="24" t="e">
        <f>RTD("tryd.rtdserver",,"COT","MULT3","Desc")</f>
        <v>#N/A</v>
      </c>
      <c r="AF59" s="24" t="e">
        <f>RTD("tryd.rtdserver",,"COT","MULT3","Vol")</f>
        <v>#N/A</v>
      </c>
    </row>
    <row r="60" spans="1:41" s="24" customFormat="1" ht="15.6" x14ac:dyDescent="0.3">
      <c r="A60" s="25" t="str">
        <f t="shared" si="13"/>
        <v>CERTO</v>
      </c>
      <c r="B60" s="30" t="s">
        <v>177</v>
      </c>
      <c r="C60" s="31" t="s">
        <v>177</v>
      </c>
      <c r="D60" s="53" t="e">
        <f t="shared" si="12"/>
        <v>#N/A</v>
      </c>
      <c r="E60" s="31" t="s">
        <v>183</v>
      </c>
      <c r="F60" s="31" t="s">
        <v>13</v>
      </c>
      <c r="G60" s="66">
        <v>719775531</v>
      </c>
      <c r="H60" s="66">
        <v>719775531</v>
      </c>
      <c r="I60" s="31">
        <f t="shared" si="21"/>
        <v>0</v>
      </c>
      <c r="J60" s="46">
        <v>1.9059999999999999</v>
      </c>
      <c r="K60" s="33" t="e">
        <f t="shared" si="14"/>
        <v>#N/A</v>
      </c>
      <c r="L60" s="34" t="e">
        <f t="shared" si="15"/>
        <v>#N/A</v>
      </c>
      <c r="M60" s="35" t="e">
        <f t="shared" si="16"/>
        <v>#N/A</v>
      </c>
      <c r="N60" s="36" t="e">
        <f t="shared" si="17"/>
        <v>#N/A</v>
      </c>
      <c r="O60" s="57" t="e">
        <f t="shared" si="18"/>
        <v>#N/A</v>
      </c>
      <c r="P60" s="58" t="e">
        <f t="shared" si="19"/>
        <v>#N/A</v>
      </c>
      <c r="Q60" s="58" t="str">
        <f t="shared" si="22"/>
        <v>NTCO3</v>
      </c>
      <c r="R60" s="64" t="str">
        <f t="shared" si="23"/>
        <v>GRUPO NATURA</v>
      </c>
      <c r="S60" s="61" t="e">
        <f t="shared" si="20"/>
        <v>#N/A</v>
      </c>
      <c r="T60" s="24" t="s">
        <v>177</v>
      </c>
      <c r="U60" s="37" t="e">
        <f>RTD("tryd.rtdserver",,"COT","NTCO3","Ult")</f>
        <v>#N/A</v>
      </c>
      <c r="V60" s="51" t="e">
        <f>RTD("tryd.rtdserver",,"COT","NTCO3","VarPer")</f>
        <v>#N/A</v>
      </c>
      <c r="W60" s="51" t="e">
        <f>RTD("tryd.rtdserver",,"COT","NTCO3","VarVarPer")</f>
        <v>#N/A</v>
      </c>
      <c r="X60" s="49" t="e">
        <f>RTD("tryd.rtdserver",,"COT","NTCO3","PrcCpa")</f>
        <v>#N/A</v>
      </c>
      <c r="Y60" s="50" t="e">
        <f>RTD("tryd.rtdserver",,"COT","NTCO3","PrcVda")</f>
        <v>#N/A</v>
      </c>
      <c r="Z60" s="37" t="e">
        <f>RTD("tryd.rtdserver",,"COT","NTCO3","Fech")</f>
        <v>#N/A</v>
      </c>
      <c r="AA60" s="37" t="e">
        <f>RTD("tryd.rtdserver",,"COT","NTCO3","Abert")</f>
        <v>#N/A</v>
      </c>
      <c r="AB60" s="37" t="e">
        <f>RTD("tryd.rtdserver",,"COT","NTCO3","Min")</f>
        <v>#N/A</v>
      </c>
      <c r="AC60" s="37" t="e">
        <f>RTD("tryd.rtdserver",,"COT","NTCO3","Media")</f>
        <v>#N/A</v>
      </c>
      <c r="AD60" s="37" t="e">
        <f>RTD("tryd.rtdserver",,"COT","NTCO3","Max")</f>
        <v>#N/A</v>
      </c>
      <c r="AE60" s="24" t="e">
        <f>RTD("tryd.rtdserver",,"COT","MULT3","Desc")</f>
        <v>#N/A</v>
      </c>
      <c r="AF60" s="24" t="e">
        <f>RTD("tryd.rtdserver",,"COT","MULT3","Vol")</f>
        <v>#N/A</v>
      </c>
    </row>
    <row r="61" spans="1:41" s="24" customFormat="1" ht="15.6" x14ac:dyDescent="0.3">
      <c r="A61" s="25" t="str">
        <f t="shared" si="13"/>
        <v>CERTO</v>
      </c>
      <c r="B61" s="30" t="s">
        <v>192</v>
      </c>
      <c r="C61" s="31" t="s">
        <v>192</v>
      </c>
      <c r="D61" s="53" t="e">
        <f t="shared" si="12"/>
        <v>#N/A</v>
      </c>
      <c r="E61" s="31" t="s">
        <v>107</v>
      </c>
      <c r="F61" s="31" t="s">
        <v>13</v>
      </c>
      <c r="G61" s="66">
        <v>156831174</v>
      </c>
      <c r="H61" s="66">
        <v>156831174</v>
      </c>
      <c r="I61" s="31">
        <f t="shared" si="21"/>
        <v>0</v>
      </c>
      <c r="J61" s="46">
        <v>0.53300000000000003</v>
      </c>
      <c r="K61" s="33" t="e">
        <f t="shared" si="14"/>
        <v>#N/A</v>
      </c>
      <c r="L61" s="34" t="e">
        <f t="shared" si="15"/>
        <v>#N/A</v>
      </c>
      <c r="M61" s="35" t="e">
        <f t="shared" si="16"/>
        <v>#N/A</v>
      </c>
      <c r="N61" s="36" t="e">
        <f t="shared" si="17"/>
        <v>#N/A</v>
      </c>
      <c r="O61" s="57" t="e">
        <f t="shared" si="18"/>
        <v>#N/A</v>
      </c>
      <c r="P61" s="58" t="e">
        <f t="shared" si="19"/>
        <v>#N/A</v>
      </c>
      <c r="Q61" s="58" t="str">
        <f t="shared" si="22"/>
        <v>PCAR3</v>
      </c>
      <c r="R61" s="64" t="str">
        <f t="shared" si="23"/>
        <v>P.ACUCAR-CBD</v>
      </c>
      <c r="S61" s="61" t="e">
        <f t="shared" si="20"/>
        <v>#N/A</v>
      </c>
      <c r="T61" s="24" t="s">
        <v>192</v>
      </c>
      <c r="U61" s="37" t="e">
        <f>RTD("tryd.rtdserver",,"COT","PCAR3","Ult")</f>
        <v>#N/A</v>
      </c>
      <c r="V61" s="51" t="e">
        <f>RTD("tryd.rtdserver",,"COT","PCAR3","VarPer")</f>
        <v>#N/A</v>
      </c>
      <c r="W61" s="51" t="e">
        <f>RTD("tryd.rtdserver",,"COT","PCAR3","VarVarPer")</f>
        <v>#N/A</v>
      </c>
      <c r="X61" s="49" t="e">
        <f>RTD("tryd.rtdserver",,"COT","PCAR3","PrcCpa")</f>
        <v>#N/A</v>
      </c>
      <c r="Y61" s="50" t="e">
        <f>RTD("tryd.rtdserver",,"COT","PCAR3","PrcVda")</f>
        <v>#N/A</v>
      </c>
      <c r="Z61" s="37" t="e">
        <f>RTD("tryd.rtdserver",,"COT","PCAR3","Fech")</f>
        <v>#N/A</v>
      </c>
      <c r="AA61" s="37" t="e">
        <f>RTD("tryd.rtdserver",,"COT","PCAR3","Abert")</f>
        <v>#N/A</v>
      </c>
      <c r="AB61" s="37" t="e">
        <f>RTD("tryd.rtdserver",,"COT","PCAR3","Min")</f>
        <v>#N/A</v>
      </c>
      <c r="AC61" s="37" t="e">
        <f>RTD("tryd.rtdserver",,"COT","PCAR3","Media")</f>
        <v>#N/A</v>
      </c>
      <c r="AD61" s="37" t="e">
        <f>RTD("tryd.rtdserver",,"COT","PCAR3","Max")</f>
        <v>#N/A</v>
      </c>
      <c r="AE61" s="24" t="e">
        <f>RTD("tryd.rtdserver",,"COT","PCAR3","Desc")</f>
        <v>#N/A</v>
      </c>
      <c r="AF61" s="24" t="e">
        <f>RTD("tryd.rtdserver",,"COT","PCAR3","Vol")</f>
        <v>#N/A</v>
      </c>
      <c r="AO61" s="24" t="s">
        <v>187</v>
      </c>
    </row>
    <row r="62" spans="1:41" s="24" customFormat="1" ht="15.6" x14ac:dyDescent="0.3">
      <c r="A62" s="25" t="str">
        <f t="shared" si="13"/>
        <v>CERTO</v>
      </c>
      <c r="B62" s="30" t="s">
        <v>108</v>
      </c>
      <c r="C62" s="31" t="s">
        <v>108</v>
      </c>
      <c r="D62" s="53" t="e">
        <f t="shared" si="12"/>
        <v>#N/A</v>
      </c>
      <c r="E62" s="31" t="s">
        <v>109</v>
      </c>
      <c r="F62" s="31" t="s">
        <v>105</v>
      </c>
      <c r="G62" s="66">
        <v>3509328784</v>
      </c>
      <c r="H62" s="66">
        <v>3509328784</v>
      </c>
      <c r="I62" s="31">
        <f t="shared" si="21"/>
        <v>0</v>
      </c>
      <c r="J62" s="46">
        <v>4.2969999999999997</v>
      </c>
      <c r="K62" s="33" t="e">
        <f t="shared" si="14"/>
        <v>#N/A</v>
      </c>
      <c r="L62" s="34" t="e">
        <f t="shared" si="15"/>
        <v>#N/A</v>
      </c>
      <c r="M62" s="35" t="e">
        <f t="shared" si="16"/>
        <v>#N/A</v>
      </c>
      <c r="N62" s="36" t="e">
        <f t="shared" si="17"/>
        <v>#N/A</v>
      </c>
      <c r="O62" s="57" t="e">
        <f t="shared" si="18"/>
        <v>#N/A</v>
      </c>
      <c r="P62" s="58" t="e">
        <f t="shared" si="19"/>
        <v>#N/A</v>
      </c>
      <c r="Q62" s="58" t="str">
        <f t="shared" si="22"/>
        <v>PETR3</v>
      </c>
      <c r="R62" s="64" t="str">
        <f t="shared" si="23"/>
        <v>PETROBRAS</v>
      </c>
      <c r="S62" s="61" t="e">
        <f t="shared" si="20"/>
        <v>#N/A</v>
      </c>
      <c r="T62" s="24" t="s">
        <v>108</v>
      </c>
      <c r="U62" s="37" t="e">
        <f>RTD("tryd.rtdserver",,"COT","PETR3","Ult")</f>
        <v>#N/A</v>
      </c>
      <c r="V62" s="51" t="e">
        <f>RTD("tryd.rtdserver",,"COT","PETR3","VarPer")</f>
        <v>#N/A</v>
      </c>
      <c r="W62" s="51" t="e">
        <f>RTD("tryd.rtdserver",,"COT","PETR3","VarVarPer")</f>
        <v>#N/A</v>
      </c>
      <c r="X62" s="49" t="e">
        <f>RTD("tryd.rtdserver",,"COT","PETR3","PrcCpa")</f>
        <v>#N/A</v>
      </c>
      <c r="Y62" s="50" t="e">
        <f>RTD("tryd.rtdserver",,"COT","PETR3","PrcVda")</f>
        <v>#N/A</v>
      </c>
      <c r="Z62" s="37" t="e">
        <f>RTD("tryd.rtdserver",,"COT","PETR3","Fech")</f>
        <v>#N/A</v>
      </c>
      <c r="AA62" s="37" t="e">
        <f>RTD("tryd.rtdserver",,"COT","PETR3","Abert")</f>
        <v>#N/A</v>
      </c>
      <c r="AB62" s="37" t="e">
        <f>RTD("tryd.rtdserver",,"COT","PETR3","Min")</f>
        <v>#N/A</v>
      </c>
      <c r="AC62" s="37" t="e">
        <f>RTD("tryd.rtdserver",,"COT","PETR3","Media")</f>
        <v>#N/A</v>
      </c>
      <c r="AD62" s="37" t="e">
        <f>RTD("tryd.rtdserver",,"COT","PETR3","Max")</f>
        <v>#N/A</v>
      </c>
      <c r="AE62" s="24" t="e">
        <f>RTD("tryd.rtdserver",,"COT","PETR3","Desc")</f>
        <v>#N/A</v>
      </c>
      <c r="AF62" s="24" t="e">
        <f>RTD("tryd.rtdserver",,"COT","PETR3","Vol")</f>
        <v>#N/A</v>
      </c>
    </row>
    <row r="63" spans="1:41" s="24" customFormat="1" ht="15.6" x14ac:dyDescent="0.3">
      <c r="A63" s="25" t="str">
        <f t="shared" si="13"/>
        <v>CERTO</v>
      </c>
      <c r="B63" s="30" t="s">
        <v>110</v>
      </c>
      <c r="C63" s="31" t="s">
        <v>110</v>
      </c>
      <c r="D63" s="53" t="e">
        <f t="shared" si="12"/>
        <v>#N/A</v>
      </c>
      <c r="E63" s="31" t="s">
        <v>109</v>
      </c>
      <c r="F63" s="31" t="s">
        <v>10</v>
      </c>
      <c r="G63" s="66">
        <v>4566457037</v>
      </c>
      <c r="H63" s="66">
        <v>4566457037</v>
      </c>
      <c r="I63" s="31">
        <f t="shared" si="21"/>
        <v>0</v>
      </c>
      <c r="J63" s="46">
        <v>5.5259999999999998</v>
      </c>
      <c r="K63" s="33" t="e">
        <f t="shared" si="14"/>
        <v>#N/A</v>
      </c>
      <c r="L63" s="34" t="e">
        <f t="shared" si="15"/>
        <v>#N/A</v>
      </c>
      <c r="M63" s="35" t="e">
        <f t="shared" si="16"/>
        <v>#N/A</v>
      </c>
      <c r="N63" s="36" t="e">
        <f t="shared" si="17"/>
        <v>#N/A</v>
      </c>
      <c r="O63" s="57" t="e">
        <f t="shared" si="18"/>
        <v>#N/A</v>
      </c>
      <c r="P63" s="58" t="e">
        <f t="shared" si="19"/>
        <v>#N/A</v>
      </c>
      <c r="Q63" s="58" t="str">
        <f t="shared" si="22"/>
        <v>PETR4</v>
      </c>
      <c r="R63" s="64" t="str">
        <f t="shared" si="23"/>
        <v>PETROBRAS</v>
      </c>
      <c r="S63" s="61" t="e">
        <f t="shared" si="20"/>
        <v>#N/A</v>
      </c>
      <c r="T63" s="24" t="s">
        <v>110</v>
      </c>
      <c r="U63" s="37" t="e">
        <f>RTD("tryd.rtdserver",,"COT","PETR4","Ult")</f>
        <v>#N/A</v>
      </c>
      <c r="V63" s="51" t="e">
        <f>RTD("tryd.rtdserver",,"COT","PETR4","VarPer")</f>
        <v>#N/A</v>
      </c>
      <c r="W63" s="51" t="e">
        <f>RTD("tryd.rtdserver",,"COT","PETR4","VarVarPer")</f>
        <v>#N/A</v>
      </c>
      <c r="X63" s="49" t="e">
        <f>RTD("tryd.rtdserver",,"COT","PETR4","PrcCpa")</f>
        <v>#N/A</v>
      </c>
      <c r="Y63" s="50" t="e">
        <f>RTD("tryd.rtdserver",,"COT","PETR4","PrcVda")</f>
        <v>#N/A</v>
      </c>
      <c r="Z63" s="37" t="e">
        <f>RTD("tryd.rtdserver",,"COT","PETR4","Fech")</f>
        <v>#N/A</v>
      </c>
      <c r="AA63" s="37" t="e">
        <f>RTD("tryd.rtdserver",,"COT","PETR4","Abert")</f>
        <v>#N/A</v>
      </c>
      <c r="AB63" s="37" t="e">
        <f>RTD("tryd.rtdserver",,"COT","PETR4","Min")</f>
        <v>#N/A</v>
      </c>
      <c r="AC63" s="37" t="e">
        <f>RTD("tryd.rtdserver",,"COT","PETR4","Media")</f>
        <v>#N/A</v>
      </c>
      <c r="AD63" s="37" t="e">
        <f>RTD("tryd.rtdserver",,"COT","PETR4","Max")</f>
        <v>#N/A</v>
      </c>
      <c r="AE63" s="24" t="e">
        <f>RTD("tryd.rtdserver",,"COT","PETR4","Desc")</f>
        <v>#N/A</v>
      </c>
      <c r="AF63" s="24" t="e">
        <f>RTD("tryd.rtdserver",,"COT","PETR4","Vol")</f>
        <v>#N/A</v>
      </c>
      <c r="AO63" s="24" t="s">
        <v>187</v>
      </c>
    </row>
    <row r="64" spans="1:41" s="24" customFormat="1" ht="15.6" x14ac:dyDescent="0.3">
      <c r="A64" s="25" t="str">
        <f t="shared" si="13"/>
        <v>CERTO</v>
      </c>
      <c r="B64" s="30" t="s">
        <v>204</v>
      </c>
      <c r="C64" s="31" t="s">
        <v>204</v>
      </c>
      <c r="D64" s="53" t="e">
        <f t="shared" si="12"/>
        <v>#N/A</v>
      </c>
      <c r="E64" s="31" t="s">
        <v>209</v>
      </c>
      <c r="F64" s="31" t="s">
        <v>13</v>
      </c>
      <c r="G64" s="66">
        <v>135160900</v>
      </c>
      <c r="H64" s="66">
        <v>135160900</v>
      </c>
      <c r="I64" s="31"/>
      <c r="J64" s="46">
        <v>0.30399999999999999</v>
      </c>
      <c r="K64" s="33" t="e">
        <f t="shared" si="14"/>
        <v>#N/A</v>
      </c>
      <c r="L64" s="34" t="e">
        <f t="shared" si="15"/>
        <v>#N/A</v>
      </c>
      <c r="M64" s="35" t="e">
        <f t="shared" si="16"/>
        <v>#N/A</v>
      </c>
      <c r="N64" s="36" t="e">
        <f t="shared" si="17"/>
        <v>#N/A</v>
      </c>
      <c r="O64" s="57" t="e">
        <f t="shared" si="18"/>
        <v>#N/A</v>
      </c>
      <c r="P64" s="58" t="e">
        <f t="shared" si="19"/>
        <v>#N/A</v>
      </c>
      <c r="Q64" s="58" t="str">
        <f t="shared" si="22"/>
        <v>PRIO3</v>
      </c>
      <c r="R64" s="64" t="str">
        <f t="shared" si="23"/>
        <v>PETRORIO</v>
      </c>
      <c r="S64" s="61" t="e">
        <f t="shared" si="20"/>
        <v>#N/A</v>
      </c>
      <c r="T64" s="24" t="s">
        <v>204</v>
      </c>
      <c r="U64" s="37" t="e">
        <f>RTD("tryd.rtdserver",,"COT","PRIO3","Ult")</f>
        <v>#N/A</v>
      </c>
      <c r="V64" s="51" t="e">
        <f>RTD("tryd.rtdserver",,"COT","PRIO3","VarPer")</f>
        <v>#N/A</v>
      </c>
      <c r="W64" s="51" t="e">
        <f>RTD("tryd.rtdserver",,"COT","PRIO3","VarVarPer")</f>
        <v>#N/A</v>
      </c>
      <c r="X64" s="49" t="e">
        <f>RTD("tryd.rtdserver",,"COT","PRIO3","PrcCpa")</f>
        <v>#N/A</v>
      </c>
      <c r="Y64" s="50" t="e">
        <f>RTD("tryd.rtdserver",,"COT","PRIO3","PrcVda")</f>
        <v>#N/A</v>
      </c>
      <c r="Z64" s="37" t="e">
        <f>RTD("tryd.rtdserver",,"COT","PRIO3","Fech")</f>
        <v>#N/A</v>
      </c>
      <c r="AA64" s="37" t="e">
        <f>RTD("tryd.rtdserver",,"COT","PRIO3","Abert")</f>
        <v>#N/A</v>
      </c>
      <c r="AB64" s="37" t="e">
        <f>RTD("tryd.rtdserver",,"COT","PRIO3","Min")</f>
        <v>#N/A</v>
      </c>
      <c r="AC64" s="37" t="e">
        <f>RTD("tryd.rtdserver",,"COT","PRIO3","Media")</f>
        <v>#N/A</v>
      </c>
      <c r="AD64" s="37" t="e">
        <f>RTD("tryd.rtdserver",,"COT","PRIO3","Max")</f>
        <v>#N/A</v>
      </c>
    </row>
    <row r="65" spans="1:45" s="24" customFormat="1" ht="15.6" x14ac:dyDescent="0.3">
      <c r="A65" s="25" t="str">
        <f t="shared" si="13"/>
        <v>CERTO</v>
      </c>
      <c r="B65" s="30" t="s">
        <v>111</v>
      </c>
      <c r="C65" s="31" t="s">
        <v>111</v>
      </c>
      <c r="D65" s="53" t="e">
        <f t="shared" si="12"/>
        <v>#N/A</v>
      </c>
      <c r="E65" s="31" t="s">
        <v>112</v>
      </c>
      <c r="F65" s="31" t="s">
        <v>13</v>
      </c>
      <c r="G65" s="66">
        <v>283408928</v>
      </c>
      <c r="H65" s="66">
        <v>283408928</v>
      </c>
      <c r="I65" s="31">
        <f t="shared" ref="I65:I87" si="24">G65-H65</f>
        <v>0</v>
      </c>
      <c r="J65" s="46">
        <v>0.53</v>
      </c>
      <c r="K65" s="33" t="e">
        <f t="shared" si="14"/>
        <v>#N/A</v>
      </c>
      <c r="L65" s="34" t="e">
        <f t="shared" si="15"/>
        <v>#N/A</v>
      </c>
      <c r="M65" s="35" t="e">
        <f t="shared" si="16"/>
        <v>#N/A</v>
      </c>
      <c r="N65" s="36" t="e">
        <f t="shared" si="17"/>
        <v>#N/A</v>
      </c>
      <c r="O65" s="57" t="e">
        <f t="shared" si="18"/>
        <v>#N/A</v>
      </c>
      <c r="P65" s="58" t="e">
        <f t="shared" si="19"/>
        <v>#N/A</v>
      </c>
      <c r="Q65" s="58" t="str">
        <f t="shared" si="22"/>
        <v>QUAL3</v>
      </c>
      <c r="R65" s="64" t="str">
        <f t="shared" si="23"/>
        <v>QUALICORP</v>
      </c>
      <c r="S65" s="61" t="e">
        <f t="shared" si="20"/>
        <v>#N/A</v>
      </c>
      <c r="T65" s="24" t="s">
        <v>111</v>
      </c>
      <c r="U65" s="37" t="e">
        <f>RTD("tryd.rtdserver",,"COT","QUAL3","Ult")</f>
        <v>#N/A</v>
      </c>
      <c r="V65" s="51" t="e">
        <f>RTD("tryd.rtdserver",,"COT","QUAL3","VarPer")</f>
        <v>#N/A</v>
      </c>
      <c r="W65" s="51" t="e">
        <f>RTD("tryd.rtdserver",,"COT","QUAL3","VarVarPer")</f>
        <v>#N/A</v>
      </c>
      <c r="X65" s="49" t="e">
        <f>RTD("tryd.rtdserver",,"COT","QUAL3","PrcCpa")</f>
        <v>#N/A</v>
      </c>
      <c r="Y65" s="50" t="e">
        <f>RTD("tryd.rtdserver",,"COT","QUAL3","PrcVda")</f>
        <v>#N/A</v>
      </c>
      <c r="Z65" s="37" t="e">
        <f>RTD("tryd.rtdserver",,"COT","QUAL3","Fech")</f>
        <v>#N/A</v>
      </c>
      <c r="AA65" s="37" t="e">
        <f>RTD("tryd.rtdserver",,"COT","QUAL3","Abert")</f>
        <v>#N/A</v>
      </c>
      <c r="AB65" s="37" t="e">
        <f>RTD("tryd.rtdserver",,"COT","QUAL3","Min")</f>
        <v>#N/A</v>
      </c>
      <c r="AC65" s="37" t="e">
        <f>RTD("tryd.rtdserver",,"COT","QUAL3","Media")</f>
        <v>#N/A</v>
      </c>
      <c r="AD65" s="37" t="e">
        <f>RTD("tryd.rtdserver",,"COT","QUAL3","Max")</f>
        <v>#N/A</v>
      </c>
      <c r="AE65" s="24" t="e">
        <f>RTD("tryd.rtdserver",,"COT","QUAL3","Desc")</f>
        <v>#N/A</v>
      </c>
      <c r="AF65" s="24" t="e">
        <f>RTD("tryd.rtdserver",,"COT","QUAL3","Vol")</f>
        <v>#N/A</v>
      </c>
      <c r="AS65" s="24" t="s">
        <v>191</v>
      </c>
    </row>
    <row r="66" spans="1:45" s="24" customFormat="1" ht="15.6" x14ac:dyDescent="0.3">
      <c r="A66" s="25" t="str">
        <f t="shared" si="13"/>
        <v>CERTO</v>
      </c>
      <c r="B66" s="30" t="s">
        <v>113</v>
      </c>
      <c r="C66" s="31" t="s">
        <v>113</v>
      </c>
      <c r="D66" s="53" t="e">
        <f t="shared" si="12"/>
        <v>#N/A</v>
      </c>
      <c r="E66" s="31" t="s">
        <v>114</v>
      </c>
      <c r="F66" s="31" t="s">
        <v>13</v>
      </c>
      <c r="G66" s="66">
        <v>214294132</v>
      </c>
      <c r="H66" s="66">
        <v>214294132</v>
      </c>
      <c r="I66" s="31">
        <f t="shared" si="24"/>
        <v>0</v>
      </c>
      <c r="J66" s="46">
        <v>1.3360000000000001</v>
      </c>
      <c r="K66" s="33" t="e">
        <f t="shared" si="14"/>
        <v>#N/A</v>
      </c>
      <c r="L66" s="34" t="e">
        <f t="shared" si="15"/>
        <v>#N/A</v>
      </c>
      <c r="M66" s="35" t="e">
        <f t="shared" si="16"/>
        <v>#N/A</v>
      </c>
      <c r="N66" s="36" t="e">
        <f t="shared" si="17"/>
        <v>#N/A</v>
      </c>
      <c r="O66" s="57" t="e">
        <f t="shared" si="18"/>
        <v>#N/A</v>
      </c>
      <c r="P66" s="58" t="e">
        <f t="shared" si="19"/>
        <v>#N/A</v>
      </c>
      <c r="Q66" s="58" t="str">
        <f t="shared" si="22"/>
        <v>RADL3</v>
      </c>
      <c r="R66" s="64" t="str">
        <f t="shared" si="23"/>
        <v>RAIADROGASIL</v>
      </c>
      <c r="S66" s="61" t="e">
        <f t="shared" si="20"/>
        <v>#N/A</v>
      </c>
      <c r="T66" s="24" t="s">
        <v>113</v>
      </c>
      <c r="U66" s="37" t="e">
        <f>RTD("tryd.rtdserver",,"COT","RADL3","Ult")</f>
        <v>#N/A</v>
      </c>
      <c r="V66" s="51" t="e">
        <f>RTD("tryd.rtdserver",,"COT","RADL3","VarPer")</f>
        <v>#N/A</v>
      </c>
      <c r="W66" s="51" t="e">
        <f>RTD("tryd.rtdserver",,"COT","RADL3","VarVarPer")</f>
        <v>#N/A</v>
      </c>
      <c r="X66" s="49" t="e">
        <f>RTD("tryd.rtdserver",,"COT","RADL3","PrcCpa")</f>
        <v>#N/A</v>
      </c>
      <c r="Y66" s="50" t="e">
        <f>RTD("tryd.rtdserver",,"COT","RADL3","PrcVda")</f>
        <v>#N/A</v>
      </c>
      <c r="Z66" s="37" t="e">
        <f>RTD("tryd.rtdserver",,"COT","RADL3","Fech")</f>
        <v>#N/A</v>
      </c>
      <c r="AA66" s="37" t="e">
        <f>RTD("tryd.rtdserver",,"COT","RADL3","Abert")</f>
        <v>#N/A</v>
      </c>
      <c r="AB66" s="37" t="e">
        <f>RTD("tryd.rtdserver",,"COT","RADL3","Min")</f>
        <v>#N/A</v>
      </c>
      <c r="AC66" s="37" t="e">
        <f>RTD("tryd.rtdserver",,"COT","RADL3","Media")</f>
        <v>#N/A</v>
      </c>
      <c r="AD66" s="37" t="e">
        <f>RTD("tryd.rtdserver",,"COT","RADL3","Max")</f>
        <v>#N/A</v>
      </c>
      <c r="AE66" s="24" t="e">
        <f>RTD("tryd.rtdserver",,"COT","RADL3","Desc")</f>
        <v>#N/A</v>
      </c>
      <c r="AF66" s="24" t="e">
        <f>RTD("tryd.rtdserver",,"COT","RADL3","Vol")</f>
        <v>#N/A</v>
      </c>
      <c r="AO66" s="24" t="s">
        <v>187</v>
      </c>
      <c r="AP66" s="24" t="s">
        <v>188</v>
      </c>
      <c r="AQ66" s="24" t="s">
        <v>189</v>
      </c>
      <c r="AR66" s="24" t="s">
        <v>190</v>
      </c>
      <c r="AS66" s="24">
        <f>[1]!PCAR4.OVD</f>
        <v>0</v>
      </c>
    </row>
    <row r="67" spans="1:45" s="24" customFormat="1" ht="15.6" x14ac:dyDescent="0.3">
      <c r="A67" s="25" t="str">
        <f t="shared" si="13"/>
        <v>CERTO</v>
      </c>
      <c r="B67" s="30" t="s">
        <v>115</v>
      </c>
      <c r="C67" s="31" t="s">
        <v>115</v>
      </c>
      <c r="D67" s="53" t="e">
        <f t="shared" si="12"/>
        <v>#N/A</v>
      </c>
      <c r="E67" s="31" t="s">
        <v>116</v>
      </c>
      <c r="F67" s="31" t="s">
        <v>13</v>
      </c>
      <c r="G67" s="66">
        <v>1348000144</v>
      </c>
      <c r="H67" s="66">
        <v>1348000144</v>
      </c>
      <c r="I67" s="31">
        <f t="shared" si="24"/>
        <v>0</v>
      </c>
      <c r="J67" s="46">
        <v>1.617</v>
      </c>
      <c r="K67" s="33" t="e">
        <f t="shared" si="14"/>
        <v>#N/A</v>
      </c>
      <c r="L67" s="34" t="e">
        <f t="shared" si="15"/>
        <v>#N/A</v>
      </c>
      <c r="M67" s="35" t="e">
        <f t="shared" si="16"/>
        <v>#N/A</v>
      </c>
      <c r="N67" s="36" t="e">
        <f t="shared" si="17"/>
        <v>#N/A</v>
      </c>
      <c r="O67" s="57" t="e">
        <f t="shared" si="18"/>
        <v>#N/A</v>
      </c>
      <c r="P67" s="58" t="e">
        <f t="shared" si="19"/>
        <v>#N/A</v>
      </c>
      <c r="Q67" s="58" t="str">
        <f t="shared" si="22"/>
        <v>RAIL3</v>
      </c>
      <c r="R67" s="64" t="str">
        <f t="shared" si="23"/>
        <v>RUMO S.A.</v>
      </c>
      <c r="S67" s="61" t="e">
        <f t="shared" si="20"/>
        <v>#N/A</v>
      </c>
      <c r="T67" s="24" t="s">
        <v>115</v>
      </c>
      <c r="U67" s="37" t="e">
        <f>RTD("tryd.rtdserver",,"COT","RAIL3","Ult")</f>
        <v>#N/A</v>
      </c>
      <c r="V67" s="51" t="e">
        <f>RTD("tryd.rtdserver",,"COT","RAIL3","VarPer")</f>
        <v>#N/A</v>
      </c>
      <c r="W67" s="51" t="e">
        <f>RTD("tryd.rtdserver",,"COT","RAIL3","VarVarPer")</f>
        <v>#N/A</v>
      </c>
      <c r="X67" s="49" t="e">
        <f>RTD("tryd.rtdserver",,"COT","RAIL3","PrcCpa")</f>
        <v>#N/A</v>
      </c>
      <c r="Y67" s="50" t="e">
        <f>RTD("tryd.rtdserver",,"COT","RAIL3","PrcVda")</f>
        <v>#N/A</v>
      </c>
      <c r="Z67" s="37" t="e">
        <f>RTD("tryd.rtdserver",,"COT","RAIL3","Fech")</f>
        <v>#N/A</v>
      </c>
      <c r="AA67" s="37" t="e">
        <f>RTD("tryd.rtdserver",,"COT","RAIL3","Abert")</f>
        <v>#N/A</v>
      </c>
      <c r="AB67" s="37" t="e">
        <f>RTD("tryd.rtdserver",,"COT","RAIL3","Min")</f>
        <v>#N/A</v>
      </c>
      <c r="AC67" s="37" t="e">
        <f>RTD("tryd.rtdserver",,"COT","RAIL3","Media")</f>
        <v>#N/A</v>
      </c>
      <c r="AD67" s="37" t="e">
        <f>RTD("tryd.rtdserver",,"COT","RAIL3","Max")</f>
        <v>#N/A</v>
      </c>
      <c r="AE67" s="24" t="e">
        <f>RTD("tryd.rtdserver",,"COT","RAIL3","Desc")</f>
        <v>#N/A</v>
      </c>
      <c r="AF67" s="24" t="e">
        <f>RTD("tryd.rtdserver",,"COT","RAIL3","Vol")</f>
        <v>#N/A</v>
      </c>
      <c r="AO67" s="24" t="s">
        <v>106</v>
      </c>
      <c r="AP67" s="24">
        <f>[1]!PCAR4.ULT</f>
        <v>0</v>
      </c>
      <c r="AQ67" s="24">
        <f>[1]!PCAR4.VAR</f>
        <v>0</v>
      </c>
      <c r="AR67" s="24">
        <f>[1]!PCAR4.OCP</f>
        <v>0</v>
      </c>
    </row>
    <row r="68" spans="1:45" s="24" customFormat="1" ht="15.6" x14ac:dyDescent="0.3">
      <c r="A68" s="25" t="str">
        <f t="shared" si="13"/>
        <v>CERTO</v>
      </c>
      <c r="B68" s="30" t="s">
        <v>117</v>
      </c>
      <c r="C68" s="31" t="s">
        <v>117</v>
      </c>
      <c r="D68" s="53" t="e">
        <f t="shared" si="12"/>
        <v>#N/A</v>
      </c>
      <c r="E68" s="31" t="s">
        <v>118</v>
      </c>
      <c r="F68" s="31" t="s">
        <v>13</v>
      </c>
      <c r="G68" s="66">
        <v>594568300</v>
      </c>
      <c r="H68" s="66">
        <v>594568300</v>
      </c>
      <c r="I68" s="31">
        <f t="shared" si="24"/>
        <v>0</v>
      </c>
      <c r="J68" s="46">
        <v>1.7370000000000001</v>
      </c>
      <c r="K68" s="33" t="e">
        <f t="shared" si="14"/>
        <v>#N/A</v>
      </c>
      <c r="L68" s="34" t="e">
        <f t="shared" si="15"/>
        <v>#N/A</v>
      </c>
      <c r="M68" s="35" t="e">
        <f t="shared" si="16"/>
        <v>#N/A</v>
      </c>
      <c r="N68" s="36" t="e">
        <f t="shared" si="17"/>
        <v>#N/A</v>
      </c>
      <c r="O68" s="57" t="e">
        <f t="shared" si="18"/>
        <v>#N/A</v>
      </c>
      <c r="P68" s="58" t="e">
        <f t="shared" si="19"/>
        <v>#N/A</v>
      </c>
      <c r="Q68" s="58" t="str">
        <f t="shared" si="22"/>
        <v>RENT3</v>
      </c>
      <c r="R68" s="64" t="str">
        <f t="shared" si="23"/>
        <v>LOCALIZA</v>
      </c>
      <c r="S68" s="61" t="e">
        <f t="shared" si="20"/>
        <v>#N/A</v>
      </c>
      <c r="T68" s="24" t="s">
        <v>117</v>
      </c>
      <c r="U68" s="37" t="e">
        <f>RTD("tryd.rtdserver",,"COT","RENT3","Ult")</f>
        <v>#N/A</v>
      </c>
      <c r="V68" s="51" t="e">
        <f>RTD("tryd.rtdserver",,"COT","RENT3","VarPer")</f>
        <v>#N/A</v>
      </c>
      <c r="W68" s="51" t="e">
        <f>RTD("tryd.rtdserver",,"COT","RENT3","VarVarPer")</f>
        <v>#N/A</v>
      </c>
      <c r="X68" s="49" t="e">
        <f>RTD("tryd.rtdserver",,"COT","RENT3","PrcCpa")</f>
        <v>#N/A</v>
      </c>
      <c r="Y68" s="50" t="e">
        <f>RTD("tryd.rtdserver",,"COT","RENT3","PrcVda")</f>
        <v>#N/A</v>
      </c>
      <c r="Z68" s="37" t="e">
        <f>RTD("tryd.rtdserver",,"COT","RENT3","Fech")</f>
        <v>#N/A</v>
      </c>
      <c r="AA68" s="37" t="e">
        <f>RTD("tryd.rtdserver",,"COT","RENT3","Abert")</f>
        <v>#N/A</v>
      </c>
      <c r="AB68" s="37" t="e">
        <f>RTD("tryd.rtdserver",,"COT","RENT3","Min")</f>
        <v>#N/A</v>
      </c>
      <c r="AC68" s="37" t="e">
        <f>RTD("tryd.rtdserver",,"COT","RENT3","Media")</f>
        <v>#N/A</v>
      </c>
      <c r="AD68" s="37" t="e">
        <f>RTD("tryd.rtdserver",,"COT","RENT3","Max")</f>
        <v>#N/A</v>
      </c>
      <c r="AE68" s="24" t="e">
        <f>RTD("tryd.rtdserver",,"COT","RENT3","Desc")</f>
        <v>#N/A</v>
      </c>
      <c r="AF68" s="24" t="e">
        <f>RTD("tryd.rtdserver",,"COT","RENT3","Vol")</f>
        <v>#N/A</v>
      </c>
    </row>
    <row r="69" spans="1:45" s="24" customFormat="1" ht="15.6" x14ac:dyDescent="0.3">
      <c r="A69" s="25" t="str">
        <f t="shared" si="13"/>
        <v>CERTO</v>
      </c>
      <c r="B69" s="30" t="s">
        <v>119</v>
      </c>
      <c r="C69" s="31" t="s">
        <v>119</v>
      </c>
      <c r="D69" s="53" t="e">
        <f t="shared" ref="D69:D82" si="25">V69</f>
        <v>#N/A</v>
      </c>
      <c r="E69" s="31" t="s">
        <v>120</v>
      </c>
      <c r="F69" s="31" t="s">
        <v>121</v>
      </c>
      <c r="G69" s="66">
        <v>355666691</v>
      </c>
      <c r="H69" s="66">
        <v>355666691</v>
      </c>
      <c r="I69" s="31">
        <f t="shared" si="24"/>
        <v>0</v>
      </c>
      <c r="J69" s="46">
        <v>0.57899999999999996</v>
      </c>
      <c r="K69" s="33" t="e">
        <f t="shared" si="14"/>
        <v>#N/A</v>
      </c>
      <c r="L69" s="34" t="e">
        <f t="shared" si="15"/>
        <v>#N/A</v>
      </c>
      <c r="M69" s="35" t="e">
        <f t="shared" si="16"/>
        <v>#N/A</v>
      </c>
      <c r="N69" s="36" t="e">
        <f t="shared" si="17"/>
        <v>#N/A</v>
      </c>
      <c r="O69" s="57" t="e">
        <f t="shared" si="18"/>
        <v>#N/A</v>
      </c>
      <c r="P69" s="58" t="e">
        <f t="shared" si="19"/>
        <v>#N/A</v>
      </c>
      <c r="Q69" s="58" t="str">
        <f t="shared" si="22"/>
        <v>SANB11</v>
      </c>
      <c r="R69" s="64" t="str">
        <f t="shared" si="23"/>
        <v>SANTANDER BR</v>
      </c>
      <c r="S69" s="61" t="e">
        <f t="shared" si="20"/>
        <v>#N/A</v>
      </c>
      <c r="T69" s="24" t="s">
        <v>119</v>
      </c>
      <c r="U69" s="37" t="e">
        <f>RTD("tryd.rtdserver",,"COT","SANB11","Ult")</f>
        <v>#N/A</v>
      </c>
      <c r="V69" s="51" t="e">
        <f>RTD("tryd.rtdserver",,"COT","SANB11","VarPer")</f>
        <v>#N/A</v>
      </c>
      <c r="W69" s="51" t="e">
        <f>RTD("tryd.rtdserver",,"COT","SANB11","VarVarPer")</f>
        <v>#N/A</v>
      </c>
      <c r="X69" s="49" t="e">
        <f>RTD("tryd.rtdserver",,"COT","SANB11","PrcCpa")</f>
        <v>#N/A</v>
      </c>
      <c r="Y69" s="50" t="e">
        <f>RTD("tryd.rtdserver",,"COT","SANB11","PrcVda")</f>
        <v>#N/A</v>
      </c>
      <c r="Z69" s="37" t="e">
        <f>RTD("tryd.rtdserver",,"COT","SANB11","Fech")</f>
        <v>#N/A</v>
      </c>
      <c r="AA69" s="37" t="e">
        <f>RTD("tryd.rtdserver",,"COT","SANB11","Abert")</f>
        <v>#N/A</v>
      </c>
      <c r="AB69" s="37" t="e">
        <f>RTD("tryd.rtdserver",,"COT","SANB11","Min")</f>
        <v>#N/A</v>
      </c>
      <c r="AC69" s="37" t="e">
        <f>RTD("tryd.rtdserver",,"COT","SANB11","Media")</f>
        <v>#N/A</v>
      </c>
      <c r="AD69" s="37" t="e">
        <f>RTD("tryd.rtdserver",,"COT","SANB11","Max")</f>
        <v>#N/A</v>
      </c>
      <c r="AE69" s="24" t="e">
        <f>RTD("tryd.rtdserver",,"COT","SANB11","Desc")</f>
        <v>#N/A</v>
      </c>
      <c r="AF69" s="24" t="e">
        <f>RTD("tryd.rtdserver",,"COT","SANB11","Vol")</f>
        <v>#N/A</v>
      </c>
      <c r="AO69" s="24" t="s">
        <v>187</v>
      </c>
      <c r="AP69" s="24" t="s">
        <v>106</v>
      </c>
    </row>
    <row r="70" spans="1:45" s="24" customFormat="1" ht="15.6" x14ac:dyDescent="0.3">
      <c r="A70" s="25" t="str">
        <f t="shared" ref="A70:A101" si="26">IF(B70=C70,"CERTO","CORRIGIR")</f>
        <v>CERTO</v>
      </c>
      <c r="B70" s="30" t="s">
        <v>122</v>
      </c>
      <c r="C70" s="31" t="s">
        <v>122</v>
      </c>
      <c r="D70" s="53" t="e">
        <f t="shared" si="25"/>
        <v>#N/A</v>
      </c>
      <c r="E70" s="31" t="s">
        <v>123</v>
      </c>
      <c r="F70" s="31" t="s">
        <v>13</v>
      </c>
      <c r="G70" s="66">
        <v>339999111</v>
      </c>
      <c r="H70" s="66">
        <v>339999111</v>
      </c>
      <c r="I70" s="31">
        <f t="shared" si="24"/>
        <v>0</v>
      </c>
      <c r="J70" s="46">
        <v>0.90900000000000003</v>
      </c>
      <c r="K70" s="33" t="e">
        <f t="shared" ref="K70:K86" si="27">H70*Z70</f>
        <v>#N/A</v>
      </c>
      <c r="L70" s="34" t="e">
        <f t="shared" ref="L70:L86" si="28">U70*H70</f>
        <v>#N/A</v>
      </c>
      <c r="M70" s="35" t="e">
        <f t="shared" ref="M70:M86" si="29">H70*X70</f>
        <v>#N/A</v>
      </c>
      <c r="N70" s="36" t="e">
        <f t="shared" ref="N70:N86" si="30">H70*Y70</f>
        <v>#N/A</v>
      </c>
      <c r="O70" s="57" t="e">
        <f t="shared" ref="O70:O82" si="31">Y70-Z70</f>
        <v>#N/A</v>
      </c>
      <c r="P70" s="58" t="e">
        <f t="shared" ref="P70:P82" si="32">IF(L70&gt;K70,"VALORIZAÇÃO","DESVALORIZAÇÃO")</f>
        <v>#N/A</v>
      </c>
      <c r="Q70" s="58" t="str">
        <f t="shared" si="22"/>
        <v>SBSP3</v>
      </c>
      <c r="R70" s="64" t="str">
        <f t="shared" si="23"/>
        <v>SABESP</v>
      </c>
      <c r="S70" s="61" t="e">
        <f t="shared" ref="S70:S82" si="33">L70-K70</f>
        <v>#N/A</v>
      </c>
      <c r="T70" s="24" t="s">
        <v>122</v>
      </c>
      <c r="U70" s="37" t="e">
        <f>RTD("tryd.rtdserver",,"COT","SBSP3","Ult")</f>
        <v>#N/A</v>
      </c>
      <c r="V70" s="51" t="e">
        <f>RTD("tryd.rtdserver",,"COT","SBSP3","VarPer")</f>
        <v>#N/A</v>
      </c>
      <c r="W70" s="51" t="e">
        <f>RTD("tryd.rtdserver",,"COT","SBSP3","VarVarPer")</f>
        <v>#N/A</v>
      </c>
      <c r="X70" s="49" t="e">
        <f>RTD("tryd.rtdserver",,"COT","SBSP3","PrcCpa")</f>
        <v>#N/A</v>
      </c>
      <c r="Y70" s="50" t="e">
        <f>RTD("tryd.rtdserver",,"COT","SBSP3","PrcVda")</f>
        <v>#N/A</v>
      </c>
      <c r="Z70" s="37" t="e">
        <f>RTD("tryd.rtdserver",,"COT","SBSP3","Fech")</f>
        <v>#N/A</v>
      </c>
      <c r="AA70" s="37" t="e">
        <f>RTD("tryd.rtdserver",,"COT","SBSP3","Abert")</f>
        <v>#N/A</v>
      </c>
      <c r="AB70" s="37" t="e">
        <f>RTD("tryd.rtdserver",,"COT","SBSP3","Min")</f>
        <v>#N/A</v>
      </c>
      <c r="AC70" s="37" t="e">
        <f>RTD("tryd.rtdserver",,"COT","SBSP3","Media")</f>
        <v>#N/A</v>
      </c>
      <c r="AD70" s="37" t="e">
        <f>RTD("tryd.rtdserver",,"COT","SBSP3","Max")</f>
        <v>#N/A</v>
      </c>
      <c r="AE70" s="24" t="e">
        <f>RTD("tryd.rtdserver",,"COT","SBSP3","Desc")</f>
        <v>#N/A</v>
      </c>
      <c r="AF70" s="24" t="e">
        <f>RTD("tryd.rtdserver",,"COT","SBSP3","Vol")</f>
        <v>#N/A</v>
      </c>
    </row>
    <row r="71" spans="1:45" s="24" customFormat="1" ht="15.6" x14ac:dyDescent="0.3">
      <c r="A71" s="25" t="str">
        <f t="shared" si="26"/>
        <v>CERTO</v>
      </c>
      <c r="B71" s="30" t="s">
        <v>178</v>
      </c>
      <c r="C71" s="31" t="s">
        <v>178</v>
      </c>
      <c r="D71" s="53" t="e">
        <f t="shared" si="25"/>
        <v>#N/A</v>
      </c>
      <c r="E71" s="31" t="s">
        <v>184</v>
      </c>
      <c r="F71" s="31" t="s">
        <v>23</v>
      </c>
      <c r="G71" s="66">
        <v>279572852</v>
      </c>
      <c r="H71" s="66">
        <v>279572852</v>
      </c>
      <c r="I71" s="31">
        <f t="shared" si="24"/>
        <v>0</v>
      </c>
      <c r="J71" s="46">
        <v>0.66100000000000003</v>
      </c>
      <c r="K71" s="33" t="e">
        <f t="shared" si="27"/>
        <v>#N/A</v>
      </c>
      <c r="L71" s="34" t="e">
        <f t="shared" si="28"/>
        <v>#N/A</v>
      </c>
      <c r="M71" s="35" t="e">
        <f t="shared" si="29"/>
        <v>#N/A</v>
      </c>
      <c r="N71" s="36" t="e">
        <f t="shared" si="30"/>
        <v>#N/A</v>
      </c>
      <c r="O71" s="57" t="e">
        <f t="shared" si="31"/>
        <v>#N/A</v>
      </c>
      <c r="P71" s="58" t="e">
        <f t="shared" si="32"/>
        <v>#N/A</v>
      </c>
      <c r="Q71" s="58" t="str">
        <f t="shared" si="22"/>
        <v>SULA11</v>
      </c>
      <c r="R71" s="64" t="str">
        <f t="shared" si="23"/>
        <v>SUL AMERICA</v>
      </c>
      <c r="S71" s="61" t="e">
        <f t="shared" si="33"/>
        <v>#N/A</v>
      </c>
      <c r="T71" s="24" t="s">
        <v>178</v>
      </c>
      <c r="U71" s="37" t="e">
        <f>RTD("tryd.rtdserver",,"COT","SULA11","Ult")</f>
        <v>#N/A</v>
      </c>
      <c r="V71" s="51" t="e">
        <f>RTD("tryd.rtdserver",,"COT","SULA11","VarPer")</f>
        <v>#N/A</v>
      </c>
      <c r="W71" s="51" t="e">
        <f>RTD("tryd.rtdserver",,"COT","SULA11","VarVarPer")</f>
        <v>#N/A</v>
      </c>
      <c r="X71" s="49" t="e">
        <f>RTD("tryd.rtdserver",,"COT","SULA11","PrcCpa")</f>
        <v>#N/A</v>
      </c>
      <c r="Y71" s="50" t="e">
        <f>RTD("tryd.rtdserver",,"COT","SULA11","PrcVda")</f>
        <v>#N/A</v>
      </c>
      <c r="Z71" s="37" t="e">
        <f>RTD("tryd.rtdserver",,"COT","SULA11","Fech")</f>
        <v>#N/A</v>
      </c>
      <c r="AA71" s="37" t="e">
        <f>RTD("tryd.rtdserver",,"COT","SULA11","Abert")</f>
        <v>#N/A</v>
      </c>
      <c r="AB71" s="37" t="e">
        <f>RTD("tryd.rtdserver",,"COT","SULA11","Min")</f>
        <v>#N/A</v>
      </c>
      <c r="AC71" s="37" t="e">
        <f>RTD("tryd.rtdserver",,"COT","SULA11","Media")</f>
        <v>#N/A</v>
      </c>
      <c r="AD71" s="37" t="e">
        <f>RTD("tryd.rtdserver",,"COT","SULA11","Max")</f>
        <v>#N/A</v>
      </c>
      <c r="AE71" s="24" t="e">
        <f>RTD("tryd.rtdserver",,"COT","SULA11","Desc")</f>
        <v>#N/A</v>
      </c>
      <c r="AF71" s="24" t="e">
        <f>RTD("tryd.rtdserver",,"COT","SULA11","Vol")</f>
        <v>#N/A</v>
      </c>
    </row>
    <row r="72" spans="1:45" s="24" customFormat="1" ht="15.6" x14ac:dyDescent="0.3">
      <c r="A72" s="25" t="str">
        <f t="shared" si="26"/>
        <v>CERTO</v>
      </c>
      <c r="B72" s="30" t="s">
        <v>124</v>
      </c>
      <c r="C72" s="31" t="s">
        <v>124</v>
      </c>
      <c r="D72" s="53" t="e">
        <f t="shared" si="25"/>
        <v>#N/A</v>
      </c>
      <c r="E72" s="31" t="s">
        <v>125</v>
      </c>
      <c r="F72" s="31" t="s">
        <v>13</v>
      </c>
      <c r="G72" s="66">
        <v>724921241</v>
      </c>
      <c r="H72" s="66">
        <v>724921241</v>
      </c>
      <c r="I72" s="31">
        <f t="shared" si="24"/>
        <v>0</v>
      </c>
      <c r="J72" s="46">
        <v>1.8440000000000001</v>
      </c>
      <c r="K72" s="33" t="e">
        <f t="shared" si="27"/>
        <v>#N/A</v>
      </c>
      <c r="L72" s="34" t="e">
        <f t="shared" si="28"/>
        <v>#N/A</v>
      </c>
      <c r="M72" s="35" t="e">
        <f t="shared" si="29"/>
        <v>#N/A</v>
      </c>
      <c r="N72" s="36" t="e">
        <f t="shared" si="30"/>
        <v>#N/A</v>
      </c>
      <c r="O72" s="57" t="e">
        <f t="shared" si="31"/>
        <v>#N/A</v>
      </c>
      <c r="P72" s="58" t="e">
        <f t="shared" si="32"/>
        <v>#N/A</v>
      </c>
      <c r="Q72" s="58" t="str">
        <f t="shared" si="22"/>
        <v>SUZB3</v>
      </c>
      <c r="R72" s="64" t="str">
        <f t="shared" si="23"/>
        <v>SUZANO S.A.</v>
      </c>
      <c r="S72" s="61" t="e">
        <f t="shared" si="33"/>
        <v>#N/A</v>
      </c>
      <c r="T72" s="24" t="s">
        <v>124</v>
      </c>
      <c r="U72" s="37" t="e">
        <f>RTD("tryd.rtdserver",,"COT","SUZB3","Ult")</f>
        <v>#N/A</v>
      </c>
      <c r="V72" s="51" t="e">
        <f>RTD("tryd.rtdserver",,"COT","SUZB3","VarPer")</f>
        <v>#N/A</v>
      </c>
      <c r="W72" s="51" t="e">
        <f>RTD("tryd.rtdserver",,"COT","SUZB3","VarVarPer")</f>
        <v>#N/A</v>
      </c>
      <c r="X72" s="49" t="e">
        <f>RTD("tryd.rtdserver",,"COT","SUZB3","PrcCpa")</f>
        <v>#N/A</v>
      </c>
      <c r="Y72" s="50" t="e">
        <f>RTD("tryd.rtdserver",,"COT","SUZB3","PrcVda")</f>
        <v>#N/A</v>
      </c>
      <c r="Z72" s="37" t="e">
        <f>RTD("tryd.rtdserver",,"COT","SUZB3","Fech")</f>
        <v>#N/A</v>
      </c>
      <c r="AA72" s="37" t="e">
        <f>RTD("tryd.rtdserver",,"COT","SUZB3","Abert")</f>
        <v>#N/A</v>
      </c>
      <c r="AB72" s="37" t="e">
        <f>RTD("tryd.rtdserver",,"COT","SUZB3","Min")</f>
        <v>#N/A</v>
      </c>
      <c r="AC72" s="37" t="e">
        <f>RTD("tryd.rtdserver",,"COT","SUZB3","Media")</f>
        <v>#N/A</v>
      </c>
      <c r="AD72" s="37" t="e">
        <f>RTD("tryd.rtdserver",,"COT","SUZB3","Max")</f>
        <v>#N/A</v>
      </c>
      <c r="AE72" s="24" t="e">
        <f>RTD("tryd.rtdserver",,"COT","SUZB3","Desc")</f>
        <v>#N/A</v>
      </c>
      <c r="AF72" s="24" t="e">
        <f>RTD("tryd.rtdserver",,"COT","SUZB3","Vol")</f>
        <v>#N/A</v>
      </c>
    </row>
    <row r="73" spans="1:45" s="24" customFormat="1" ht="15.6" x14ac:dyDescent="0.3">
      <c r="A73" s="25" t="str">
        <f t="shared" si="26"/>
        <v>CERTO</v>
      </c>
      <c r="B73" s="30" t="s">
        <v>126</v>
      </c>
      <c r="C73" s="31" t="s">
        <v>126</v>
      </c>
      <c r="D73" s="53" t="e">
        <f t="shared" si="25"/>
        <v>#N/A</v>
      </c>
      <c r="E73" s="31" t="s">
        <v>127</v>
      </c>
      <c r="F73" s="31" t="s">
        <v>23</v>
      </c>
      <c r="G73" s="66">
        <v>218568274</v>
      </c>
      <c r="H73" s="66">
        <v>218568274</v>
      </c>
      <c r="I73" s="31">
        <f t="shared" si="24"/>
        <v>0</v>
      </c>
      <c r="J73" s="46">
        <v>0.34200000000000003</v>
      </c>
      <c r="K73" s="33" t="e">
        <f t="shared" si="27"/>
        <v>#N/A</v>
      </c>
      <c r="L73" s="34" t="e">
        <f t="shared" si="28"/>
        <v>#N/A</v>
      </c>
      <c r="M73" s="35" t="e">
        <f t="shared" si="29"/>
        <v>#N/A</v>
      </c>
      <c r="N73" s="36" t="e">
        <f t="shared" si="30"/>
        <v>#N/A</v>
      </c>
      <c r="O73" s="57" t="e">
        <f t="shared" si="31"/>
        <v>#N/A</v>
      </c>
      <c r="P73" s="58" t="e">
        <f t="shared" si="32"/>
        <v>#N/A</v>
      </c>
      <c r="Q73" s="58" t="str">
        <f t="shared" si="22"/>
        <v>TAEE11</v>
      </c>
      <c r="R73" s="64" t="str">
        <f t="shared" si="23"/>
        <v>TAESA</v>
      </c>
      <c r="S73" s="61" t="e">
        <f t="shared" si="33"/>
        <v>#N/A</v>
      </c>
      <c r="T73" s="24" t="s">
        <v>126</v>
      </c>
      <c r="U73" s="37" t="e">
        <f>RTD("tryd.rtdserver",,"COT","TAEE11","Ult")</f>
        <v>#N/A</v>
      </c>
      <c r="V73" s="51" t="e">
        <f>RTD("tryd.rtdserver",,"COT","TAEE11","VarPer")</f>
        <v>#N/A</v>
      </c>
      <c r="W73" s="51" t="e">
        <f>RTD("tryd.rtdserver",,"COT","TAEE11","VarVarPer")</f>
        <v>#N/A</v>
      </c>
      <c r="X73" s="49" t="e">
        <f>RTD("tryd.rtdserver",,"COT","TAEE11","PrcCpa")</f>
        <v>#N/A</v>
      </c>
      <c r="Y73" s="50" t="e">
        <f>RTD("tryd.rtdserver",,"COT","TAEE11","PrcVda")</f>
        <v>#N/A</v>
      </c>
      <c r="Z73" s="37" t="e">
        <f>RTD("tryd.rtdserver",,"COT","TAEE11","Fech")</f>
        <v>#N/A</v>
      </c>
      <c r="AA73" s="37" t="e">
        <f>RTD("tryd.rtdserver",,"COT","TAEE11","Abert")</f>
        <v>#N/A</v>
      </c>
      <c r="AB73" s="37" t="e">
        <f>RTD("tryd.rtdserver",,"COT","TAEE11","Min")</f>
        <v>#N/A</v>
      </c>
      <c r="AC73" s="37" t="e">
        <f>RTD("tryd.rtdserver",,"COT","TAEE11","Media")</f>
        <v>#N/A</v>
      </c>
      <c r="AD73" s="37" t="e">
        <f>RTD("tryd.rtdserver",,"COT","TAEE11","Max")</f>
        <v>#N/A</v>
      </c>
      <c r="AE73" s="24" t="e">
        <f>RTD("tryd.rtdserver",,"COT","TAEE11","Desc")</f>
        <v>#N/A</v>
      </c>
      <c r="AF73" s="24" t="e">
        <f>RTD("tryd.rtdserver",,"COT","TAEE11","Vol")</f>
        <v>#N/A</v>
      </c>
    </row>
    <row r="74" spans="1:45" s="24" customFormat="1" ht="15.6" x14ac:dyDescent="0.3">
      <c r="A74" s="25" t="str">
        <f t="shared" si="26"/>
        <v>CERTO</v>
      </c>
      <c r="B74" s="30" t="s">
        <v>128</v>
      </c>
      <c r="C74" s="31" t="s">
        <v>128</v>
      </c>
      <c r="D74" s="53" t="e">
        <f t="shared" si="25"/>
        <v>#N/A</v>
      </c>
      <c r="E74" s="31" t="s">
        <v>129</v>
      </c>
      <c r="F74" s="31" t="s">
        <v>13</v>
      </c>
      <c r="G74" s="66">
        <v>808343726</v>
      </c>
      <c r="H74" s="66">
        <v>808343726</v>
      </c>
      <c r="I74" s="31">
        <f t="shared" si="24"/>
        <v>0</v>
      </c>
      <c r="J74" s="46">
        <v>0.65900000000000003</v>
      </c>
      <c r="K74" s="33" t="e">
        <f t="shared" si="27"/>
        <v>#N/A</v>
      </c>
      <c r="L74" s="34" t="e">
        <f t="shared" si="28"/>
        <v>#N/A</v>
      </c>
      <c r="M74" s="35" t="e">
        <f t="shared" si="29"/>
        <v>#N/A</v>
      </c>
      <c r="N74" s="36" t="e">
        <f t="shared" si="30"/>
        <v>#N/A</v>
      </c>
      <c r="O74" s="57" t="e">
        <f t="shared" si="31"/>
        <v>#N/A</v>
      </c>
      <c r="P74" s="58" t="e">
        <f t="shared" si="32"/>
        <v>#N/A</v>
      </c>
      <c r="Q74" s="58" t="str">
        <f t="shared" si="22"/>
        <v>TIMP3</v>
      </c>
      <c r="R74" s="64" t="str">
        <f t="shared" si="23"/>
        <v>TIM PART S/A</v>
      </c>
      <c r="S74" s="61" t="e">
        <f t="shared" si="33"/>
        <v>#N/A</v>
      </c>
      <c r="T74" s="24" t="s">
        <v>128</v>
      </c>
      <c r="U74" s="37" t="e">
        <f>RTD("tryd.rtdserver",,"COT","TIMP3","Ult")</f>
        <v>#N/A</v>
      </c>
      <c r="V74" s="51" t="e">
        <f>RTD("tryd.rtdserver",,"COT","TIMP3","VarPer")</f>
        <v>#N/A</v>
      </c>
      <c r="W74" s="51" t="e">
        <f>RTD("tryd.rtdserver",,"COT","TIMP3","VarVarPer")</f>
        <v>#N/A</v>
      </c>
      <c r="X74" s="49" t="e">
        <f>RTD("tryd.rtdserver",,"COT","TIMP3","PrcCpa")</f>
        <v>#N/A</v>
      </c>
      <c r="Y74" s="50" t="e">
        <f>RTD("tryd.rtdserver",,"COT","TIMP3","PrcVda")</f>
        <v>#N/A</v>
      </c>
      <c r="Z74" s="37" t="e">
        <f>RTD("tryd.rtdserver",,"COT","TIMP3","Fech")</f>
        <v>#N/A</v>
      </c>
      <c r="AA74" s="37" t="e">
        <f>RTD("tryd.rtdserver",,"COT","TIMP3","Abert")</f>
        <v>#N/A</v>
      </c>
      <c r="AB74" s="37" t="e">
        <f>RTD("tryd.rtdserver",,"COT","TIMP3","Min")</f>
        <v>#N/A</v>
      </c>
      <c r="AC74" s="37" t="e">
        <f>RTD("tryd.rtdserver",,"COT","TIMP3","Media")</f>
        <v>#N/A</v>
      </c>
      <c r="AD74" s="37" t="e">
        <f>RTD("tryd.rtdserver",,"COT","TIMP3","Max")</f>
        <v>#N/A</v>
      </c>
      <c r="AE74" s="24" t="e">
        <f>RTD("tryd.rtdserver",,"COT","TIMP3","Desc")</f>
        <v>#N/A</v>
      </c>
      <c r="AF74" s="24" t="e">
        <f>RTD("tryd.rtdserver",,"COT","TIMP3","Vol")</f>
        <v>#N/A</v>
      </c>
    </row>
    <row r="75" spans="1:45" s="24" customFormat="1" ht="15.6" x14ac:dyDescent="0.3">
      <c r="A75" s="25" t="str">
        <f t="shared" si="26"/>
        <v>CERTO</v>
      </c>
      <c r="B75" s="30" t="s">
        <v>179</v>
      </c>
      <c r="C75" s="31" t="s">
        <v>179</v>
      </c>
      <c r="D75" s="53" t="e">
        <f t="shared" si="25"/>
        <v>#N/A</v>
      </c>
      <c r="E75" s="31" t="s">
        <v>185</v>
      </c>
      <c r="F75" s="31" t="s">
        <v>13</v>
      </c>
      <c r="G75" s="66">
        <v>480228410</v>
      </c>
      <c r="H75" s="66">
        <v>480228410</v>
      </c>
      <c r="I75" s="31">
        <f t="shared" si="24"/>
        <v>0</v>
      </c>
      <c r="J75" s="46">
        <v>0.72299999999999998</v>
      </c>
      <c r="K75" s="33" t="e">
        <f t="shared" si="27"/>
        <v>#N/A</v>
      </c>
      <c r="L75" s="34" t="e">
        <f t="shared" si="28"/>
        <v>#N/A</v>
      </c>
      <c r="M75" s="35" t="e">
        <f t="shared" si="29"/>
        <v>#N/A</v>
      </c>
      <c r="N75" s="36" t="e">
        <f t="shared" si="30"/>
        <v>#N/A</v>
      </c>
      <c r="O75" s="57" t="e">
        <f t="shared" si="31"/>
        <v>#N/A</v>
      </c>
      <c r="P75" s="58" t="e">
        <f t="shared" si="32"/>
        <v>#N/A</v>
      </c>
      <c r="Q75" s="58" t="str">
        <f t="shared" si="22"/>
        <v>TOTS3</v>
      </c>
      <c r="R75" s="64" t="str">
        <f t="shared" si="23"/>
        <v>TOTVS</v>
      </c>
      <c r="S75" s="61" t="e">
        <f t="shared" si="33"/>
        <v>#N/A</v>
      </c>
      <c r="T75" s="24" t="s">
        <v>179</v>
      </c>
      <c r="U75" s="37" t="e">
        <f>RTD("tryd.rtdserver",,"COT","TOTS3","Ult")</f>
        <v>#N/A</v>
      </c>
      <c r="V75" s="51" t="e">
        <f>RTD("tryd.rtdserver",,"COT","TOTS3","VarPer")</f>
        <v>#N/A</v>
      </c>
      <c r="W75" s="51" t="e">
        <f>RTD("tryd.rtdserver",,"COT","TOTS3","VarVarPer")</f>
        <v>#N/A</v>
      </c>
      <c r="X75" s="49" t="e">
        <f>RTD("tryd.rtdserver",,"COT","TOTS3","PrcCpa")</f>
        <v>#N/A</v>
      </c>
      <c r="Y75" s="50" t="e">
        <f>RTD("tryd.rtdserver",,"COT","TOTS3","PrcVda")</f>
        <v>#N/A</v>
      </c>
      <c r="Z75" s="37" t="e">
        <f>RTD("tryd.rtdserver",,"COT","TOTS3","Fech")</f>
        <v>#N/A</v>
      </c>
      <c r="AA75" s="37" t="e">
        <f>RTD("tryd.rtdserver",,"COT","TOTS3","Abert")</f>
        <v>#N/A</v>
      </c>
      <c r="AB75" s="37" t="e">
        <f>RTD("tryd.rtdserver",,"COT","TOTS3","Min")</f>
        <v>#N/A</v>
      </c>
      <c r="AC75" s="37" t="e">
        <f>RTD("tryd.rtdserver",,"COT","TOTS3","Media")</f>
        <v>#N/A</v>
      </c>
      <c r="AD75" s="37" t="e">
        <f>RTD("tryd.rtdserver",,"COT","TOTS3","Max")</f>
        <v>#N/A</v>
      </c>
      <c r="AE75" s="24" t="e">
        <f>RTD("tryd.rtdserver",,"COT","TOTS3","Desc")</f>
        <v>#N/A</v>
      </c>
      <c r="AF75" s="24" t="e">
        <f>RTD("tryd.rtdserver",,"COT","TOTS3","Vol")</f>
        <v>#N/A</v>
      </c>
    </row>
    <row r="76" spans="1:45" s="24" customFormat="1" ht="15.6" x14ac:dyDescent="0.3">
      <c r="A76" s="25" t="str">
        <f t="shared" si="26"/>
        <v>CERTO</v>
      </c>
      <c r="B76" s="30" t="s">
        <v>130</v>
      </c>
      <c r="C76" s="31" t="s">
        <v>130</v>
      </c>
      <c r="D76" s="53" t="e">
        <f t="shared" si="25"/>
        <v>#N/A</v>
      </c>
      <c r="E76" s="31" t="s">
        <v>131</v>
      </c>
      <c r="F76" s="31" t="s">
        <v>13</v>
      </c>
      <c r="G76" s="66">
        <v>1088225414</v>
      </c>
      <c r="H76" s="66">
        <v>1088225414</v>
      </c>
      <c r="I76" s="31">
        <f t="shared" si="24"/>
        <v>0</v>
      </c>
      <c r="J76" s="46">
        <v>1.2729999999999999</v>
      </c>
      <c r="K76" s="33" t="e">
        <f t="shared" si="27"/>
        <v>#N/A</v>
      </c>
      <c r="L76" s="34" t="e">
        <f t="shared" si="28"/>
        <v>#N/A</v>
      </c>
      <c r="M76" s="35" t="e">
        <f t="shared" si="29"/>
        <v>#N/A</v>
      </c>
      <c r="N76" s="36" t="e">
        <f t="shared" si="30"/>
        <v>#N/A</v>
      </c>
      <c r="O76" s="57" t="e">
        <f t="shared" si="31"/>
        <v>#N/A</v>
      </c>
      <c r="P76" s="58" t="e">
        <f t="shared" si="32"/>
        <v>#N/A</v>
      </c>
      <c r="Q76" s="58" t="str">
        <f t="shared" si="22"/>
        <v>UGPA3</v>
      </c>
      <c r="R76" s="64" t="str">
        <f t="shared" si="23"/>
        <v>ULTRAPAR</v>
      </c>
      <c r="S76" s="61" t="e">
        <f t="shared" si="33"/>
        <v>#N/A</v>
      </c>
      <c r="T76" s="24" t="s">
        <v>130</v>
      </c>
      <c r="U76" s="37" t="e">
        <f>RTD("tryd.rtdserver",,"COT","UGPA3","Ult")</f>
        <v>#N/A</v>
      </c>
      <c r="V76" s="51" t="e">
        <f>RTD("tryd.rtdserver",,"COT","UGPA3","VarPer")</f>
        <v>#N/A</v>
      </c>
      <c r="W76" s="51" t="e">
        <f>RTD("tryd.rtdserver",,"COT","UGPA3","VarVarPer")</f>
        <v>#N/A</v>
      </c>
      <c r="X76" s="49" t="e">
        <f>RTD("tryd.rtdserver",,"COT","UGPA3","PrcCpa")</f>
        <v>#N/A</v>
      </c>
      <c r="Y76" s="50" t="e">
        <f>RTD("tryd.rtdserver",,"COT","UGPA3","PrcVda")</f>
        <v>#N/A</v>
      </c>
      <c r="Z76" s="37" t="e">
        <f>RTD("tryd.rtdserver",,"COT","UGPA3","Fech")</f>
        <v>#N/A</v>
      </c>
      <c r="AA76" s="37" t="e">
        <f>RTD("tryd.rtdserver",,"COT","UGPA3","Abert")</f>
        <v>#N/A</v>
      </c>
      <c r="AB76" s="37" t="e">
        <f>RTD("tryd.rtdserver",,"COT","UGPA3","Min")</f>
        <v>#N/A</v>
      </c>
      <c r="AC76" s="37" t="e">
        <f>RTD("tryd.rtdserver",,"COT","UGPA3","Media")</f>
        <v>#N/A</v>
      </c>
      <c r="AD76" s="37" t="e">
        <f>RTD("tryd.rtdserver",,"COT","UGPA3","Max")</f>
        <v>#N/A</v>
      </c>
      <c r="AE76" s="24" t="e">
        <f>RTD("tryd.rtdserver",,"COT","UGPA3","Desc")</f>
        <v>#N/A</v>
      </c>
      <c r="AF76" s="24" t="e">
        <f>RTD("tryd.rtdserver",,"COT","UGPA3","Vol")</f>
        <v>#N/A</v>
      </c>
    </row>
    <row r="77" spans="1:45" s="24" customFormat="1" ht="15.6" x14ac:dyDescent="0.3">
      <c r="A77" s="25" t="str">
        <f t="shared" si="26"/>
        <v>CERTO</v>
      </c>
      <c r="B77" s="30" t="s">
        <v>132</v>
      </c>
      <c r="C77" s="31" t="s">
        <v>132</v>
      </c>
      <c r="D77" s="53" t="e">
        <f t="shared" si="25"/>
        <v>#N/A</v>
      </c>
      <c r="E77" s="31" t="s">
        <v>133</v>
      </c>
      <c r="F77" s="31" t="s">
        <v>33</v>
      </c>
      <c r="G77" s="66">
        <v>513781576</v>
      </c>
      <c r="H77" s="66">
        <v>513781576</v>
      </c>
      <c r="I77" s="31">
        <f t="shared" si="24"/>
        <v>0</v>
      </c>
      <c r="J77" s="46">
        <v>0.29399999999999998</v>
      </c>
      <c r="K77" s="33" t="e">
        <f t="shared" si="27"/>
        <v>#N/A</v>
      </c>
      <c r="L77" s="34" t="e">
        <f t="shared" si="28"/>
        <v>#N/A</v>
      </c>
      <c r="M77" s="35" t="e">
        <f t="shared" si="29"/>
        <v>#N/A</v>
      </c>
      <c r="N77" s="36" t="e">
        <f t="shared" si="30"/>
        <v>#N/A</v>
      </c>
      <c r="O77" s="57" t="e">
        <f t="shared" si="31"/>
        <v>#N/A</v>
      </c>
      <c r="P77" s="58" t="e">
        <f t="shared" si="32"/>
        <v>#N/A</v>
      </c>
      <c r="Q77" s="58" t="str">
        <f t="shared" si="22"/>
        <v>USIM5</v>
      </c>
      <c r="R77" s="64" t="str">
        <f t="shared" si="23"/>
        <v>USIMINAS</v>
      </c>
      <c r="S77" s="61" t="e">
        <f t="shared" si="33"/>
        <v>#N/A</v>
      </c>
      <c r="T77" s="24" t="s">
        <v>132</v>
      </c>
      <c r="U77" s="37" t="e">
        <f>RTD("tryd.rtdserver",,"COT","USIM5","Ult")</f>
        <v>#N/A</v>
      </c>
      <c r="V77" s="51" t="e">
        <f>RTD("tryd.rtdserver",,"COT","USIM5","VarPer")</f>
        <v>#N/A</v>
      </c>
      <c r="W77" s="51" t="e">
        <f>RTD("tryd.rtdserver",,"COT","USIM5","VarVarPer")</f>
        <v>#N/A</v>
      </c>
      <c r="X77" s="49" t="e">
        <f>RTD("tryd.rtdserver",,"COT","USIM5","PrcCpa")</f>
        <v>#N/A</v>
      </c>
      <c r="Y77" s="50" t="e">
        <f>RTD("tryd.rtdserver",,"COT","USIM5","PrcVda")</f>
        <v>#N/A</v>
      </c>
      <c r="Z77" s="37" t="e">
        <f>RTD("tryd.rtdserver",,"COT","USIM5","Fech")</f>
        <v>#N/A</v>
      </c>
      <c r="AA77" s="37" t="e">
        <f>RTD("tryd.rtdserver",,"COT","USIM5","Abert")</f>
        <v>#N/A</v>
      </c>
      <c r="AB77" s="37" t="e">
        <f>RTD("tryd.rtdserver",,"COT","USIM5","Min")</f>
        <v>#N/A</v>
      </c>
      <c r="AC77" s="37" t="e">
        <f>RTD("tryd.rtdserver",,"COT","USIM5","Media")</f>
        <v>#N/A</v>
      </c>
      <c r="AD77" s="37" t="e">
        <f>RTD("tryd.rtdserver",,"COT","USIM5","Max")</f>
        <v>#N/A</v>
      </c>
      <c r="AE77" s="24" t="e">
        <f>RTD("tryd.rtdserver",,"COT","USIM5","Desc")</f>
        <v>#N/A</v>
      </c>
      <c r="AF77" s="24" t="e">
        <f>RTD("tryd.rtdserver",,"COT","USIM5","Vol")</f>
        <v>#N/A</v>
      </c>
    </row>
    <row r="78" spans="1:45" s="24" customFormat="1" ht="15.6" x14ac:dyDescent="0.3">
      <c r="A78" s="25" t="str">
        <f t="shared" si="26"/>
        <v>CERTO</v>
      </c>
      <c r="B78" s="30" t="s">
        <v>134</v>
      </c>
      <c r="C78" s="31" t="s">
        <v>134</v>
      </c>
      <c r="D78" s="53" t="e">
        <f t="shared" si="25"/>
        <v>#N/A</v>
      </c>
      <c r="E78" s="31" t="s">
        <v>135</v>
      </c>
      <c r="F78" s="31" t="s">
        <v>13</v>
      </c>
      <c r="G78" s="66">
        <v>3218796397</v>
      </c>
      <c r="H78" s="66">
        <v>3218796397</v>
      </c>
      <c r="I78" s="31">
        <f t="shared" si="24"/>
        <v>0</v>
      </c>
      <c r="J78" s="46">
        <v>10.372</v>
      </c>
      <c r="K78" s="33" t="e">
        <f t="shared" si="27"/>
        <v>#N/A</v>
      </c>
      <c r="L78" s="34" t="e">
        <f t="shared" si="28"/>
        <v>#N/A</v>
      </c>
      <c r="M78" s="35" t="e">
        <f t="shared" si="29"/>
        <v>#N/A</v>
      </c>
      <c r="N78" s="36" t="e">
        <f t="shared" si="30"/>
        <v>#N/A</v>
      </c>
      <c r="O78" s="57" t="e">
        <f t="shared" si="31"/>
        <v>#N/A</v>
      </c>
      <c r="P78" s="58" t="e">
        <f t="shared" si="32"/>
        <v>#N/A</v>
      </c>
      <c r="Q78" s="58" t="str">
        <f t="shared" si="22"/>
        <v>VALE3</v>
      </c>
      <c r="R78" s="64" t="str">
        <f t="shared" si="23"/>
        <v>VALE</v>
      </c>
      <c r="S78" s="61" t="e">
        <f t="shared" si="33"/>
        <v>#N/A</v>
      </c>
      <c r="T78" s="24" t="s">
        <v>134</v>
      </c>
      <c r="U78" s="37" t="e">
        <f>RTD("tryd.rtdserver",,"COT","VALE3","Ult")</f>
        <v>#N/A</v>
      </c>
      <c r="V78" s="51" t="e">
        <f>RTD("tryd.rtdserver",,"COT","VALE3","VarPer")</f>
        <v>#N/A</v>
      </c>
      <c r="W78" s="51" t="e">
        <f>RTD("tryd.rtdserver",,"COT","VALE3","VarVarPer")</f>
        <v>#N/A</v>
      </c>
      <c r="X78" s="49" t="e">
        <f>RTD("tryd.rtdserver",,"COT","VALE3","PrcCpa")</f>
        <v>#N/A</v>
      </c>
      <c r="Y78" s="50" t="e">
        <f>RTD("tryd.rtdserver",,"COT","VALE3","PrcVda")</f>
        <v>#N/A</v>
      </c>
      <c r="Z78" s="37" t="e">
        <f>RTD("tryd.rtdserver",,"COT","VALE3","Fech")</f>
        <v>#N/A</v>
      </c>
      <c r="AA78" s="37" t="e">
        <f>RTD("tryd.rtdserver",,"COT","VALE3","Abert")</f>
        <v>#N/A</v>
      </c>
      <c r="AB78" s="37" t="e">
        <f>RTD("tryd.rtdserver",,"COT","VALE3","Min")</f>
        <v>#N/A</v>
      </c>
      <c r="AC78" s="37" t="e">
        <f>RTD("tryd.rtdserver",,"COT","VALE3","Media")</f>
        <v>#N/A</v>
      </c>
      <c r="AD78" s="37" t="e">
        <f>RTD("tryd.rtdserver",,"COT","VALE3","Max")</f>
        <v>#N/A</v>
      </c>
      <c r="AE78" s="24" t="e">
        <f>RTD("tryd.rtdserver",,"COT","VALE3","Desc")</f>
        <v>#N/A</v>
      </c>
      <c r="AF78" s="24" t="e">
        <f>RTD("tryd.rtdserver",,"COT","VALE3","Vol")</f>
        <v>#N/A</v>
      </c>
    </row>
    <row r="79" spans="1:45" s="24" customFormat="1" ht="15.6" x14ac:dyDescent="0.3">
      <c r="A79" s="25" t="str">
        <f t="shared" si="26"/>
        <v>CERTO</v>
      </c>
      <c r="B79" s="30" t="s">
        <v>136</v>
      </c>
      <c r="C79" s="31" t="s">
        <v>136</v>
      </c>
      <c r="D79" s="53" t="e">
        <f t="shared" si="25"/>
        <v>#N/A</v>
      </c>
      <c r="E79" s="31" t="s">
        <v>137</v>
      </c>
      <c r="F79" s="31" t="s">
        <v>138</v>
      </c>
      <c r="G79" s="66">
        <v>415131868</v>
      </c>
      <c r="H79" s="66">
        <v>415131868</v>
      </c>
      <c r="I79" s="31">
        <f t="shared" si="24"/>
        <v>0</v>
      </c>
      <c r="J79" s="46">
        <v>1.1040000000000001</v>
      </c>
      <c r="K79" s="33" t="e">
        <f t="shared" si="27"/>
        <v>#N/A</v>
      </c>
      <c r="L79" s="34" t="e">
        <f t="shared" si="28"/>
        <v>#N/A</v>
      </c>
      <c r="M79" s="35" t="e">
        <f t="shared" si="29"/>
        <v>#N/A</v>
      </c>
      <c r="N79" s="36" t="e">
        <f t="shared" si="30"/>
        <v>#N/A</v>
      </c>
      <c r="O79" s="57" t="e">
        <f t="shared" si="31"/>
        <v>#N/A</v>
      </c>
      <c r="P79" s="58" t="e">
        <f t="shared" si="32"/>
        <v>#N/A</v>
      </c>
      <c r="Q79" s="58" t="str">
        <f t="shared" si="22"/>
        <v>VIVT4</v>
      </c>
      <c r="R79" s="64" t="str">
        <f t="shared" si="23"/>
        <v>TELEF BRASIL</v>
      </c>
      <c r="S79" s="61" t="e">
        <f t="shared" si="33"/>
        <v>#N/A</v>
      </c>
      <c r="T79" s="24" t="s">
        <v>136</v>
      </c>
      <c r="U79" s="37" t="e">
        <f>RTD("tryd.rtdserver",,"COT","VIVT4","Ult")</f>
        <v>#N/A</v>
      </c>
      <c r="V79" s="51" t="e">
        <f>RTD("tryd.rtdserver",,"COT","VIVT4","VarPer")</f>
        <v>#N/A</v>
      </c>
      <c r="W79" s="51" t="e">
        <f>RTD("tryd.rtdserver",,"COT","VIVT4","VarVarPer")</f>
        <v>#N/A</v>
      </c>
      <c r="X79" s="49" t="e">
        <f>RTD("tryd.rtdserver",,"COT","VIVT4","PrcCpa")</f>
        <v>#N/A</v>
      </c>
      <c r="Y79" s="50" t="e">
        <f>RTD("tryd.rtdserver",,"COT","VIVT4","PrcVda")</f>
        <v>#N/A</v>
      </c>
      <c r="Z79" s="37" t="e">
        <f>RTD("tryd.rtdserver",,"COT","VIVT4","Fech")</f>
        <v>#N/A</v>
      </c>
      <c r="AA79" s="37" t="e">
        <f>RTD("tryd.rtdserver",,"COT","VIVT4","Abert")</f>
        <v>#N/A</v>
      </c>
      <c r="AB79" s="37" t="e">
        <f>RTD("tryd.rtdserver",,"COT","VIVT4","Min")</f>
        <v>#N/A</v>
      </c>
      <c r="AC79" s="37" t="e">
        <f>RTD("tryd.rtdserver",,"COT","VIVT4","Media")</f>
        <v>#N/A</v>
      </c>
      <c r="AD79" s="37" t="e">
        <f>RTD("tryd.rtdserver",,"COT","VIVT4","Max")</f>
        <v>#N/A</v>
      </c>
      <c r="AE79" s="24" t="e">
        <f>RTD("tryd.rtdserver",,"COT","VIVT4","Desc")</f>
        <v>#N/A</v>
      </c>
      <c r="AF79" s="24" t="e">
        <f>RTD("tryd.rtdserver",,"COT","VIVT4","Vol")</f>
        <v>#N/A</v>
      </c>
    </row>
    <row r="80" spans="1:45" s="24" customFormat="1" ht="15.6" x14ac:dyDescent="0.3">
      <c r="A80" s="25" t="str">
        <f t="shared" si="26"/>
        <v>CERTO</v>
      </c>
      <c r="B80" s="30" t="s">
        <v>139</v>
      </c>
      <c r="C80" s="31" t="s">
        <v>139</v>
      </c>
      <c r="D80" s="53" t="e">
        <f t="shared" si="25"/>
        <v>#N/A</v>
      </c>
      <c r="E80" s="31" t="s">
        <v>140</v>
      </c>
      <c r="F80" s="31" t="s">
        <v>13</v>
      </c>
      <c r="G80" s="66">
        <v>1594758941</v>
      </c>
      <c r="H80" s="66">
        <v>1594758941</v>
      </c>
      <c r="I80" s="31">
        <f t="shared" si="24"/>
        <v>0</v>
      </c>
      <c r="J80" s="46">
        <v>1.5740000000000001</v>
      </c>
      <c r="K80" s="33" t="e">
        <f t="shared" si="27"/>
        <v>#N/A</v>
      </c>
      <c r="L80" s="34" t="e">
        <f t="shared" si="28"/>
        <v>#N/A</v>
      </c>
      <c r="M80" s="35" t="e">
        <f t="shared" si="29"/>
        <v>#N/A</v>
      </c>
      <c r="N80" s="36" t="e">
        <f t="shared" si="30"/>
        <v>#N/A</v>
      </c>
      <c r="O80" s="57" t="e">
        <f t="shared" si="31"/>
        <v>#N/A</v>
      </c>
      <c r="P80" s="58" t="e">
        <f t="shared" si="32"/>
        <v>#N/A</v>
      </c>
      <c r="Q80" s="58" t="str">
        <f t="shared" si="22"/>
        <v>VVAR3</v>
      </c>
      <c r="R80" s="64" t="str">
        <f t="shared" si="23"/>
        <v>VIAVAREJO</v>
      </c>
      <c r="S80" s="61" t="e">
        <f t="shared" si="33"/>
        <v>#N/A</v>
      </c>
      <c r="T80" s="24" t="s">
        <v>139</v>
      </c>
      <c r="U80" s="37" t="e">
        <f>RTD("tryd.rtdserver",,"COT","VVAR3","Ult")</f>
        <v>#N/A</v>
      </c>
      <c r="V80" s="51" t="e">
        <f>RTD("tryd.rtdserver",,"COT","VVAR3","VarPer")</f>
        <v>#N/A</v>
      </c>
      <c r="W80" s="51" t="e">
        <f>RTD("tryd.rtdserver",,"COT","VVAR3","VarVarPer")</f>
        <v>#N/A</v>
      </c>
      <c r="X80" s="49" t="e">
        <f>RTD("tryd.rtdserver",,"COT","VVAR3","PrcCpa")</f>
        <v>#N/A</v>
      </c>
      <c r="Y80" s="50" t="e">
        <f>RTD("tryd.rtdserver",,"COT","VVAR3","PrcVda")</f>
        <v>#N/A</v>
      </c>
      <c r="Z80" s="37" t="e">
        <f>RTD("tryd.rtdserver",,"COT","VVAR3","Fech")</f>
        <v>#N/A</v>
      </c>
      <c r="AA80" s="37" t="e">
        <f>RTD("tryd.rtdserver",,"COT","VVAR3","Abert")</f>
        <v>#N/A</v>
      </c>
      <c r="AB80" s="37" t="e">
        <f>RTD("tryd.rtdserver",,"COT","VVAR3","Min")</f>
        <v>#N/A</v>
      </c>
      <c r="AC80" s="37" t="e">
        <f>RTD("tryd.rtdserver",,"COT","VVAR3","Media")</f>
        <v>#N/A</v>
      </c>
      <c r="AD80" s="37" t="e">
        <f>RTD("tryd.rtdserver",,"COT","VVAR3","Max")</f>
        <v>#N/A</v>
      </c>
      <c r="AE80" s="24" t="e">
        <f>RTD("tryd.rtdserver",,"COT","VVAR3","Desc")</f>
        <v>#N/A</v>
      </c>
      <c r="AF80" s="24" t="e">
        <f>RTD("tryd.rtdserver",,"COT","VVAR3","Vol")</f>
        <v>#N/A</v>
      </c>
    </row>
    <row r="81" spans="1:47" s="24" customFormat="1" ht="15.6" x14ac:dyDescent="0.3">
      <c r="A81" s="25" t="str">
        <f t="shared" si="26"/>
        <v>CERTO</v>
      </c>
      <c r="B81" s="30" t="s">
        <v>141</v>
      </c>
      <c r="C81" s="31" t="s">
        <v>141</v>
      </c>
      <c r="D81" s="53" t="e">
        <f t="shared" si="25"/>
        <v>#N/A</v>
      </c>
      <c r="E81" s="31" t="s">
        <v>142</v>
      </c>
      <c r="F81" s="31" t="s">
        <v>13</v>
      </c>
      <c r="G81" s="66">
        <v>674731315</v>
      </c>
      <c r="H81" s="66">
        <v>674731315</v>
      </c>
      <c r="I81" s="31">
        <f t="shared" si="24"/>
        <v>0</v>
      </c>
      <c r="J81" s="46">
        <v>2.3109999999999999</v>
      </c>
      <c r="K81" s="33" t="e">
        <f t="shared" si="27"/>
        <v>#N/A</v>
      </c>
      <c r="L81" s="34" t="e">
        <f t="shared" si="28"/>
        <v>#N/A</v>
      </c>
      <c r="M81" s="35" t="e">
        <f t="shared" si="29"/>
        <v>#N/A</v>
      </c>
      <c r="N81" s="36" t="e">
        <f t="shared" si="30"/>
        <v>#N/A</v>
      </c>
      <c r="O81" s="57" t="e">
        <f t="shared" si="31"/>
        <v>#N/A</v>
      </c>
      <c r="P81" s="58" t="e">
        <f t="shared" si="32"/>
        <v>#N/A</v>
      </c>
      <c r="Q81" s="58" t="str">
        <f t="shared" si="22"/>
        <v>WEGE3</v>
      </c>
      <c r="R81" s="64" t="str">
        <f t="shared" si="23"/>
        <v>WEG</v>
      </c>
      <c r="S81" s="61" t="e">
        <f t="shared" si="33"/>
        <v>#N/A</v>
      </c>
      <c r="T81" s="24" t="s">
        <v>141</v>
      </c>
      <c r="U81" s="37" t="e">
        <f>RTD("tryd.rtdserver",,"COT","WEGE3","Ult")</f>
        <v>#N/A</v>
      </c>
      <c r="V81" s="51" t="e">
        <f>RTD("tryd.rtdserver",,"COT","WEGE3","VarPer")</f>
        <v>#N/A</v>
      </c>
      <c r="W81" s="51" t="e">
        <f>RTD("tryd.rtdserver",,"COT","WEGE3","VarVarPer")</f>
        <v>#N/A</v>
      </c>
      <c r="X81" s="49" t="e">
        <f>RTD("tryd.rtdserver",,"COT","WEGE3","PrcCpa")</f>
        <v>#N/A</v>
      </c>
      <c r="Y81" s="50" t="e">
        <f>RTD("tryd.rtdserver",,"COT","WEGE3","PrcVda")</f>
        <v>#N/A</v>
      </c>
      <c r="Z81" s="37" t="e">
        <f>RTD("tryd.rtdserver",,"COT","WEGE3","Fech")</f>
        <v>#N/A</v>
      </c>
      <c r="AA81" s="37" t="e">
        <f>RTD("tryd.rtdserver",,"COT","WEGE3","Abert")</f>
        <v>#N/A</v>
      </c>
      <c r="AB81" s="37" t="e">
        <f>RTD("tryd.rtdserver",,"COT","WEGE3","Min")</f>
        <v>#N/A</v>
      </c>
      <c r="AC81" s="37" t="e">
        <f>RTD("tryd.rtdserver",,"COT","WEGE3","Media")</f>
        <v>#N/A</v>
      </c>
      <c r="AD81" s="37" t="e">
        <f>RTD("tryd.rtdserver",,"COT","WEGE3","Max")</f>
        <v>#N/A</v>
      </c>
      <c r="AE81" s="24" t="e">
        <f>RTD("tryd.rtdserver",,"COT","WEGE3","Desc")</f>
        <v>#N/A</v>
      </c>
      <c r="AF81" s="24" t="e">
        <f>RTD("tryd.rtdserver",,"COT","WEGE3","Vol")</f>
        <v>#N/A</v>
      </c>
    </row>
    <row r="82" spans="1:47" s="24" customFormat="1" ht="15.6" x14ac:dyDescent="0.3">
      <c r="A82" s="25" t="str">
        <f t="shared" si="26"/>
        <v>CERTO</v>
      </c>
      <c r="B82" s="30" t="s">
        <v>143</v>
      </c>
      <c r="C82" s="31" t="s">
        <v>143</v>
      </c>
      <c r="D82" s="53" t="e">
        <f t="shared" si="25"/>
        <v>#N/A</v>
      </c>
      <c r="E82" s="31" t="s">
        <v>144</v>
      </c>
      <c r="F82" s="31" t="s">
        <v>13</v>
      </c>
      <c r="G82" s="66">
        <v>300483575</v>
      </c>
      <c r="H82" s="66">
        <v>300483575</v>
      </c>
      <c r="I82" s="31">
        <f t="shared" si="24"/>
        <v>0</v>
      </c>
      <c r="J82" s="46">
        <v>0.47</v>
      </c>
      <c r="K82" s="33" t="e">
        <f t="shared" si="27"/>
        <v>#N/A</v>
      </c>
      <c r="L82" s="34" t="e">
        <f t="shared" si="28"/>
        <v>#N/A</v>
      </c>
      <c r="M82" s="35" t="e">
        <f t="shared" si="29"/>
        <v>#N/A</v>
      </c>
      <c r="N82" s="36" t="e">
        <f t="shared" si="30"/>
        <v>#N/A</v>
      </c>
      <c r="O82" s="57" t="e">
        <f t="shared" si="31"/>
        <v>#N/A</v>
      </c>
      <c r="P82" s="58" t="e">
        <f t="shared" si="32"/>
        <v>#N/A</v>
      </c>
      <c r="Q82" s="58" t="str">
        <f t="shared" si="22"/>
        <v>YDUQ3</v>
      </c>
      <c r="R82" s="64" t="str">
        <f t="shared" si="23"/>
        <v>YDUQS PART</v>
      </c>
      <c r="S82" s="61" t="e">
        <f t="shared" si="33"/>
        <v>#N/A</v>
      </c>
      <c r="T82" s="24" t="s">
        <v>143</v>
      </c>
      <c r="U82" s="37" t="e">
        <f>RTD("tryd.rtdserver",,"COT","YDUQ3","Ult")</f>
        <v>#N/A</v>
      </c>
      <c r="V82" s="51" t="e">
        <f>RTD("tryd.rtdserver",,"COT","YDUQ3","VarPer")</f>
        <v>#N/A</v>
      </c>
      <c r="W82" s="51" t="e">
        <f>RTD("tryd.rtdserver",,"COT","YDUQ3","VarVarPer")</f>
        <v>#N/A</v>
      </c>
      <c r="X82" s="49" t="e">
        <f>RTD("tryd.rtdserver",,"COT","YDUQ3","PrcCpa")</f>
        <v>#N/A</v>
      </c>
      <c r="Y82" s="50" t="e">
        <f>RTD("tryd.rtdserver",,"COT","YDUQ3","PrcVda")</f>
        <v>#N/A</v>
      </c>
      <c r="Z82" s="37" t="e">
        <f>RTD("tryd.rtdserver",,"COT","YDUQ3","Fech")</f>
        <v>#N/A</v>
      </c>
      <c r="AA82" s="37" t="e">
        <f>RTD("tryd.rtdserver",,"COT","YDUQ3","Abert")</f>
        <v>#N/A</v>
      </c>
      <c r="AB82" s="37" t="e">
        <f>RTD("tryd.rtdserver",,"COT","YDUQ3","Min")</f>
        <v>#N/A</v>
      </c>
      <c r="AC82" s="37" t="e">
        <f>RTD("tryd.rtdserver",,"COT","YDUQ3","Media")</f>
        <v>#N/A</v>
      </c>
      <c r="AD82" s="37" t="e">
        <f>RTD("tryd.rtdserver",,"COT","YDUQ3","Max")</f>
        <v>#N/A</v>
      </c>
      <c r="AE82" s="24" t="e">
        <f>RTD("tryd.rtdserver",,"COT","YDUQ3","Desc")</f>
        <v>#N/A</v>
      </c>
      <c r="AF82" s="24" t="e">
        <f>RTD("tryd.rtdserver",,"COT","YDUQ3","Vol")</f>
        <v>#N/A</v>
      </c>
    </row>
    <row r="83" spans="1:47" s="24" customFormat="1" x14ac:dyDescent="0.3">
      <c r="A83" s="25"/>
      <c r="B83" s="8"/>
      <c r="C83" s="31"/>
      <c r="D83" s="31"/>
      <c r="E83" s="31"/>
      <c r="F83" s="31"/>
      <c r="G83" s="32"/>
      <c r="H83" s="31"/>
      <c r="I83" s="31">
        <f t="shared" si="24"/>
        <v>0</v>
      </c>
      <c r="J83" s="46">
        <v>100</v>
      </c>
      <c r="K83" s="33">
        <f t="shared" si="27"/>
        <v>0</v>
      </c>
      <c r="L83" s="34">
        <f t="shared" si="28"/>
        <v>0</v>
      </c>
      <c r="M83" s="35">
        <f t="shared" si="29"/>
        <v>0</v>
      </c>
      <c r="N83" s="36">
        <f t="shared" si="30"/>
        <v>0</v>
      </c>
      <c r="O83" s="57"/>
      <c r="P83" s="58"/>
      <c r="Q83" s="58"/>
      <c r="R83" s="58"/>
      <c r="S83" s="61" t="e">
        <f>SUM(S6:S82)</f>
        <v>#N/A</v>
      </c>
      <c r="U83" s="37"/>
      <c r="V83" s="37"/>
      <c r="W83" s="37"/>
      <c r="X83" s="37"/>
      <c r="Y83" s="37"/>
      <c r="Z83" s="37"/>
      <c r="AA83" s="37"/>
      <c r="AB83" s="37"/>
      <c r="AC83" s="37"/>
      <c r="AD83" s="37"/>
    </row>
    <row r="84" spans="1:47" s="24" customFormat="1" x14ac:dyDescent="0.3">
      <c r="A84" s="25"/>
      <c r="B84" s="8"/>
      <c r="C84" s="31"/>
      <c r="D84" s="31"/>
      <c r="E84" s="31"/>
      <c r="F84" s="31"/>
      <c r="G84" s="32"/>
      <c r="H84" s="32"/>
      <c r="I84" s="31">
        <f t="shared" si="24"/>
        <v>0</v>
      </c>
      <c r="J84" s="46"/>
      <c r="K84" s="33">
        <f t="shared" si="27"/>
        <v>0</v>
      </c>
      <c r="L84" s="34">
        <f t="shared" si="28"/>
        <v>0</v>
      </c>
      <c r="M84" s="35">
        <f t="shared" si="29"/>
        <v>0</v>
      </c>
      <c r="N84" s="36">
        <f t="shared" si="30"/>
        <v>0</v>
      </c>
      <c r="O84" s="57"/>
      <c r="P84" s="58"/>
      <c r="Q84" s="58"/>
      <c r="R84" s="58"/>
      <c r="S84" s="61">
        <v>8334000000</v>
      </c>
      <c r="U84" s="37"/>
      <c r="V84" s="37"/>
      <c r="W84" s="37"/>
      <c r="X84" s="37"/>
      <c r="Y84" s="37"/>
      <c r="Z84" s="37"/>
      <c r="AA84" s="37"/>
      <c r="AB84" s="37"/>
      <c r="AC84" s="37"/>
      <c r="AD84" s="37"/>
    </row>
    <row r="85" spans="1:47" s="24" customFormat="1" x14ac:dyDescent="0.3">
      <c r="A85" s="25"/>
      <c r="B85" s="8"/>
      <c r="C85" s="31"/>
      <c r="D85" s="31"/>
      <c r="E85" s="31"/>
      <c r="F85" s="31"/>
      <c r="G85" s="32"/>
      <c r="H85" s="32"/>
      <c r="I85" s="31">
        <f t="shared" si="24"/>
        <v>0</v>
      </c>
      <c r="J85" s="46"/>
      <c r="K85" s="33">
        <f t="shared" si="27"/>
        <v>0</v>
      </c>
      <c r="L85" s="34">
        <f t="shared" si="28"/>
        <v>0</v>
      </c>
      <c r="M85" s="35">
        <f t="shared" si="29"/>
        <v>0</v>
      </c>
      <c r="N85" s="36">
        <f t="shared" si="30"/>
        <v>0</v>
      </c>
      <c r="O85" s="57"/>
      <c r="P85" s="58"/>
      <c r="Q85" s="58"/>
      <c r="R85" s="58"/>
      <c r="S85" s="61" t="e">
        <f>S84+S83</f>
        <v>#N/A</v>
      </c>
      <c r="U85" s="37"/>
      <c r="V85" s="37"/>
      <c r="W85" s="37"/>
      <c r="X85" s="37"/>
      <c r="Y85" s="37"/>
      <c r="Z85" s="37"/>
      <c r="AA85" s="37"/>
      <c r="AB85" s="37"/>
      <c r="AC85" s="37"/>
      <c r="AD85" s="37"/>
    </row>
    <row r="86" spans="1:47" s="24" customFormat="1" x14ac:dyDescent="0.3">
      <c r="A86" s="25"/>
      <c r="B86" s="8" t="s">
        <v>173</v>
      </c>
      <c r="C86" s="31"/>
      <c r="D86" s="31"/>
      <c r="E86" s="31"/>
      <c r="F86" s="31"/>
      <c r="G86" s="32"/>
      <c r="H86" s="31"/>
      <c r="I86" s="31">
        <f t="shared" si="24"/>
        <v>0</v>
      </c>
      <c r="J86" s="46"/>
      <c r="K86" s="33">
        <f t="shared" si="27"/>
        <v>0</v>
      </c>
      <c r="L86" s="34">
        <f t="shared" si="28"/>
        <v>0</v>
      </c>
      <c r="M86" s="35">
        <f t="shared" si="29"/>
        <v>0</v>
      </c>
      <c r="N86" s="36">
        <f t="shared" si="30"/>
        <v>0</v>
      </c>
      <c r="O86" s="57"/>
      <c r="P86" s="58"/>
      <c r="Q86" s="58"/>
      <c r="R86" s="58"/>
      <c r="S86" s="61" t="e">
        <f>(S85+K87)/H90</f>
        <v>#N/A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</row>
    <row r="87" spans="1:47" s="24" customFormat="1" x14ac:dyDescent="0.3">
      <c r="A87" s="25"/>
      <c r="B87" s="8"/>
      <c r="C87" s="31"/>
      <c r="D87" s="31"/>
      <c r="E87" s="31"/>
      <c r="F87" s="31"/>
      <c r="G87" s="38">
        <f>SUM(G6:G86)</f>
        <v>70162811309</v>
      </c>
      <c r="H87" s="31">
        <f>SUM(H6:H86)</f>
        <v>70162811309</v>
      </c>
      <c r="I87" s="31">
        <f t="shared" si="24"/>
        <v>0</v>
      </c>
      <c r="J87" s="46">
        <f>SUM(J6:J83)</f>
        <v>200</v>
      </c>
      <c r="K87" s="33" t="e">
        <f>SUM(K6:K83)</f>
        <v>#N/A</v>
      </c>
      <c r="L87" s="34" t="e">
        <f>SUM(L6:L83)</f>
        <v>#N/A</v>
      </c>
      <c r="M87" s="35" t="e">
        <f>SUM(M6:M83)</f>
        <v>#N/A</v>
      </c>
      <c r="N87" s="36" t="e">
        <f>SUM(N6:N83)</f>
        <v>#N/A</v>
      </c>
      <c r="O87" s="57"/>
      <c r="P87" s="58"/>
      <c r="Q87" s="58"/>
      <c r="R87" s="58"/>
      <c r="S87" s="61">
        <v>450</v>
      </c>
      <c r="U87" s="37"/>
      <c r="V87" s="37" t="s">
        <v>195</v>
      </c>
      <c r="W87" s="37" t="s">
        <v>194</v>
      </c>
      <c r="X87" s="37"/>
      <c r="Y87" s="37"/>
      <c r="Z87" s="37"/>
      <c r="AA87" s="37"/>
      <c r="AB87" s="37"/>
      <c r="AC87" s="37"/>
      <c r="AD87" s="37"/>
    </row>
    <row r="88" spans="1:47" s="24" customFormat="1" x14ac:dyDescent="0.3">
      <c r="A88" s="25"/>
      <c r="B88" s="8"/>
      <c r="C88" s="31"/>
      <c r="D88" s="31"/>
      <c r="E88" s="31"/>
      <c r="F88" s="31"/>
      <c r="G88" s="32"/>
      <c r="H88" s="31"/>
      <c r="I88" s="31"/>
      <c r="J88" s="46" t="e">
        <f>L88-K88</f>
        <v>#N/A</v>
      </c>
      <c r="K88" s="31" t="e">
        <f>K87/T89</f>
        <v>#N/A</v>
      </c>
      <c r="L88" s="31" t="e">
        <f>L87/T89</f>
        <v>#N/A</v>
      </c>
      <c r="M88" s="31"/>
      <c r="N88" s="31"/>
      <c r="O88" s="57"/>
      <c r="P88" s="58"/>
      <c r="Q88" s="58"/>
      <c r="R88" s="58"/>
      <c r="S88" s="61" t="e">
        <f>S86+S87</f>
        <v>#N/A</v>
      </c>
      <c r="T88" s="24" t="e">
        <f>(S88/I2)*1000</f>
        <v>#N/A</v>
      </c>
      <c r="U88" s="37" t="e">
        <f>K2</f>
        <v>#N/A</v>
      </c>
      <c r="V88" s="37" t="e">
        <f>T88-U88</f>
        <v>#N/A</v>
      </c>
      <c r="W88" s="37" t="e">
        <f>J88</f>
        <v>#N/A</v>
      </c>
      <c r="X88" s="37"/>
      <c r="Y88" s="37"/>
      <c r="Z88" s="37"/>
      <c r="AA88" s="37"/>
      <c r="AB88" s="37"/>
      <c r="AC88" s="37"/>
      <c r="AD88" s="37"/>
    </row>
    <row r="89" spans="1:47" s="24" customFormat="1" x14ac:dyDescent="0.3">
      <c r="A89" s="25"/>
      <c r="B89" s="8"/>
      <c r="C89" s="39" t="s">
        <v>145</v>
      </c>
      <c r="D89" s="39"/>
      <c r="E89" s="31"/>
      <c r="F89" s="31" t="e">
        <f>L90-G89</f>
        <v>#N/A</v>
      </c>
      <c r="G89" s="32">
        <f>H89/1000000</f>
        <v>65461.367039999997</v>
      </c>
      <c r="H89" s="59">
        <v>65461367040</v>
      </c>
      <c r="I89" s="39"/>
      <c r="J89" s="46">
        <v>100</v>
      </c>
      <c r="K89" s="39" t="s">
        <v>163</v>
      </c>
      <c r="L89" s="39" t="s">
        <v>158</v>
      </c>
      <c r="M89" s="39" t="s">
        <v>159</v>
      </c>
      <c r="N89" s="39" t="s">
        <v>160</v>
      </c>
      <c r="O89" s="57"/>
      <c r="P89" s="58"/>
      <c r="Q89" s="58"/>
      <c r="R89" s="58"/>
      <c r="S89" s="61"/>
      <c r="T89" s="67" t="e">
        <f>I2/1000</f>
        <v>#N/A</v>
      </c>
      <c r="U89" s="37"/>
      <c r="V89" s="37"/>
      <c r="W89" s="37"/>
      <c r="X89" s="37"/>
      <c r="Y89" s="37"/>
      <c r="Z89" s="37"/>
      <c r="AA89" s="37"/>
      <c r="AB89" s="37"/>
      <c r="AC89" s="37"/>
      <c r="AD89" s="37"/>
    </row>
    <row r="90" spans="1:47" x14ac:dyDescent="0.3">
      <c r="C90" s="40" t="s">
        <v>165</v>
      </c>
      <c r="D90" s="40"/>
      <c r="E90" s="38"/>
      <c r="F90" s="38"/>
      <c r="G90" s="38"/>
      <c r="H90" s="60">
        <v>18382387.229315899</v>
      </c>
      <c r="I90" s="41"/>
      <c r="J90" s="46"/>
      <c r="K90" s="39" t="e">
        <f>K87/$H$90</f>
        <v>#N/A</v>
      </c>
      <c r="L90" s="42" t="e">
        <f>L87/$H$90</f>
        <v>#N/A</v>
      </c>
      <c r="M90" s="39" t="e">
        <f>M87/$H$90</f>
        <v>#N/A</v>
      </c>
      <c r="N90" s="39" t="e">
        <f>N87/$H$90</f>
        <v>#N/A</v>
      </c>
      <c r="T90" s="43"/>
      <c r="U90" s="24" t="s">
        <v>162</v>
      </c>
      <c r="V90" s="24"/>
      <c r="W90" s="24" t="e">
        <f>RTD("tryd.rtdserver",,"COT","indfut","Ult")</f>
        <v>#N/A</v>
      </c>
      <c r="X90" s="24" t="e">
        <f>RTD("tryd.rtdserver",,"COT","indfut","VarVarPer")</f>
        <v>#N/A</v>
      </c>
      <c r="Y90" s="24" t="e">
        <f>RTD("tryd.rtdserver",,"COT","indfut","PrcCpa")</f>
        <v>#N/A</v>
      </c>
      <c r="Z90" s="24" t="e">
        <f>RTD("tryd.rtdserver",,"COT","indfut","PrcVda")</f>
        <v>#N/A</v>
      </c>
      <c r="AA90" s="24" t="e">
        <f>RTD("tryd.rtdserver",,"COT","indfut","Fech")</f>
        <v>#N/A</v>
      </c>
      <c r="AB90" s="24" t="e">
        <f>RTD("tryd.rtdserver",,"COT","indfut","Abert")</f>
        <v>#N/A</v>
      </c>
      <c r="AC90" s="24" t="e">
        <f>RTD("tryd.rtdserver",,"COT","indfut","Min")</f>
        <v>#N/A</v>
      </c>
      <c r="AD90" s="24" t="e">
        <f>RTD("tryd.rtdserver",,"COT","indfut","Media")</f>
        <v>#N/A</v>
      </c>
      <c r="AE90" s="24" t="e">
        <f>RTD("tryd.rtdserver",,"COT","indfut","Max")</f>
        <v>#N/A</v>
      </c>
      <c r="AF90" s="43"/>
      <c r="AG90" s="43"/>
      <c r="AH90" s="43"/>
      <c r="AI90" s="43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</row>
    <row r="91" spans="1:47" x14ac:dyDescent="0.3">
      <c r="C91" s="24"/>
      <c r="D91" s="24"/>
      <c r="E91" s="24"/>
      <c r="F91" s="24"/>
      <c r="G91" s="26"/>
      <c r="H91" s="24"/>
      <c r="I91" s="24"/>
      <c r="J91" s="47"/>
      <c r="K91" s="24"/>
      <c r="L91" s="24"/>
      <c r="M91" s="24"/>
      <c r="N91" s="24"/>
      <c r="T91" s="43"/>
      <c r="U91" s="24" t="s">
        <v>161</v>
      </c>
      <c r="V91" s="24"/>
      <c r="W91" s="24" t="e">
        <f>RTD("tryd.rtdserver",,"COT","IBOV","Ult")</f>
        <v>#N/A</v>
      </c>
      <c r="X91" s="24" t="e">
        <f>RTD("tryd.rtdserver",,"COT","IBOV","VarVarPer")</f>
        <v>#N/A</v>
      </c>
      <c r="Y91" s="24" t="e">
        <f>RTD("tryd.rtdserver",,"COT","IBOV","PrcCpa")</f>
        <v>#N/A</v>
      </c>
      <c r="Z91" s="24" t="e">
        <f>RTD("tryd.rtdserver",,"COT","IBOV","PrcVda")</f>
        <v>#N/A</v>
      </c>
      <c r="AA91" s="24" t="e">
        <f>RTD("tryd.rtdserver",,"COT","IBOV","Fech")</f>
        <v>#N/A</v>
      </c>
      <c r="AB91" s="24" t="e">
        <f>RTD("tryd.rtdserver",,"COT","IBOV","Abert")</f>
        <v>#N/A</v>
      </c>
      <c r="AC91" s="24" t="e">
        <f>RTD("tryd.rtdserver",,"COT","IBOV","Min")</f>
        <v>#N/A</v>
      </c>
      <c r="AD91" s="24" t="e">
        <f>RTD("tryd.rtdserver",,"COT","IBOV","Media")</f>
        <v>#N/A</v>
      </c>
      <c r="AE91" s="24" t="e">
        <f>RTD("tryd.rtdserver",,"COT","IBOV","Max")</f>
        <v>#N/A</v>
      </c>
      <c r="AF91" s="43"/>
      <c r="AG91" s="43"/>
      <c r="AH91" s="43"/>
      <c r="AI91" s="43"/>
      <c r="AJ91" s="43"/>
      <c r="AK91" s="43"/>
      <c r="AL91" s="24"/>
      <c r="AM91" s="24"/>
      <c r="AN91" s="24"/>
      <c r="AO91" s="24"/>
      <c r="AP91" s="24"/>
      <c r="AQ91" s="24"/>
      <c r="AR91" s="24"/>
      <c r="AS91" s="24"/>
      <c r="AT91" s="24"/>
    </row>
    <row r="92" spans="1:47" x14ac:dyDescent="0.3">
      <c r="C92" s="24"/>
      <c r="D92" s="24"/>
      <c r="E92" s="24"/>
      <c r="F92" s="24"/>
      <c r="G92" s="26"/>
      <c r="H92" s="43"/>
      <c r="I92" s="43"/>
      <c r="J92" s="47" t="s">
        <v>162</v>
      </c>
      <c r="K92" s="24" t="e">
        <f>RTD("tryd.rtdserver",,"COT","indfut","Ult")</f>
        <v>#N/A</v>
      </c>
      <c r="L92" s="24" t="e">
        <f>RTD("tryd.rtdserver",,"COT","indfut","VarVarPer")</f>
        <v>#N/A</v>
      </c>
      <c r="M92" s="24"/>
      <c r="N92" s="24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24"/>
      <c r="AM92" s="24"/>
      <c r="AN92" s="24"/>
      <c r="AR92" s="24"/>
    </row>
    <row r="93" spans="1:47" x14ac:dyDescent="0.3">
      <c r="C93" s="24"/>
      <c r="D93" s="24"/>
      <c r="E93" s="24"/>
      <c r="F93" s="24"/>
      <c r="G93" s="26"/>
      <c r="H93" s="43"/>
      <c r="I93" s="43"/>
      <c r="J93" s="47" t="s">
        <v>161</v>
      </c>
      <c r="K93" s="24" t="e">
        <f>RTD("tryd.rtdserver",,"COT","IBOV","Ult")</f>
        <v>#N/A</v>
      </c>
      <c r="L93" s="24" t="e">
        <f>RTD("tryd.rtdserver",,"COT","IBOV","VarVarPer")</f>
        <v>#N/A</v>
      </c>
      <c r="M93" s="24"/>
      <c r="N93" s="24"/>
      <c r="T93" s="24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24"/>
      <c r="AF93" s="24"/>
      <c r="AG93" s="24"/>
      <c r="AH93" s="24"/>
      <c r="AI93" s="24"/>
      <c r="AJ93" s="43"/>
      <c r="AK93" s="43"/>
      <c r="AL93" s="24"/>
      <c r="AM93" s="24"/>
      <c r="AN93" s="24"/>
    </row>
    <row r="94" spans="1:47" x14ac:dyDescent="0.3">
      <c r="K94" s="24" t="e">
        <f>K92-K93</f>
        <v>#N/A</v>
      </c>
      <c r="AJ94" s="24"/>
      <c r="AK94" s="24"/>
      <c r="AL94" s="24"/>
      <c r="AM94" s="24"/>
    </row>
    <row r="101" spans="3:3" x14ac:dyDescent="0.3">
      <c r="C101" s="2" t="s">
        <v>211</v>
      </c>
    </row>
    <row r="103" spans="3:3" x14ac:dyDescent="0.3">
      <c r="C103" s="63" t="s">
        <v>173</v>
      </c>
    </row>
  </sheetData>
  <phoneticPr fontId="36" type="noConversion"/>
  <conditionalFormatting sqref="G4">
    <cfRule type="colorScale" priority="5">
      <colorScale>
        <cfvo type="min"/>
        <cfvo type="num" val="0.01"/>
        <color rgb="FFFF0000"/>
        <color rgb="FF00B050"/>
      </colorScale>
    </cfRule>
    <cfRule type="colorScale" priority="6">
      <colorScale>
        <cfvo type="num" val="0.01"/>
        <cfvo type="max"/>
        <color rgb="FFFF7128"/>
        <color rgb="FFFFEF9C"/>
      </colorScale>
    </cfRule>
  </conditionalFormatting>
  <conditionalFormatting sqref="I1">
    <cfRule type="colorScale" priority="3">
      <colorScale>
        <cfvo type="min"/>
        <cfvo type="num" val="0.01"/>
        <color rgb="FFFF0000"/>
        <color rgb="FF00B050"/>
      </colorScale>
    </cfRule>
    <cfRule type="colorScale" priority="4">
      <colorScale>
        <cfvo type="num" val="0.01"/>
        <cfvo type="max"/>
        <color rgb="FFFF7128"/>
        <color rgb="FFFFEF9C"/>
      </colorScale>
    </cfRule>
  </conditionalFormatting>
  <conditionalFormatting sqref="I2">
    <cfRule type="colorScale" priority="1">
      <colorScale>
        <cfvo type="min"/>
        <cfvo type="num" val="0.01"/>
        <color rgb="FFFF0000"/>
        <color rgb="FF00B050"/>
      </colorScale>
    </cfRule>
    <cfRule type="colorScale" priority="2">
      <colorScale>
        <cfvo type="num" val="0.01"/>
        <cfvo type="max"/>
        <color rgb="FFFF7128"/>
        <color rgb="FFFFEF9C"/>
      </colorScale>
    </cfRule>
  </conditionalFormatting>
  <hyperlinks>
    <hyperlink ref="C103" r:id="rId1" xr:uid="{00000000-0004-0000-0000-000000000000}"/>
  </hyperlinks>
  <pageMargins left="0.78740157499999996" right="0.78740157499999996" top="0.984251969" bottom="0.984251969" header="0.4921259845" footer="0.4921259845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I77:X78"/>
  <sheetViews>
    <sheetView topLeftCell="G67" workbookViewId="0">
      <selection activeCell="H77" sqref="H77:X79"/>
    </sheetView>
  </sheetViews>
  <sheetFormatPr defaultRowHeight="14.4" x14ac:dyDescent="0.3"/>
  <sheetData>
    <row r="77" spans="9:24" x14ac:dyDescent="0.3">
      <c r="I77" t="s">
        <v>143</v>
      </c>
      <c r="J77" t="e">
        <f>RTD("tryd.rtdserver",,"COT","YDUQ3","Ult")</f>
        <v>#N/A</v>
      </c>
      <c r="K77" t="e">
        <f>RTD("tryd.rtdserver",,"COT","YDUQ3","VarVarPer")</f>
        <v>#N/A</v>
      </c>
      <c r="L77" t="e">
        <f>RTD("tryd.rtdserver",,"COT","YDUQ3","PrcCpa")</f>
        <v>#N/A</v>
      </c>
      <c r="M77" t="e">
        <f>RTD("tryd.rtdserver",,"COT","YDUQ3","PrcVda")</f>
        <v>#N/A</v>
      </c>
      <c r="N77" t="e">
        <f>RTD("tryd.rtdserver",,"COT","YDUQ3","Fech")</f>
        <v>#N/A</v>
      </c>
      <c r="O77" t="e">
        <f>RTD("tryd.rtdserver",,"COT","YDUQ3","Abert")</f>
        <v>#N/A</v>
      </c>
      <c r="P77" t="e">
        <f>RTD("tryd.rtdserver",,"COT","YDUQ3","Min")</f>
        <v>#N/A</v>
      </c>
      <c r="Q77" t="e">
        <f>RTD("tryd.rtdserver",,"COT","YDUQ3","Media")</f>
        <v>#N/A</v>
      </c>
      <c r="R77" t="e">
        <f>RTD("tryd.rtdserver",,"COT","YDUQ3","Max")</f>
        <v>#N/A</v>
      </c>
      <c r="S77" t="e">
        <f>RTD("tryd.rtdserver",,"COT","YDUQ3","AjPU")</f>
        <v>#N/A</v>
      </c>
      <c r="T77" t="e">
        <f>RTD("tryd.rtdserver",,"COT","YDUQ3","AjPUAnt")</f>
        <v>#N/A</v>
      </c>
      <c r="U77" t="e">
        <f>RTD("tryd.rtdserver",,"COT","YDUQ3","FechAj")</f>
        <v>#N/A</v>
      </c>
      <c r="V77" t="e">
        <f>RTD("tryd.rtdserver",,"COT","YDUQ3","FechAjAnt")</f>
        <v>#N/A</v>
      </c>
      <c r="W77" t="e">
        <f>RTD("tryd.rtdserver",,"COT","YDUQ3","Desc")</f>
        <v>#N/A</v>
      </c>
      <c r="X77" t="e">
        <f>RTD("tryd.rtdserver",,"COT","YDUQ3","Vol")</f>
        <v>#N/A</v>
      </c>
    </row>
    <row r="78" spans="9:24" x14ac:dyDescent="0.3">
      <c r="I78" t="s">
        <v>161</v>
      </c>
      <c r="J78" t="e">
        <f>RTD("tryd.rtdserver",,"COT","IBOV","Ult")</f>
        <v>#N/A</v>
      </c>
      <c r="K78" t="e">
        <f>RTD("tryd.rtdserver",,"COT","IBOV","VarVarPer")</f>
        <v>#N/A</v>
      </c>
      <c r="L78" t="e">
        <f>RTD("tryd.rtdserver",,"COT","IBOV","PrcCpa")</f>
        <v>#N/A</v>
      </c>
      <c r="M78" t="e">
        <f>RTD("tryd.rtdserver",,"COT","IBOV","PrcVda")</f>
        <v>#N/A</v>
      </c>
      <c r="N78" t="e">
        <f>RTD("tryd.rtdserver",,"COT","IBOV","Fech")</f>
        <v>#N/A</v>
      </c>
      <c r="O78" t="e">
        <f>RTD("tryd.rtdserver",,"COT","IBOV","Abert")</f>
        <v>#N/A</v>
      </c>
      <c r="P78" t="e">
        <f>RTD("tryd.rtdserver",,"COT","IBOV","Min")</f>
        <v>#N/A</v>
      </c>
      <c r="Q78" t="e">
        <f>RTD("tryd.rtdserver",,"COT","IBOV","Media")</f>
        <v>#N/A</v>
      </c>
      <c r="R78" t="e">
        <f>RTD("tryd.rtdserver",,"COT","IBOV","Max")</f>
        <v>#N/A</v>
      </c>
      <c r="S78" t="e">
        <f>RTD("tryd.rtdserver",,"COT","IBOV","AjPU")</f>
        <v>#N/A</v>
      </c>
      <c r="T78" t="e">
        <f>RTD("tryd.rtdserver",,"COT","IBOV","AjPUAnt")</f>
        <v>#N/A</v>
      </c>
      <c r="U78" t="e">
        <f>RTD("tryd.rtdserver",,"COT","IBOV","FechAj")</f>
        <v>#N/A</v>
      </c>
      <c r="V78" t="e">
        <f>RTD("tryd.rtdserver",,"COT","IBOV","FechAjAnt")</f>
        <v>#N/A</v>
      </c>
      <c r="W78" t="e">
        <f>RTD("tryd.rtdserver",,"COT","IBOV","Desc")</f>
        <v>#N/A</v>
      </c>
      <c r="X78" t="e">
        <f>RTD("tryd.rtdserver",,"COT","IBOV","Vol")</f>
        <v>#N/A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2019.11.11 Ibovespa</vt:lpstr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Jonas Barbosa</cp:lastModifiedBy>
  <dcterms:created xsi:type="dcterms:W3CDTF">2019-11-11T19:33:20Z</dcterms:created>
  <dcterms:modified xsi:type="dcterms:W3CDTF">2020-09-17T21:26:38Z</dcterms:modified>
</cp:coreProperties>
</file>