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upermetricsQueries" sheetId="1" r:id="rId3"/>
    <sheet state="visible" name="CLIENTE COM CAC MAPEADO" sheetId="2" r:id="rId4"/>
    <sheet state="visible" name="CLIENTE SEM CAC MAPEADO" sheetId="3" r:id="rId5"/>
    <sheet state="hidden" name="_BlockspringConfiguration" sheetId="4" r:id="rId6"/>
    <sheet state="visible" name="DRE" sheetId="5" r:id="rId7"/>
  </sheets>
  <definedNames>
    <definedName name="zsupermetrics_Q1lDDoqzojtgBtaFdWOJy3kN4ps42V">#REF!</definedName>
    <definedName name="zsupermetrics_cQax8sUZwqQRpXCLWOUCWaJRh5NIUM">#REF!</definedName>
    <definedName name="zsupermetrics_refreshAll">SupermetricsQueries!$H$5</definedName>
    <definedName name="zsupermetrics_o854DmVQPZwQ0KWritQuyNW727x8gg">#REF!</definedName>
    <definedName name="zsupermetrics_BDqhpKAXW5CTwF6JuGw9wWGwH8mbwE">#REF!</definedName>
    <definedName name="zsupermetrics_M8DLfmNmVQKRfdL1jRjumjdV3rmMMc">#REF!</definedName>
    <definedName name="zsupermetrics_refreshAllSilent">SupermetricsQueries!$H$6</definedName>
    <definedName name="zsupermetrics_xB3EfwdNPG5X4pzNOJxJ48kHPfowj9">#REF!</definedName>
    <definedName name="zsupermetrics_QjZCh5ehVYnsUKzf9LqhbmXD0aWARB">#REF!</definedName>
    <definedName name="zsupermetrics_SMs7BncYC9Qqpecd3drQed4EKN1K36">#REF!</definedName>
    <definedName name="zsupermetrics_aqILnnPxydYBPjnmZuGsbUGcYyGjKu">#REF!</definedName>
    <definedName name="zsupermetrics_qmkz3vK5iMRx8y5mwIi5Am9YOdmK2h">#REF!</definedName>
    <definedName name="zsupermetrics_Sabfv3ruCNwDHRTF5aATHTfHOec5QM">#REF!</definedName>
    <definedName name="zsupermetrics_forceRefresh">SupermetricsQueries!$H$4</definedName>
    <definedName name="zsupermetrics_aWoGtNuKW4WwdLes9httSctaFqAdLF">#REF!</definedName>
    <definedName name="zsupermetrics_v1II3Slh7GSheJ8wC4vDKNyZZzDA1y">#REF!</definedName>
    <definedName name="zsupermetrics_4RsDLW4O917ErGAuQAsmBlhVELJaEF">#REF!</definedName>
    <definedName name="zsupermetrics_fFboLTOPUCP1E1apuYqqqmF1yFwEhS">#REF!</definedName>
    <definedName name="zsupermetrics_1G75DEMJbxY2l6caToncnknXlvQ0Yq">#REF!</definedName>
    <definedName name="zsupermetrics_xmmxXh0rqDfRpmohANLR1FdttnAAzz">#REF!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Considere os números médios de todo o periodo que você está atuando com o projeto. 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Considere os números médios de todo o periodo que você está atuando com o projeto. 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">
      <text>
        <t xml:space="preserve">Considere os números médios de todo o periodo que você está atuando com o projeto. </t>
      </text>
    </comment>
    <comment authorId="0" ref="A5">
      <text>
        <t xml:space="preserve">O valor será acrescido A CADA QUARTER
Mínimo: 30%
Ideal: 40%
Máximo: 50%</t>
      </text>
    </comment>
    <comment authorId="0" ref="A7">
      <text>
        <t xml:space="preserve">O ROAS na ESCALA tende a ficar de 2 a 4</t>
      </text>
    </comment>
    <comment authorId="0" ref="B7">
      <text>
        <t xml:space="preserve">Se o seu ROAS for maior que 4, normalmente você tende a perder mais performance, quanto mais ele se aproxima de 2,3 ou 4 mais realista ele é. Se seu ROAS está muito alto, exemplo 6, provavelmente você esta investindo pouco e deve considerar uma perda maior no longo prazo conforme for ampliando o orçamento de mídia.</t>
      </text>
    </comment>
    <comment authorId="0" ref="A12">
      <text>
        <t xml:space="preserve">digite aqui 
Quantos % das comprar em média no mês são de clientes que compram novamente, não sendo a fonte o investimento de mídia. A ideia é projetar a base de clientes que retém mês a mês somado aos novos clientes oriundos do investimento de mídia. Quanto mais próximo de 0 mais realista. Busque ter esse número o mais baseado em fatos possível </t>
      </text>
    </comment>
  </commentList>
</comments>
</file>

<file path=xl/sharedStrings.xml><?xml version="1.0" encoding="utf-8"?>
<sst xmlns="http://schemas.openxmlformats.org/spreadsheetml/2006/main" count="320" uniqueCount="234">
  <si>
    <t>Supermetrics Queries</t>
  </si>
  <si>
    <t>All the queries created by Supermetrics are stored here, each in its own row.</t>
  </si>
  <si>
    <t>On this sheet you can:</t>
  </si>
  <si>
    <t>1. Modify the parameters of a query. Any changes will be visible when you run a refresh.</t>
  </si>
  <si>
    <t>2. Remove a query by deleting its row</t>
  </si>
  <si>
    <t>3. Add new queries: type a range address and query parameters, leave the query ID empty. The query will be added when you run a refresh. (Of course, it's much easier to use the sidebar to add new queries.)</t>
  </si>
  <si>
    <t>4. Add queries that point to other spreadsheets: follow step 3, but also add a spreadsheet ID (you can see the ID in the URL when you have a file open)</t>
  </si>
  <si>
    <t>Query ID</t>
  </si>
  <si>
    <t>Spreadsheet ID</t>
  </si>
  <si>
    <t>Sheet name</t>
  </si>
  <si>
    <t>Range address</t>
  </si>
  <si>
    <t>Created</t>
  </si>
  <si>
    <t>Updated</t>
  </si>
  <si>
    <t>Last status</t>
  </si>
  <si>
    <t>Last refresh ID</t>
  </si>
  <si>
    <t>Results contain sampled data</t>
  </si>
  <si>
    <t>Execution time (sec)</t>
  </si>
  <si>
    <t>Object type</t>
  </si>
  <si>
    <t>Linked chart ID</t>
  </si>
  <si>
    <t>Data source</t>
  </si>
  <si>
    <t>Date range type</t>
  </si>
  <si>
    <t>Start date</t>
  </si>
  <si>
    <t>End date</t>
  </si>
  <si>
    <t>Compare to</t>
  </si>
  <si>
    <t>Comparison value type</t>
  </si>
  <si>
    <t>Accounts/views</t>
  </si>
  <si>
    <t>Metrics</t>
  </si>
  <si>
    <t>Dimensions</t>
  </si>
  <si>
    <t>Pivot dimensions</t>
  </si>
  <si>
    <t>Filters</t>
  </si>
  <si>
    <t>Segment ID</t>
  </si>
  <si>
    <t>Sort</t>
  </si>
  <si>
    <t>Max rows</t>
  </si>
  <si>
    <t>Max pivot categories</t>
  </si>
  <si>
    <t>Special settings</t>
  </si>
  <si>
    <t>Other parameters</t>
  </si>
  <si>
    <t>Result type</t>
  </si>
  <si>
    <t>Language/country</t>
  </si>
  <si>
    <t>Translate to</t>
  </si>
  <si>
    <t>SQL</t>
  </si>
  <si>
    <t>Database name</t>
  </si>
  <si>
    <t>Range address (static)</t>
  </si>
  <si>
    <t>Report type</t>
  </si>
  <si>
    <t>Scope (Moz)</t>
  </si>
  <si>
    <t>Sort (Moz)</t>
  </si>
  <si>
    <t>Highlight with colour</t>
  </si>
  <si>
    <t>Refresh with user account</t>
  </si>
  <si>
    <t>Returned data</t>
  </si>
  <si>
    <t>paramsID</t>
  </si>
  <si>
    <t>ssID</t>
  </si>
  <si>
    <t>sheetName</t>
  </si>
  <si>
    <t>rangeAddress</t>
  </si>
  <si>
    <t>created</t>
  </si>
  <si>
    <t>updated</t>
  </si>
  <si>
    <t>lastStatus</t>
  </si>
  <si>
    <t>lastqueryID</t>
  </si>
  <si>
    <t>sampled</t>
  </si>
  <si>
    <t>runtime_sec</t>
  </si>
  <si>
    <t>objType</t>
  </si>
  <si>
    <t>linkedChartID</t>
  </si>
  <si>
    <t>dataSource</t>
  </si>
  <si>
    <t>dateRangeType</t>
  </si>
  <si>
    <t>startDateString</t>
  </si>
  <si>
    <t>endDateString</t>
  </si>
  <si>
    <t>comp</t>
  </si>
  <si>
    <t>cvt</t>
  </si>
  <si>
    <t>profiles</t>
  </si>
  <si>
    <t>metrics</t>
  </si>
  <si>
    <t>dimensions</t>
  </si>
  <si>
    <t>sd</t>
  </si>
  <si>
    <t>filterArr</t>
  </si>
  <si>
    <t>segment</t>
  </si>
  <si>
    <t>sort</t>
  </si>
  <si>
    <t>maxResults</t>
  </si>
  <si>
    <t>maxCategories</t>
  </si>
  <si>
    <t>specialSettings</t>
  </si>
  <si>
    <t>otherParams</t>
  </si>
  <si>
    <t>sds_result_type</t>
  </si>
  <si>
    <t>sds_lang</t>
  </si>
  <si>
    <t>sds_tolang</t>
  </si>
  <si>
    <t>sql</t>
  </si>
  <si>
    <t>db_name</t>
  </si>
  <si>
    <t>rangeAddressStatic</t>
  </si>
  <si>
    <t>rt</t>
  </si>
  <si>
    <t>scopeMZ</t>
  </si>
  <si>
    <t>sortMZ</t>
  </si>
  <si>
    <t>condform</t>
  </si>
  <si>
    <t>authUser</t>
  </si>
  <si>
    <t>metaDataToUser</t>
  </si>
  <si>
    <t>cQax8sUZwqQRpXCLWOUCWaJRh5NIUM</t>
  </si>
  <si>
    <t>Refreshed successfully by trigger s3mcz5i0-9QWZpZ86Zr5ZezSXqxBd4</t>
  </si>
  <si>
    <t>TABLE</t>
  </si>
  <si>
    <t>FA</t>
  </si>
  <si>
    <t>custom</t>
  </si>
  <si>
    <t>["act_2341858132547416`Shop 77"]</t>
  </si>
  <si>
    <t>["impressions","link_clicks","offsite_conversions_fb_pixel_lead","cost"]</t>
  </si>
  <si>
    <t>["Date","campaign_group_name"]</t>
  </si>
  <si>
    <t>[]</t>
  </si>
  <si>
    <t>["ACTION_REPORT_TIME_impression","BLANKS_TO_ZERO"]</t>
  </si>
  <si>
    <t>{}</t>
  </si>
  <si>
    <t>Gastos Facebook'!A1:F361</t>
  </si>
  <si>
    <t>SMs7BncYC9Qqpecd3drQed4EKN1K36</t>
  </si>
  <si>
    <t>AW</t>
  </si>
  <si>
    <t>["6791326507`Shop 77"]</t>
  </si>
  <si>
    <t>["Impressions","Clicks","Conversionsmanyperclick","Cost"]</t>
  </si>
  <si>
    <t>["Date","Campaignname"]</t>
  </si>
  <si>
    <t>["BLANKS_TO_ZERO"]</t>
  </si>
  <si>
    <t>Gastos Google'!A1:F295</t>
  </si>
  <si>
    <r>
      <rPr>
        <rFont val="Montserrat"/>
        <b/>
        <sz val="12.0"/>
      </rPr>
      <t xml:space="preserve">Apenas altere as células em </t>
    </r>
    <r>
      <rPr>
        <rFont val="Montserrat"/>
        <b/>
        <color rgb="FFE06666"/>
        <sz val="12.0"/>
      </rPr>
      <t>Vermelho</t>
    </r>
    <r>
      <rPr>
        <rFont val="Montserrat"/>
        <b/>
        <sz val="12.0"/>
      </rPr>
      <t>!</t>
    </r>
  </si>
  <si>
    <t>ATUAL/BASE</t>
  </si>
  <si>
    <t>Onde buscar os valores</t>
  </si>
  <si>
    <t>Ticket Médio</t>
  </si>
  <si>
    <t xml:space="preserve">1º </t>
  </si>
  <si>
    <r>
      <rPr>
        <rFont val="Montserrat"/>
        <b/>
        <color rgb="FFFFFFFF"/>
        <sz val="12.0"/>
      </rPr>
      <t>Custos Variáveis (</t>
    </r>
    <r>
      <rPr>
        <rFont val="Montserrat"/>
        <b/>
        <color rgb="FFEA9999"/>
        <sz val="12.0"/>
      </rPr>
      <t>Apenas %</t>
    </r>
    <r>
      <rPr>
        <rFont val="Montserrat"/>
        <b/>
        <color rgb="FFFFFFFF"/>
        <sz val="12.0"/>
      </rPr>
      <t>)</t>
    </r>
  </si>
  <si>
    <t>Frete</t>
  </si>
  <si>
    <t>* Para encontrar o percentual, somar o valor de frete pago no mês, e dividir pelo faturamento do mesmo periodo</t>
  </si>
  <si>
    <t>Imposto</t>
  </si>
  <si>
    <t>* Solicitar a aliquota que está sendo paga atualmente, junto ao escritório de contabilidade da empresa</t>
  </si>
  <si>
    <t>Materia prima/Custo produto/CMV/CPV</t>
  </si>
  <si>
    <t>* quanto custa comprar ou produzir o produto/serviço a ser comercializado</t>
  </si>
  <si>
    <t>Gateway / Taxa de Transação / Mkt Place</t>
  </si>
  <si>
    <t>* Consultar diretamente na plaforma utilizada (Paypal, Pag Seguro, Mercado Pago, etc...) Exemplo: 10.000 * 0,025 (Faturamento - Taxa de Transação em %)</t>
  </si>
  <si>
    <t>Comissão (variavel)</t>
  </si>
  <si>
    <t>* O que foi definido com outros vendedores</t>
  </si>
  <si>
    <t>Outros</t>
  </si>
  <si>
    <t>* Demais gastos não listados</t>
  </si>
  <si>
    <t>Total = Custos Variaveis (R$)</t>
  </si>
  <si>
    <t>Margem de Contribuição R$</t>
  </si>
  <si>
    <t>Margem de Contribuição %</t>
  </si>
  <si>
    <t>2º</t>
  </si>
  <si>
    <t xml:space="preserve">Qual o CAC do cliente? </t>
  </si>
  <si>
    <t>* CAC já mapeado pelo cliente ou pela unidade</t>
  </si>
  <si>
    <t>3°</t>
  </si>
  <si>
    <t xml:space="preserve">Custos Fixos (R$) </t>
  </si>
  <si>
    <t>Fee V4</t>
  </si>
  <si>
    <t>* Taxa de custos da operação V4 (Não incluso valor de Mídia)</t>
  </si>
  <si>
    <t>Ferramentas</t>
  </si>
  <si>
    <t>* Taxas de Ferramentas (CRM, E-mail Marketing, ChatBot etc...)</t>
  </si>
  <si>
    <t>Total equipe de vendas (salario base)</t>
  </si>
  <si>
    <t>* Soma total do salário base dos funcionários</t>
  </si>
  <si>
    <t>Aluguel</t>
  </si>
  <si>
    <t>* Diliuir esses custos fazendo a equivalência do faturamento que o canal de digital representa na sua operação.  EX: Faturamento proveniente do digital representa 20% do total da empresa. | Multiplicar 20% sobre Aluguel, condominio, luz, telefone, internet, etc.</t>
  </si>
  <si>
    <t>Condominio</t>
  </si>
  <si>
    <t>Luz</t>
  </si>
  <si>
    <t>Telefone</t>
  </si>
  <si>
    <t>Internet</t>
  </si>
  <si>
    <t>Total = Custos Fixo (R$)</t>
  </si>
  <si>
    <t>4º</t>
  </si>
  <si>
    <t>CENÁRIO 1: (CAC MAPEADO)</t>
  </si>
  <si>
    <t>* Valor do CAC já mapeado, se deixado o campo em amarelo (C16) em branco ele irá calcular o CAC máximo que poderemos pagar pelo produto</t>
  </si>
  <si>
    <t>BREAKEVEN N° DE VENDAS</t>
  </si>
  <si>
    <t>* Quantidade total de vendas necessárias considerando o CAC obtido, para alcancar o lucro 0.</t>
  </si>
  <si>
    <t>MÍDIA NECESSÁRIA</t>
  </si>
  <si>
    <t>* Mídia necessária para o projeto considerando o cac do cenário 1</t>
  </si>
  <si>
    <t>ROAS</t>
  </si>
  <si>
    <t>* ROAS alcançado visando o cenário 1</t>
  </si>
  <si>
    <t>ROI</t>
  </si>
  <si>
    <t>* ROI alcançado visando o cenário 1</t>
  </si>
  <si>
    <r>
      <rPr>
        <rFont val="Montserrat"/>
        <b/>
        <sz val="12.0"/>
      </rPr>
      <t xml:space="preserve">Apenas altere as células em </t>
    </r>
    <r>
      <rPr>
        <rFont val="Montserrat"/>
        <b/>
        <color rgb="FFE06666"/>
        <sz val="12.0"/>
      </rPr>
      <t>Vermelho</t>
    </r>
    <r>
      <rPr>
        <rFont val="Montserrat"/>
        <b/>
        <sz val="12.0"/>
      </rPr>
      <t>!</t>
    </r>
  </si>
  <si>
    <r>
      <rPr>
        <rFont val="Montserrat"/>
        <b/>
        <color rgb="FFFFFFFF"/>
        <sz val="12.0"/>
      </rPr>
      <t>Custos Variáveis (</t>
    </r>
    <r>
      <rPr>
        <rFont val="Montserrat"/>
        <b/>
        <color rgb="FFEA9999"/>
        <sz val="12.0"/>
      </rPr>
      <t>Apenas %</t>
    </r>
    <r>
      <rPr>
        <rFont val="Montserrat"/>
        <b/>
        <color rgb="FFFFFFFF"/>
        <sz val="12.0"/>
      </rPr>
      <t>)</t>
    </r>
  </si>
  <si>
    <t>CENÁRIO 1: CAC ALVO</t>
  </si>
  <si>
    <t>5º</t>
  </si>
  <si>
    <t>CENÁRIO 2: CAC ACEITÁVEL</t>
  </si>
  <si>
    <t>* CAC considerando um ótimo cenário</t>
  </si>
  <si>
    <t>* Mídia necessária para o projeto considerando o CAC do cenário 2</t>
  </si>
  <si>
    <t>* ROAS alcançado visando o cenário 2</t>
  </si>
  <si>
    <t>* ROI alcançado visando o cenário 2</t>
  </si>
  <si>
    <t>CENÁRIO STOP LOSS</t>
  </si>
  <si>
    <t>* Custo para se pagar (lucro 0) acima desse valor estaremos pagando para vender, ou seja, pare imediatamente as campanhas</t>
  </si>
  <si>
    <t>Settings:</t>
  </si>
  <si>
    <t>selection_metadata</t>
  </si>
  <si>
    <t>Queries:</t>
  </si>
  <si>
    <t>query id</t>
  </si>
  <si>
    <t>sheet name</t>
  </si>
  <si>
    <t>range address</t>
  </si>
  <si>
    <t>selection</t>
  </si>
  <si>
    <t>clear selection</t>
  </si>
  <si>
    <t>timed refresh</t>
  </si>
  <si>
    <t>run</t>
  </si>
  <si>
    <t>append</t>
  </si>
  <si>
    <t>match headers</t>
  </si>
  <si>
    <t>advanced options</t>
  </si>
  <si>
    <t>custom title</t>
  </si>
  <si>
    <t>custom description</t>
  </si>
  <si>
    <t>block id</t>
  </si>
  <si>
    <t>parameters</t>
  </si>
  <si>
    <t>PrJtcFViAw6FPZULfnKU</t>
  </si>
  <si>
    <t>ad-insights-facebook-ads</t>
  </si>
  <si>
    <t>since</t>
  </si>
  <si>
    <t>date</t>
  </si>
  <si>
    <t>until</t>
  </si>
  <si>
    <t>account_id</t>
  </si>
  <si>
    <t>text</t>
  </si>
  <si>
    <t>act_676709299121152</t>
  </si>
  <si>
    <t>fields</t>
  </si>
  <si>
    <t>array</t>
  </si>
  <si>
    <t>[["campaign_name","impressions","website_clicks","spend"]]</t>
  </si>
  <si>
    <r>
      <rPr>
        <b/>
        <sz val="12.0"/>
      </rPr>
      <t xml:space="preserve">Apenas altere as células em </t>
    </r>
    <r>
      <rPr>
        <b/>
        <color rgb="FFF1C232"/>
        <sz val="12.0"/>
      </rPr>
      <t xml:space="preserve">AMARELO </t>
    </r>
    <r>
      <rPr>
        <b/>
        <sz val="12.0"/>
      </rPr>
      <t xml:space="preserve">e </t>
    </r>
    <r>
      <rPr>
        <b/>
        <color rgb="FFFF9900"/>
        <sz val="12.0"/>
      </rPr>
      <t>LARANJA</t>
    </r>
    <r>
      <rPr>
        <b/>
        <sz val="12.0"/>
      </rPr>
      <t>!</t>
    </r>
  </si>
  <si>
    <t>ANO1</t>
  </si>
  <si>
    <t>ANO2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</si>
  <si>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</si>
  <si>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</si>
  <si>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</si>
  <si>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</si>
  <si>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</si>
  <si>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</si>
  <si>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</si>
  <si>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</si>
  <si>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</si>
  <si>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</si>
  <si>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</si>
  <si>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</si>
  <si>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Investimento e Performance</t>
  </si>
  <si>
    <t>INVESTIMENTO (R$)</t>
  </si>
  <si>
    <t>Crescimento em Investimento em Ads (%)</t>
  </si>
  <si>
    <t>Perda de Performance dos Ads mês a mês (%)</t>
  </si>
  <si>
    <t>Vendas</t>
  </si>
  <si>
    <t>Pedidos Finalizados (nº)</t>
  </si>
  <si>
    <t>Produtos/Serviços Vendidos (nº)</t>
  </si>
  <si>
    <t>Receita Novos clientes (R$)</t>
  </si>
  <si>
    <t>Taxa de retorno (%)</t>
  </si>
  <si>
    <t>Ticket Médio (R$)</t>
  </si>
  <si>
    <t>Custos Variáveis (R$)</t>
  </si>
  <si>
    <t>Materia prima/Custo produto</t>
  </si>
  <si>
    <t>Marketplace</t>
  </si>
  <si>
    <t>Comissão</t>
  </si>
  <si>
    <t>Custos Fixos (R$)</t>
  </si>
  <si>
    <t>V4</t>
  </si>
  <si>
    <t>Plataforma (ecommerce,email,marketplace...)</t>
  </si>
  <si>
    <t>Equipe de conteído</t>
  </si>
  <si>
    <t>\</t>
  </si>
  <si>
    <t xml:space="preserve">Outras pessoas </t>
  </si>
  <si>
    <t>EBITDA (R$)</t>
  </si>
  <si>
    <t>EBITDA (%)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</si>
</sst>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yyyy-mm-dd hh:mm:ss"/>
    <numFmt numFmtId="165" formatCode="yyyy-mm-dd"/>
    <numFmt numFmtId="166" formatCode="[$R$ -416]#,##0.00"/>
    <numFmt numFmtId="167" formatCode="0.0"/>
    <numFmt numFmtId="168" formatCode="[$R$ -416]#,##0"/>
  </numFmts>
  <fonts count="31">
    <font>
      <sz val="10.0"/>
      <color rgb="FF000000"/>
      <name val="Arial"/>
    </font>
    <font>
      <b/>
      <sz val="20.0"/>
    </font>
    <font/>
    <font>
      <color rgb="FFEEEEEE"/>
    </font>
    <font>
      <b/>
    </font>
    <font>
      <color rgb="FF000000"/>
    </font>
    <font>
      <color rgb="FF008000"/>
    </font>
    <font>
      <b/>
      <sz val="12.0"/>
      <name val="Montserrat"/>
    </font>
    <font>
      <b/>
      <color rgb="FFFFFFFF"/>
      <name val="Montserrat"/>
    </font>
    <font>
      <b/>
      <color rgb="FF000000"/>
      <name val="Montserrat"/>
    </font>
    <font>
      <b/>
      <sz val="12.0"/>
      <color rgb="FFFFFFFF"/>
      <name val="Montserrat"/>
    </font>
    <font>
      <name val="Montserrat"/>
    </font>
    <font>
      <b/>
      <name val="Montserrat"/>
    </font>
    <font>
      <color rgb="FF000000"/>
      <name val="Montserrat"/>
    </font>
    <font>
      <b/>
      <sz val="10.0"/>
      <color rgb="FFFFFFFF"/>
      <name val="Montserrat"/>
    </font>
    <font>
      <sz val="12.0"/>
      <color rgb="FFFFFFFF"/>
      <name val="Montserrat"/>
    </font>
    <font>
      <color rgb="FFFFFFFF"/>
      <name val="Montserrat"/>
    </font>
    <font>
      <b/>
      <sz val="11.0"/>
      <color rgb="FFFFFFFF"/>
      <name val="Montserrat"/>
    </font>
    <font>
      <b/>
      <sz val="11.0"/>
      <name val="Montserrat"/>
    </font>
    <font>
      <b/>
      <sz val="12.0"/>
    </font>
    <font>
      <b/>
      <color rgb="FFFFFFFF"/>
    </font>
    <font>
      <b/>
      <sz val="12.0"/>
      <color rgb="FFFFFFFF"/>
    </font>
    <font>
      <b/>
      <color rgb="FF000000"/>
    </font>
    <font>
      <i/>
      <color rgb="FF5B0F00"/>
    </font>
    <font>
      <b/>
      <color rgb="FF0000FF"/>
    </font>
    <font>
      <color rgb="FF5B0F00"/>
    </font>
    <font>
      <b/>
      <sz val="11.0"/>
    </font>
    <font>
      <sz val="12.0"/>
      <color rgb="FFFFFFFF"/>
    </font>
    <font>
      <name val="Arial"/>
    </font>
    <font>
      <b/>
      <color rgb="FF0000FF"/>
      <name val="Arial"/>
    </font>
    <font>
      <sz val="11.0"/>
    </font>
  </fonts>
  <fills count="1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666666"/>
        <bgColor rgb="FF666666"/>
      </patternFill>
    </fill>
    <fill>
      <patternFill patternType="solid">
        <fgColor rgb="FF00FF00"/>
        <bgColor rgb="FF00FF00"/>
      </patternFill>
    </fill>
    <fill>
      <patternFill patternType="solid">
        <fgColor rgb="FFE06666"/>
        <bgColor rgb="FFE06666"/>
      </patternFill>
    </fill>
    <fill>
      <patternFill patternType="solid">
        <fgColor rgb="FFEA9999"/>
        <bgColor rgb="FFEA9999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0000"/>
        <bgColor rgb="FFCC0000"/>
      </patternFill>
    </fill>
    <fill>
      <patternFill patternType="solid">
        <fgColor rgb="FF000000"/>
        <bgColor rgb="FF000000"/>
      </patternFill>
    </fill>
    <fill>
      <patternFill patternType="solid">
        <fgColor rgb="FF434343"/>
        <bgColor rgb="FF434343"/>
      </patternFill>
    </fill>
    <fill>
      <patternFill patternType="solid">
        <fgColor rgb="FFDBF0E6"/>
        <bgColor rgb="FFDBF0E6"/>
      </patternFill>
    </fill>
    <fill>
      <patternFill patternType="solid">
        <fgColor rgb="FFFFE599"/>
        <bgColor rgb="FFFFE599"/>
      </patternFill>
    </fill>
  </fills>
  <borders count="24">
    <border/>
    <border>
      <left style="thick">
        <color rgb="FF666666"/>
      </left>
      <right style="thick">
        <color rgb="FF666666"/>
      </right>
      <top style="thick">
        <color rgb="FF666666"/>
      </top>
      <bottom style="thick">
        <color rgb="FF666666"/>
      </bottom>
    </border>
    <border>
      <left style="thick">
        <color rgb="FF666666"/>
      </left>
      <top style="thick">
        <color rgb="FF666666"/>
      </top>
      <bottom style="thick">
        <color rgb="FF666666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ck">
        <color rgb="FF666666"/>
      </right>
      <top style="thick">
        <color rgb="FF666666"/>
      </top>
      <bottom style="thick">
        <color rgb="FF666666"/>
      </bottom>
    </border>
    <border>
      <left style="thick">
        <color rgb="FF666666"/>
      </left>
      <right style="thick">
        <color rgb="FF666666"/>
      </right>
      <bottom style="thick">
        <color rgb="FF666666"/>
      </bottom>
    </border>
    <border>
      <top style="thick">
        <color rgb="FF666666"/>
      </top>
    </border>
    <border>
      <left style="thick">
        <color rgb="FF666666"/>
      </left>
      <right style="thick">
        <color rgb="FF666666"/>
      </right>
      <top style="thick">
        <color rgb="FF666666"/>
      </top>
    </border>
    <border>
      <left style="thin">
        <color rgb="FF000000"/>
      </left>
      <right style="thin">
        <color rgb="FF000000"/>
      </right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000000"/>
      </left>
      <right style="thin">
        <color rgb="FF000000"/>
      </righ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000000"/>
      </left>
      <right style="thin">
        <color rgb="FF000000"/>
      </right>
      <top style="thick">
        <color rgb="FF666666"/>
      </top>
    </border>
    <border>
      <left style="thick">
        <color rgb="FF666666"/>
      </left>
      <right style="thick">
        <color rgb="FF666666"/>
      </right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vertical="top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2" numFmtId="0" xfId="0" applyAlignment="1" applyFont="1">
      <alignment readingOrder="0" shrinkToFit="0" vertical="top" wrapText="1"/>
    </xf>
    <xf borderId="0" fillId="2" fontId="4" numFmtId="0" xfId="0" applyAlignment="1" applyFill="1" applyFont="1">
      <alignment readingOrder="0"/>
    </xf>
    <xf borderId="0" fillId="2" fontId="4" numFmtId="0" xfId="0" applyFont="1"/>
    <xf borderId="0" fillId="0" fontId="5" numFmtId="0" xfId="0" applyAlignment="1" applyFont="1">
      <alignment readingOrder="0"/>
    </xf>
    <xf borderId="0" fillId="0" fontId="5" numFmtId="0" xfId="0" applyFont="1"/>
    <xf borderId="0" fillId="0" fontId="5" numFmtId="164" xfId="0" applyAlignment="1" applyFont="1" applyNumberFormat="1">
      <alignment readingOrder="0"/>
    </xf>
    <xf borderId="0" fillId="0" fontId="6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5" numFmtId="165" xfId="0" applyAlignment="1" applyFont="1" applyNumberFormat="1">
      <alignment readingOrder="0"/>
    </xf>
    <xf quotePrefix="1" borderId="0" fillId="0" fontId="5" numFmtId="0" xfId="0" applyAlignment="1" applyFont="1">
      <alignment readingOrder="0"/>
    </xf>
    <xf borderId="1" fillId="3" fontId="7" numFmtId="0" xfId="0" applyAlignment="1" applyBorder="1" applyFill="1" applyFont="1">
      <alignment horizontal="right" readingOrder="0" shrinkToFit="0" wrapText="1"/>
    </xf>
    <xf borderId="1" fillId="3" fontId="8" numFmtId="166" xfId="0" applyAlignment="1" applyBorder="1" applyFont="1" applyNumberFormat="1">
      <alignment horizontal="center" readingOrder="0" vertical="center"/>
    </xf>
    <xf borderId="1" fillId="3" fontId="9" numFmtId="166" xfId="0" applyAlignment="1" applyBorder="1" applyFont="1" applyNumberFormat="1">
      <alignment horizontal="center" readingOrder="0" vertical="center"/>
    </xf>
    <xf borderId="0" fillId="4" fontId="7" numFmtId="0" xfId="0" applyAlignment="1" applyFill="1" applyFont="1">
      <alignment horizontal="right" readingOrder="0" shrinkToFit="0" wrapText="1"/>
    </xf>
    <xf borderId="0" fillId="3" fontId="8" numFmtId="166" xfId="0" applyAlignment="1" applyFont="1" applyNumberFormat="1">
      <alignment horizontal="center" readingOrder="0" vertical="center"/>
    </xf>
    <xf borderId="0" fillId="0" fontId="9" numFmtId="166" xfId="0" applyAlignment="1" applyFont="1" applyNumberFormat="1">
      <alignment horizontal="center" readingOrder="0" vertical="center"/>
    </xf>
    <xf borderId="1" fillId="3" fontId="10" numFmtId="0" xfId="0" applyAlignment="1" applyBorder="1" applyFont="1">
      <alignment readingOrder="0"/>
    </xf>
    <xf borderId="1" fillId="3" fontId="11" numFmtId="0" xfId="0" applyAlignment="1" applyBorder="1" applyFont="1">
      <alignment readingOrder="0"/>
    </xf>
    <xf borderId="0" fillId="0" fontId="12" numFmtId="0" xfId="0" applyAlignment="1" applyFont="1">
      <alignment readingOrder="0"/>
    </xf>
    <xf borderId="0" fillId="5" fontId="8" numFmtId="166" xfId="0" applyAlignment="1" applyFill="1" applyFont="1" applyNumberFormat="1">
      <alignment readingOrder="0"/>
    </xf>
    <xf borderId="0" fillId="0" fontId="13" numFmtId="166" xfId="0" applyAlignment="1" applyFont="1" applyNumberFormat="1">
      <alignment readingOrder="0"/>
    </xf>
    <xf borderId="1" fillId="3" fontId="13" numFmtId="166" xfId="0" applyAlignment="1" applyBorder="1" applyFont="1" applyNumberFormat="1">
      <alignment readingOrder="0"/>
    </xf>
    <xf borderId="1" fillId="3" fontId="14" numFmtId="0" xfId="0" applyAlignment="1" applyBorder="1" applyFont="1">
      <alignment readingOrder="0"/>
    </xf>
    <xf borderId="1" fillId="3" fontId="15" numFmtId="0" xfId="0" applyBorder="1" applyFont="1"/>
    <xf borderId="1" fillId="3" fontId="11" numFmtId="0" xfId="0" applyAlignment="1" applyBorder="1" applyFont="1">
      <alignment vertical="bottom"/>
    </xf>
    <xf borderId="0" fillId="6" fontId="12" numFmtId="0" xfId="0" applyAlignment="1" applyFill="1" applyFont="1">
      <alignment vertical="bottom"/>
    </xf>
    <xf borderId="0" fillId="5" fontId="8" numFmtId="166" xfId="0" applyAlignment="1" applyFont="1" applyNumberFormat="1">
      <alignment horizontal="right" readingOrder="0" vertical="center"/>
    </xf>
    <xf borderId="0" fillId="0" fontId="13" numFmtId="166" xfId="0" applyAlignment="1" applyFont="1" applyNumberFormat="1">
      <alignment horizontal="left" readingOrder="0" vertical="bottom"/>
    </xf>
    <xf borderId="1" fillId="3" fontId="13" numFmtId="166" xfId="0" applyAlignment="1" applyBorder="1" applyFont="1" applyNumberFormat="1">
      <alignment horizontal="left" readingOrder="0" vertical="bottom"/>
    </xf>
    <xf borderId="1" fillId="3" fontId="11" numFmtId="0" xfId="0" applyAlignment="1" applyBorder="1" applyFont="1">
      <alignment readingOrder="0" vertical="bottom"/>
    </xf>
    <xf borderId="0" fillId="6" fontId="12" numFmtId="0" xfId="0" applyAlignment="1" applyFont="1">
      <alignment readingOrder="0" vertical="bottom"/>
    </xf>
    <xf borderId="0" fillId="0" fontId="13" numFmtId="166" xfId="0" applyAlignment="1" applyFont="1" applyNumberFormat="1">
      <alignment horizontal="left" readingOrder="0" vertical="bottom"/>
    </xf>
    <xf borderId="1" fillId="3" fontId="13" numFmtId="166" xfId="0" applyAlignment="1" applyBorder="1" applyFont="1" applyNumberFormat="1">
      <alignment horizontal="left" readingOrder="0" vertical="bottom"/>
    </xf>
    <xf borderId="0" fillId="6" fontId="12" numFmtId="0" xfId="0" applyAlignment="1" applyFont="1">
      <alignment readingOrder="0" vertical="center"/>
    </xf>
    <xf borderId="0" fillId="5" fontId="8" numFmtId="10" xfId="0" applyAlignment="1" applyFont="1" applyNumberFormat="1">
      <alignment horizontal="right" readingOrder="0" vertical="center"/>
    </xf>
    <xf borderId="0" fillId="0" fontId="13" numFmtId="166" xfId="0" applyAlignment="1" applyFont="1" applyNumberFormat="1">
      <alignment horizontal="left" readingOrder="0" shrinkToFit="0" vertical="bottom" wrapText="1"/>
    </xf>
    <xf borderId="0" fillId="5" fontId="8" numFmtId="0" xfId="0" applyAlignment="1" applyFont="1">
      <alignment readingOrder="0" vertical="center"/>
    </xf>
    <xf borderId="1" fillId="3" fontId="8" numFmtId="0" xfId="0" applyAlignment="1" applyBorder="1" applyFont="1">
      <alignment readingOrder="0"/>
    </xf>
    <xf borderId="0" fillId="5" fontId="8" numFmtId="166" xfId="0" applyAlignment="1" applyFont="1" applyNumberFormat="1">
      <alignment readingOrder="0" vertical="center"/>
    </xf>
    <xf borderId="1" fillId="3" fontId="16" numFmtId="166" xfId="0" applyAlignment="1" applyBorder="1" applyFont="1" applyNumberFormat="1">
      <alignment horizontal="left" readingOrder="0" vertical="bottom"/>
    </xf>
    <xf borderId="2" fillId="3" fontId="8" numFmtId="0" xfId="0" applyAlignment="1" applyBorder="1" applyFont="1">
      <alignment readingOrder="0"/>
    </xf>
    <xf borderId="3" fillId="7" fontId="8" numFmtId="0" xfId="0" applyAlignment="1" applyBorder="1" applyFill="1" applyFont="1">
      <alignment readingOrder="0"/>
    </xf>
    <xf borderId="3" fillId="7" fontId="8" numFmtId="166" xfId="0" applyBorder="1" applyFont="1" applyNumberFormat="1"/>
    <xf borderId="3" fillId="7" fontId="16" numFmtId="166" xfId="0" applyAlignment="1" applyBorder="1" applyFont="1" applyNumberFormat="1">
      <alignment horizontal="left" readingOrder="0" vertical="bottom"/>
    </xf>
    <xf borderId="4" fillId="3" fontId="16" numFmtId="166" xfId="0" applyAlignment="1" applyBorder="1" applyFont="1" applyNumberFormat="1">
      <alignment horizontal="left" readingOrder="0" vertical="bottom"/>
    </xf>
    <xf borderId="2" fillId="3" fontId="16" numFmtId="0" xfId="0" applyAlignment="1" applyBorder="1" applyFont="1">
      <alignment readingOrder="0"/>
    </xf>
    <xf borderId="3" fillId="7" fontId="8" numFmtId="10" xfId="0" applyAlignment="1" applyBorder="1" applyFont="1" applyNumberFormat="1">
      <alignment readingOrder="0"/>
    </xf>
    <xf borderId="3" fillId="8" fontId="9" numFmtId="166" xfId="0" applyAlignment="1" applyBorder="1" applyFill="1" applyFont="1" applyNumberFormat="1">
      <alignment readingOrder="0" vertical="center"/>
    </xf>
    <xf borderId="0" fillId="7" fontId="8" numFmtId="166" xfId="0" applyAlignment="1" applyFont="1" applyNumberFormat="1">
      <alignment horizontal="left" readingOrder="0"/>
    </xf>
    <xf borderId="5" fillId="3" fontId="10" numFmtId="0" xfId="0" applyAlignment="1" applyBorder="1" applyFont="1">
      <alignment readingOrder="0"/>
    </xf>
    <xf borderId="5" fillId="3" fontId="10" numFmtId="166" xfId="0" applyAlignment="1" applyBorder="1" applyFont="1" applyNumberFormat="1">
      <alignment readingOrder="0"/>
    </xf>
    <xf borderId="5" fillId="3" fontId="16" numFmtId="166" xfId="0" applyAlignment="1" applyBorder="1" applyFont="1" applyNumberFormat="1">
      <alignment horizontal="left" readingOrder="0" vertical="bottom"/>
    </xf>
    <xf borderId="0" fillId="6" fontId="12" numFmtId="0" xfId="0" applyAlignment="1" applyFont="1">
      <alignment readingOrder="0"/>
    </xf>
    <xf borderId="0" fillId="5" fontId="8" numFmtId="166" xfId="0" applyAlignment="1" applyFont="1" applyNumberFormat="1">
      <alignment horizontal="right" readingOrder="0" vertical="bottom"/>
    </xf>
    <xf borderId="0" fillId="0" fontId="11" numFmtId="0" xfId="0" applyAlignment="1" applyFont="1">
      <alignment readingOrder="0"/>
    </xf>
    <xf borderId="0" fillId="0" fontId="13" numFmtId="166" xfId="0" applyAlignment="1" applyFont="1" applyNumberFormat="1">
      <alignment horizontal="left" readingOrder="0" shrinkToFit="0" vertical="center" wrapText="1"/>
    </xf>
    <xf borderId="1" fillId="3" fontId="13" numFmtId="166" xfId="0" applyAlignment="1" applyBorder="1" applyFont="1" applyNumberFormat="1">
      <alignment horizontal="left" readingOrder="0" shrinkToFit="0" vertical="center" wrapText="1"/>
    </xf>
    <xf borderId="2" fillId="3" fontId="11" numFmtId="0" xfId="0" applyAlignment="1" applyBorder="1" applyFont="1">
      <alignment readingOrder="0"/>
    </xf>
    <xf borderId="4" fillId="3" fontId="13" numFmtId="166" xfId="0" applyAlignment="1" applyBorder="1" applyFont="1" applyNumberFormat="1">
      <alignment horizontal="left" readingOrder="0" shrinkToFit="0" vertical="center" wrapText="1"/>
    </xf>
    <xf borderId="2" fillId="3" fontId="12" numFmtId="0" xfId="0" applyAlignment="1" applyBorder="1" applyFont="1">
      <alignment readingOrder="0"/>
    </xf>
    <xf borderId="6" fillId="0" fontId="12" numFmtId="0" xfId="0" applyAlignment="1" applyBorder="1" applyFont="1">
      <alignment readingOrder="0"/>
    </xf>
    <xf borderId="6" fillId="0" fontId="12" numFmtId="166" xfId="0" applyBorder="1" applyFont="1" applyNumberFormat="1"/>
    <xf borderId="6" fillId="0" fontId="13" numFmtId="166" xfId="0" applyAlignment="1" applyBorder="1" applyFont="1" applyNumberFormat="1">
      <alignment horizontal="left" readingOrder="0" vertical="bottom"/>
    </xf>
    <xf borderId="4" fillId="3" fontId="13" numFmtId="166" xfId="0" applyAlignment="1" applyBorder="1" applyFont="1" applyNumberFormat="1">
      <alignment horizontal="left" readingOrder="0" vertical="bottom"/>
    </xf>
    <xf borderId="2" fillId="3" fontId="17" numFmtId="0" xfId="0" applyAlignment="1" applyBorder="1" applyFont="1">
      <alignment readingOrder="0" vertical="center"/>
    </xf>
    <xf borderId="7" fillId="3" fontId="10" numFmtId="0" xfId="0" applyAlignment="1" applyBorder="1" applyFont="1">
      <alignment readingOrder="0"/>
    </xf>
    <xf borderId="0" fillId="6" fontId="18" numFmtId="0" xfId="0" applyAlignment="1" applyFont="1">
      <alignment readingOrder="0" vertical="center"/>
    </xf>
    <xf borderId="0" fillId="9" fontId="18" numFmtId="166" xfId="0" applyAlignment="1" applyFill="1" applyFont="1" applyNumberFormat="1">
      <alignment horizontal="center" vertical="center"/>
    </xf>
    <xf borderId="0" fillId="9" fontId="13" numFmtId="166" xfId="0" applyAlignment="1" applyFont="1" applyNumberFormat="1">
      <alignment horizontal="left" readingOrder="0" vertical="bottom"/>
    </xf>
    <xf borderId="0" fillId="6" fontId="9" numFmtId="0" xfId="0" applyAlignment="1" applyFont="1">
      <alignment readingOrder="0"/>
    </xf>
    <xf borderId="0" fillId="9" fontId="12" numFmtId="167" xfId="0" applyAlignment="1" applyFont="1" applyNumberFormat="1">
      <alignment horizontal="center"/>
    </xf>
    <xf borderId="0" fillId="9" fontId="11" numFmtId="0" xfId="0" applyAlignment="1" applyFont="1">
      <alignment readingOrder="0"/>
    </xf>
    <xf borderId="4" fillId="3" fontId="11" numFmtId="0" xfId="0" applyBorder="1" applyFont="1"/>
    <xf borderId="0" fillId="9" fontId="12" numFmtId="166" xfId="0" applyAlignment="1" applyFont="1" applyNumberFormat="1">
      <alignment horizontal="center"/>
    </xf>
    <xf borderId="0" fillId="9" fontId="12" numFmtId="2" xfId="0" applyAlignment="1" applyFont="1" applyNumberFormat="1">
      <alignment horizontal="center"/>
    </xf>
    <xf borderId="0" fillId="9" fontId="13" numFmtId="0" xfId="0" applyAlignment="1" applyFont="1">
      <alignment horizontal="left" readingOrder="0"/>
    </xf>
    <xf borderId="8" fillId="5" fontId="8" numFmtId="166" xfId="0" applyAlignment="1" applyBorder="1" applyFont="1" applyNumberFormat="1">
      <alignment horizontal="right" readingOrder="0" vertical="center"/>
    </xf>
    <xf borderId="8" fillId="5" fontId="8" numFmtId="10" xfId="0" applyAlignment="1" applyBorder="1" applyFont="1" applyNumberFormat="1">
      <alignment horizontal="right" readingOrder="0" vertical="center"/>
    </xf>
    <xf borderId="8" fillId="5" fontId="8" numFmtId="0" xfId="0" applyAlignment="1" applyBorder="1" applyFont="1">
      <alignment readingOrder="0" vertical="center"/>
    </xf>
    <xf borderId="8" fillId="5" fontId="8" numFmtId="166" xfId="0" applyAlignment="1" applyBorder="1" applyFont="1" applyNumberFormat="1">
      <alignment readingOrder="0" vertical="center"/>
    </xf>
    <xf borderId="9" fillId="7" fontId="8" numFmtId="0" xfId="0" applyAlignment="1" applyBorder="1" applyFont="1">
      <alignment readingOrder="0"/>
    </xf>
    <xf borderId="10" fillId="7" fontId="8" numFmtId="166" xfId="0" applyBorder="1" applyFont="1" applyNumberFormat="1"/>
    <xf borderId="11" fillId="7" fontId="16" numFmtId="166" xfId="0" applyAlignment="1" applyBorder="1" applyFont="1" applyNumberFormat="1">
      <alignment horizontal="left" readingOrder="0" vertical="bottom"/>
    </xf>
    <xf borderId="10" fillId="7" fontId="8" numFmtId="10" xfId="0" applyAlignment="1" applyBorder="1" applyFont="1" applyNumberFormat="1">
      <alignment readingOrder="0"/>
    </xf>
    <xf borderId="8" fillId="5" fontId="8" numFmtId="166" xfId="0" applyAlignment="1" applyBorder="1" applyFont="1" applyNumberFormat="1">
      <alignment horizontal="right" readingOrder="0" vertical="bottom"/>
    </xf>
    <xf borderId="12" fillId="0" fontId="12" numFmtId="166" xfId="0" applyBorder="1" applyFont="1" applyNumberFormat="1"/>
    <xf borderId="0" fillId="9" fontId="18" numFmtId="0" xfId="0" applyAlignment="1" applyFont="1">
      <alignment readingOrder="0" vertical="center"/>
    </xf>
    <xf borderId="8" fillId="9" fontId="18" numFmtId="166" xfId="0" applyAlignment="1" applyBorder="1" applyFont="1" applyNumberFormat="1">
      <alignment horizontal="center" vertical="center"/>
    </xf>
    <xf borderId="0" fillId="9" fontId="9" numFmtId="0" xfId="0" applyAlignment="1" applyFont="1">
      <alignment readingOrder="0"/>
    </xf>
    <xf borderId="8" fillId="9" fontId="12" numFmtId="167" xfId="0" applyAlignment="1" applyBorder="1" applyFont="1" applyNumberFormat="1">
      <alignment horizontal="center"/>
    </xf>
    <xf borderId="8" fillId="9" fontId="12" numFmtId="166" xfId="0" applyAlignment="1" applyBorder="1" applyFont="1" applyNumberFormat="1">
      <alignment horizontal="center"/>
    </xf>
    <xf borderId="8" fillId="9" fontId="12" numFmtId="2" xfId="0" applyAlignment="1" applyBorder="1" applyFont="1" applyNumberFormat="1">
      <alignment horizontal="center"/>
    </xf>
    <xf borderId="13" fillId="3" fontId="10" numFmtId="0" xfId="0" applyAlignment="1" applyBorder="1" applyFont="1">
      <alignment readingOrder="0"/>
    </xf>
    <xf borderId="0" fillId="10" fontId="17" numFmtId="0" xfId="0" applyAlignment="1" applyFill="1" applyFont="1">
      <alignment readingOrder="0" vertical="center"/>
    </xf>
    <xf borderId="8" fillId="10" fontId="17" numFmtId="166" xfId="0" applyAlignment="1" applyBorder="1" applyFont="1" applyNumberFormat="1">
      <alignment horizontal="center" vertical="center"/>
    </xf>
    <xf borderId="0" fillId="0" fontId="2" numFmtId="1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19" numFmtId="0" xfId="0" applyAlignment="1" applyFont="1">
      <alignment horizontal="right" readingOrder="0" shrinkToFit="0" wrapText="1"/>
    </xf>
    <xf borderId="0" fillId="11" fontId="20" numFmtId="166" xfId="0" applyAlignment="1" applyFill="1" applyFont="1" applyNumberFormat="1">
      <alignment horizontal="center" readingOrder="0" vertical="center"/>
    </xf>
    <xf borderId="0" fillId="3" fontId="20" numFmtId="0" xfId="0" applyAlignment="1" applyFont="1">
      <alignment horizontal="center" readingOrder="0"/>
    </xf>
    <xf borderId="0" fillId="12" fontId="20" numFmtId="0" xfId="0" applyAlignment="1" applyFill="1" applyFont="1">
      <alignment horizontal="center" readingOrder="0"/>
    </xf>
    <xf borderId="0" fillId="0" fontId="4" numFmtId="0" xfId="0" applyAlignment="1" applyFont="1">
      <alignment horizontal="right" readingOrder="0"/>
    </xf>
    <xf borderId="14" fillId="12" fontId="21" numFmtId="0" xfId="0" applyAlignment="1" applyBorder="1" applyFont="1">
      <alignment readingOrder="0" vertical="bottom"/>
    </xf>
    <xf borderId="15" fillId="12" fontId="21" numFmtId="0" xfId="0" applyAlignment="1" applyBorder="1" applyFont="1">
      <alignment readingOrder="0" vertical="bottom"/>
    </xf>
    <xf borderId="15" fillId="12" fontId="21" numFmtId="168" xfId="0" applyAlignment="1" applyBorder="1" applyFont="1" applyNumberFormat="1">
      <alignment horizontal="right" readingOrder="0" vertical="bottom"/>
    </xf>
    <xf borderId="16" fillId="12" fontId="21" numFmtId="168" xfId="0" applyAlignment="1" applyBorder="1" applyFont="1" applyNumberFormat="1">
      <alignment horizontal="right" readingOrder="0" vertical="bottom"/>
    </xf>
    <xf borderId="0" fillId="8" fontId="22" numFmtId="166" xfId="0" applyAlignment="1" applyFont="1" applyNumberFormat="1">
      <alignment readingOrder="0"/>
    </xf>
    <xf borderId="0" fillId="9" fontId="2" numFmtId="168" xfId="0" applyAlignment="1" applyFont="1" applyNumberFormat="1">
      <alignment horizontal="right" readingOrder="0"/>
    </xf>
    <xf borderId="0" fillId="9" fontId="23" numFmtId="168" xfId="0" applyAlignment="1" applyFont="1" applyNumberFormat="1">
      <alignment horizontal="right" readingOrder="0"/>
    </xf>
    <xf borderId="0" fillId="8" fontId="22" numFmtId="9" xfId="0" applyAlignment="1" applyFont="1" applyNumberFormat="1">
      <alignment readingOrder="0"/>
    </xf>
    <xf borderId="0" fillId="9" fontId="24" numFmtId="0" xfId="0" applyAlignment="1" applyFont="1">
      <alignment horizontal="left" readingOrder="0"/>
    </xf>
    <xf borderId="0" fillId="0" fontId="2" numFmtId="2" xfId="0" applyAlignment="1" applyFont="1" applyNumberFormat="1">
      <alignment readingOrder="0"/>
    </xf>
    <xf borderId="0" fillId="9" fontId="2" numFmtId="2" xfId="0" applyAlignment="1" applyFont="1" applyNumberFormat="1">
      <alignment readingOrder="0"/>
    </xf>
    <xf borderId="0" fillId="9" fontId="2" numFmtId="2" xfId="0" applyAlignment="1" applyFont="1" applyNumberFormat="1">
      <alignment horizontal="right" readingOrder="0"/>
    </xf>
    <xf borderId="0" fillId="9" fontId="25" numFmtId="2" xfId="0" applyAlignment="1" applyFont="1" applyNumberFormat="1">
      <alignment horizontal="right" readingOrder="0"/>
    </xf>
    <xf borderId="0" fillId="0" fontId="2" numFmtId="2" xfId="0" applyFont="1" applyNumberFormat="1"/>
    <xf borderId="0" fillId="8" fontId="22" numFmtId="10" xfId="0" applyAlignment="1" applyFont="1" applyNumberFormat="1">
      <alignment readingOrder="0"/>
    </xf>
    <xf borderId="0" fillId="9" fontId="24" numFmtId="9" xfId="0" applyAlignment="1" applyFont="1" applyNumberFormat="1">
      <alignment horizontal="right" readingOrder="0"/>
    </xf>
    <xf borderId="17" fillId="12" fontId="21" numFmtId="0" xfId="0" applyAlignment="1" applyBorder="1" applyFont="1">
      <alignment readingOrder="0"/>
    </xf>
    <xf borderId="18" fillId="12" fontId="21" numFmtId="0" xfId="0" applyAlignment="1" applyBorder="1" applyFont="1">
      <alignment readingOrder="0"/>
    </xf>
    <xf borderId="18" fillId="12" fontId="21" numFmtId="168" xfId="0" applyAlignment="1" applyBorder="1" applyFont="1" applyNumberFormat="1">
      <alignment horizontal="right" readingOrder="0"/>
    </xf>
    <xf borderId="19" fillId="12" fontId="21" numFmtId="168" xfId="0" applyAlignment="1" applyBorder="1" applyFont="1" applyNumberFormat="1">
      <alignment horizontal="right" readingOrder="0"/>
    </xf>
    <xf borderId="0" fillId="8" fontId="22" numFmtId="0" xfId="0" applyAlignment="1" applyFont="1">
      <alignment readingOrder="0"/>
    </xf>
    <xf borderId="0" fillId="0" fontId="2" numFmtId="3" xfId="0" applyAlignment="1" applyFont="1" applyNumberFormat="1">
      <alignment horizontal="right"/>
    </xf>
    <xf borderId="0" fillId="9" fontId="22" numFmtId="168" xfId="0" applyAlignment="1" applyFont="1" applyNumberFormat="1">
      <alignment horizontal="right"/>
    </xf>
    <xf borderId="0" fillId="13" fontId="4" numFmtId="168" xfId="0" applyAlignment="1" applyFill="1" applyFont="1" applyNumberFormat="1">
      <alignment horizontal="right"/>
    </xf>
    <xf borderId="17" fillId="0" fontId="26" numFmtId="0" xfId="0" applyAlignment="1" applyBorder="1" applyFont="1">
      <alignment readingOrder="0" vertical="center"/>
    </xf>
    <xf borderId="18" fillId="0" fontId="26" numFmtId="0" xfId="0" applyAlignment="1" applyBorder="1" applyFont="1">
      <alignment readingOrder="0" vertical="center"/>
    </xf>
    <xf borderId="18" fillId="0" fontId="26" numFmtId="168" xfId="0" applyAlignment="1" applyBorder="1" applyFont="1" applyNumberFormat="1">
      <alignment horizontal="right" readingOrder="0" vertical="center"/>
    </xf>
    <xf borderId="19" fillId="0" fontId="26" numFmtId="168" xfId="0" applyAlignment="1" applyBorder="1" applyFont="1" applyNumberFormat="1">
      <alignment horizontal="right" readingOrder="0" vertical="center"/>
    </xf>
    <xf borderId="18" fillId="12" fontId="27" numFmtId="0" xfId="0" applyBorder="1" applyFont="1"/>
    <xf borderId="18" fillId="12" fontId="27" numFmtId="168" xfId="0" applyAlignment="1" applyBorder="1" applyFont="1" applyNumberFormat="1">
      <alignment horizontal="right"/>
    </xf>
    <xf borderId="19" fillId="12" fontId="27" numFmtId="168" xfId="0" applyAlignment="1" applyBorder="1" applyFont="1" applyNumberFormat="1">
      <alignment horizontal="right"/>
    </xf>
    <xf borderId="20" fillId="14" fontId="28" numFmtId="0" xfId="0" applyAlignment="1" applyBorder="1" applyFill="1" applyFont="1">
      <alignment vertical="bottom"/>
    </xf>
    <xf borderId="20" fillId="8" fontId="29" numFmtId="166" xfId="0" applyAlignment="1" applyBorder="1" applyFont="1" applyNumberFormat="1">
      <alignment horizontal="right" readingOrder="0" vertical="bottom"/>
    </xf>
    <xf borderId="20" fillId="0" fontId="28" numFmtId="168" xfId="0" applyAlignment="1" applyBorder="1" applyFont="1" applyNumberFormat="1">
      <alignment horizontal="right" vertical="bottom"/>
    </xf>
    <xf borderId="0" fillId="14" fontId="28" numFmtId="0" xfId="0" applyAlignment="1" applyFont="1">
      <alignment vertical="bottom"/>
    </xf>
    <xf borderId="0" fillId="8" fontId="29" numFmtId="166" xfId="0" applyAlignment="1" applyFont="1" applyNumberFormat="1">
      <alignment horizontal="right" readingOrder="0" vertical="bottom"/>
    </xf>
    <xf borderId="0" fillId="0" fontId="28" numFmtId="168" xfId="0" applyAlignment="1" applyFont="1" applyNumberFormat="1">
      <alignment horizontal="right" vertical="bottom"/>
    </xf>
    <xf borderId="21" fillId="14" fontId="28" numFmtId="0" xfId="0" applyAlignment="1" applyBorder="1" applyFont="1">
      <alignment vertical="bottom"/>
    </xf>
    <xf borderId="21" fillId="8" fontId="28" numFmtId="166" xfId="0" applyAlignment="1" applyBorder="1" applyFont="1" applyNumberFormat="1">
      <alignment vertical="bottom"/>
    </xf>
    <xf borderId="21" fillId="0" fontId="28" numFmtId="168" xfId="0" applyAlignment="1" applyBorder="1" applyFont="1" applyNumberFormat="1">
      <alignment horizontal="right" vertical="bottom"/>
    </xf>
    <xf borderId="17" fillId="0" fontId="4" numFmtId="0" xfId="0" applyAlignment="1" applyBorder="1" applyFont="1">
      <alignment readingOrder="0"/>
    </xf>
    <xf borderId="18" fillId="0" fontId="4" numFmtId="166" xfId="0" applyBorder="1" applyFont="1" applyNumberFormat="1"/>
    <xf borderId="18" fillId="0" fontId="4" numFmtId="168" xfId="0" applyAlignment="1" applyBorder="1" applyFont="1" applyNumberFormat="1">
      <alignment horizontal="right"/>
    </xf>
    <xf borderId="19" fillId="0" fontId="4" numFmtId="168" xfId="0" applyAlignment="1" applyBorder="1" applyFont="1" applyNumberFormat="1">
      <alignment horizontal="right"/>
    </xf>
    <xf borderId="17" fillId="0" fontId="2" numFmtId="0" xfId="0" applyAlignment="1" applyBorder="1" applyFont="1">
      <alignment readingOrder="0"/>
    </xf>
    <xf borderId="18" fillId="0" fontId="2" numFmtId="166" xfId="0" applyBorder="1" applyFont="1" applyNumberFormat="1"/>
    <xf borderId="18" fillId="0" fontId="2" numFmtId="168" xfId="0" applyAlignment="1" applyBorder="1" applyFont="1" applyNumberFormat="1">
      <alignment horizontal="right"/>
    </xf>
    <xf borderId="19" fillId="0" fontId="2" numFmtId="168" xfId="0" applyAlignment="1" applyBorder="1" applyFont="1" applyNumberFormat="1">
      <alignment horizontal="right"/>
    </xf>
    <xf borderId="18" fillId="0" fontId="4" numFmtId="10" xfId="0" applyBorder="1" applyFont="1" applyNumberFormat="1"/>
    <xf borderId="18" fillId="12" fontId="21" numFmtId="166" xfId="0" applyBorder="1" applyFont="1" applyNumberFormat="1"/>
    <xf borderId="18" fillId="12" fontId="21" numFmtId="168" xfId="0" applyAlignment="1" applyBorder="1" applyFont="1" applyNumberFormat="1">
      <alignment horizontal="right"/>
    </xf>
    <xf borderId="19" fillId="12" fontId="21" numFmtId="168" xfId="0" applyAlignment="1" applyBorder="1" applyFont="1" applyNumberFormat="1">
      <alignment horizontal="right"/>
    </xf>
    <xf borderId="0" fillId="14" fontId="2" numFmtId="0" xfId="0" applyAlignment="1" applyFont="1">
      <alignment readingOrder="0"/>
    </xf>
    <xf borderId="0" fillId="0" fontId="2" numFmtId="168" xfId="0" applyAlignment="1" applyFont="1" applyNumberFormat="1">
      <alignment horizontal="right" readingOrder="0"/>
    </xf>
    <xf borderId="0" fillId="0" fontId="2" numFmtId="168" xfId="0" applyAlignment="1" applyFont="1" applyNumberFormat="1">
      <alignment horizontal="right" readingOrder="0"/>
    </xf>
    <xf borderId="0" fillId="8" fontId="29" numFmtId="166" xfId="0" applyAlignment="1" applyFont="1" applyNumberFormat="1">
      <alignment horizontal="right" vertical="bottom"/>
    </xf>
    <xf borderId="0" fillId="8" fontId="28" numFmtId="166" xfId="0" applyAlignment="1" applyFont="1" applyNumberFormat="1">
      <alignment vertical="bottom"/>
    </xf>
    <xf borderId="0" fillId="8" fontId="29" numFmtId="168" xfId="0" applyAlignment="1" applyFont="1" applyNumberFormat="1">
      <alignment horizontal="right" readingOrder="0" vertical="bottom"/>
    </xf>
    <xf borderId="0" fillId="8" fontId="29" numFmtId="168" xfId="0" applyAlignment="1" applyFont="1" applyNumberFormat="1">
      <alignment horizontal="right" vertical="bottom"/>
    </xf>
    <xf borderId="0" fillId="0" fontId="2" numFmtId="0" xfId="0" applyAlignment="1" applyFont="1">
      <alignment horizontal="right"/>
    </xf>
    <xf borderId="0" fillId="0" fontId="2" numFmtId="168" xfId="0" applyAlignment="1" applyFont="1" applyNumberFormat="1">
      <alignment horizontal="right"/>
    </xf>
    <xf borderId="22" fillId="0" fontId="30" numFmtId="166" xfId="0" applyAlignment="1" applyBorder="1" applyFont="1" applyNumberFormat="1">
      <alignment readingOrder="0" vertical="center"/>
    </xf>
    <xf borderId="23" fillId="0" fontId="26" numFmtId="166" xfId="0" applyAlignment="1" applyBorder="1" applyFont="1" applyNumberFormat="1">
      <alignment vertical="center"/>
    </xf>
    <xf borderId="23" fillId="0" fontId="30" numFmtId="166" xfId="0" applyAlignment="1" applyBorder="1" applyFont="1" applyNumberFormat="1">
      <alignment horizontal="right" vertical="center"/>
    </xf>
    <xf borderId="22" fillId="0" fontId="26" numFmtId="0" xfId="0" applyAlignment="1" applyBorder="1" applyFont="1">
      <alignment readingOrder="0" vertical="center"/>
    </xf>
    <xf borderId="23" fillId="0" fontId="26" numFmtId="10" xfId="0" applyAlignment="1" applyBorder="1" applyFont="1" applyNumberFormat="1">
      <alignment vertical="center"/>
    </xf>
  </cellXfs>
  <cellStyles count="1">
    <cellStyle xfId="0" name="Normal" builtinId="0"/>
  </cellStyles>
  <dxfs count="2"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Fluxo de Caixa</a:t>
            </a:r>
          </a:p>
        </c:rich>
      </c:tx>
      <c:overlay val="0"/>
    </c:title>
    <c:plotArea>
      <c:layout/>
      <c:areaChart>
        <c:ser>
          <c:idx val="0"/>
          <c:order val="0"/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val>
            <c:numRef>
              <c:f>DRE!$C$33:$Z$33</c:f>
              <c:numCache/>
            </c:numRef>
          </c:val>
        </c:ser>
        <c:axId val="312468002"/>
        <c:axId val="1797237043"/>
      </c:areaChart>
      <c:catAx>
        <c:axId val="3124680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797237043"/>
      </c:catAx>
      <c:valAx>
        <c:axId val="17972370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31246800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34</xdr:row>
      <xdr:rowOff>28575</xdr:rowOff>
    </xdr:from>
    <xdr:ext cx="5991225" cy="27622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3">
      <c r="A3" s="2" t="s">
        <v>1</v>
      </c>
    </row>
    <row r="4">
      <c r="H4" s="3">
        <v>1.5776938E7</v>
      </c>
    </row>
    <row r="5">
      <c r="A5" s="4" t="s">
        <v>2</v>
      </c>
      <c r="H5" s="5"/>
    </row>
    <row r="6">
      <c r="A6" s="6" t="s">
        <v>3</v>
      </c>
      <c r="H6" s="5"/>
    </row>
    <row r="8">
      <c r="A8" s="6" t="s">
        <v>4</v>
      </c>
    </row>
    <row r="10">
      <c r="A10" s="6" t="s">
        <v>5</v>
      </c>
    </row>
    <row r="12">
      <c r="A12" s="6" t="s">
        <v>6</v>
      </c>
    </row>
    <row r="19">
      <c r="A19" s="7" t="s">
        <v>7</v>
      </c>
      <c r="B19" s="8"/>
      <c r="C19" s="7" t="s">
        <v>8</v>
      </c>
      <c r="D19" s="7" t="s">
        <v>9</v>
      </c>
      <c r="E19" s="7" t="s">
        <v>10</v>
      </c>
      <c r="F19" s="8"/>
      <c r="G19" s="7" t="s">
        <v>11</v>
      </c>
      <c r="H19" s="7" t="s">
        <v>12</v>
      </c>
      <c r="I19" s="7" t="s">
        <v>13</v>
      </c>
      <c r="J19" s="7" t="s">
        <v>14</v>
      </c>
      <c r="K19" s="7" t="s">
        <v>15</v>
      </c>
      <c r="L19" s="7" t="s">
        <v>16</v>
      </c>
      <c r="M19" s="7" t="s">
        <v>17</v>
      </c>
      <c r="N19" s="7" t="s">
        <v>18</v>
      </c>
      <c r="O19" s="7" t="s">
        <v>19</v>
      </c>
      <c r="P19" s="8"/>
      <c r="Q19" s="7" t="s">
        <v>20</v>
      </c>
      <c r="R19" s="7" t="s">
        <v>21</v>
      </c>
      <c r="S19" s="7" t="s">
        <v>22</v>
      </c>
      <c r="T19" s="7" t="s">
        <v>23</v>
      </c>
      <c r="U19" s="7" t="s">
        <v>24</v>
      </c>
      <c r="V19" s="8"/>
      <c r="W19" s="7" t="s">
        <v>25</v>
      </c>
      <c r="X19" s="7" t="s">
        <v>26</v>
      </c>
      <c r="Y19" s="7" t="s">
        <v>27</v>
      </c>
      <c r="Z19" s="7" t="s">
        <v>28</v>
      </c>
      <c r="AA19" s="7" t="s">
        <v>29</v>
      </c>
      <c r="AB19" s="7" t="s">
        <v>30</v>
      </c>
      <c r="AC19" s="7" t="s">
        <v>31</v>
      </c>
      <c r="AD19" s="7" t="s">
        <v>32</v>
      </c>
      <c r="AE19" s="7" t="s">
        <v>33</v>
      </c>
      <c r="AF19" s="7" t="s">
        <v>34</v>
      </c>
      <c r="AG19" s="7" t="s">
        <v>35</v>
      </c>
      <c r="AH19" s="8"/>
      <c r="AI19" s="8"/>
      <c r="AJ19" s="7" t="s">
        <v>36</v>
      </c>
      <c r="AK19" s="7" t="s">
        <v>37</v>
      </c>
      <c r="AL19" s="7" t="s">
        <v>38</v>
      </c>
      <c r="AM19" s="8"/>
      <c r="AN19" s="7" t="s">
        <v>39</v>
      </c>
      <c r="AO19" s="7" t="s">
        <v>40</v>
      </c>
      <c r="AP19" s="7" t="s">
        <v>41</v>
      </c>
      <c r="AQ19" s="7" t="s">
        <v>42</v>
      </c>
      <c r="AR19" s="7" t="s">
        <v>43</v>
      </c>
      <c r="AS19" s="7" t="s">
        <v>44</v>
      </c>
      <c r="AT19" s="7" t="s">
        <v>45</v>
      </c>
      <c r="AU19" s="7" t="s">
        <v>46</v>
      </c>
      <c r="AV19" s="7" t="s">
        <v>47</v>
      </c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</row>
    <row r="20" hidden="1">
      <c r="A20" s="4" t="s">
        <v>48</v>
      </c>
      <c r="C20" s="4" t="s">
        <v>49</v>
      </c>
      <c r="D20" s="4" t="s">
        <v>50</v>
      </c>
      <c r="E20" s="4" t="s">
        <v>51</v>
      </c>
      <c r="G20" s="4" t="s">
        <v>52</v>
      </c>
      <c r="H20" s="4" t="s">
        <v>53</v>
      </c>
      <c r="I20" s="4" t="s">
        <v>54</v>
      </c>
      <c r="J20" s="4" t="s">
        <v>55</v>
      </c>
      <c r="K20" s="4" t="s">
        <v>56</v>
      </c>
      <c r="L20" s="4" t="s">
        <v>57</v>
      </c>
      <c r="M20" s="4" t="s">
        <v>58</v>
      </c>
      <c r="N20" s="4" t="s">
        <v>59</v>
      </c>
      <c r="O20" s="4" t="s">
        <v>60</v>
      </c>
      <c r="Q20" s="4" t="s">
        <v>61</v>
      </c>
      <c r="R20" s="4" t="s">
        <v>62</v>
      </c>
      <c r="S20" s="4" t="s">
        <v>63</v>
      </c>
      <c r="T20" s="4" t="s">
        <v>64</v>
      </c>
      <c r="U20" s="4" t="s">
        <v>65</v>
      </c>
      <c r="W20" s="4" t="s">
        <v>66</v>
      </c>
      <c r="X20" s="4" t="s">
        <v>67</v>
      </c>
      <c r="Y20" s="4" t="s">
        <v>68</v>
      </c>
      <c r="Z20" s="4" t="s">
        <v>69</v>
      </c>
      <c r="AA20" s="4" t="s">
        <v>70</v>
      </c>
      <c r="AB20" s="4" t="s">
        <v>71</v>
      </c>
      <c r="AC20" s="4" t="s">
        <v>72</v>
      </c>
      <c r="AD20" s="4" t="s">
        <v>73</v>
      </c>
      <c r="AE20" s="4" t="s">
        <v>74</v>
      </c>
      <c r="AF20" s="4" t="s">
        <v>75</v>
      </c>
      <c r="AG20" s="4" t="s">
        <v>76</v>
      </c>
      <c r="AJ20" s="4" t="s">
        <v>77</v>
      </c>
      <c r="AK20" s="4" t="s">
        <v>78</v>
      </c>
      <c r="AL20" s="4" t="s">
        <v>79</v>
      </c>
      <c r="AN20" s="4" t="s">
        <v>80</v>
      </c>
      <c r="AO20" s="4" t="s">
        <v>81</v>
      </c>
      <c r="AP20" s="4" t="s">
        <v>82</v>
      </c>
      <c r="AQ20" s="4" t="s">
        <v>83</v>
      </c>
      <c r="AR20" s="4" t="s">
        <v>84</v>
      </c>
      <c r="AS20" s="4" t="s">
        <v>85</v>
      </c>
      <c r="AT20" s="4" t="s">
        <v>86</v>
      </c>
      <c r="AU20" s="4" t="s">
        <v>87</v>
      </c>
      <c r="AV20" s="4" t="s">
        <v>88</v>
      </c>
    </row>
    <row r="21">
      <c r="A21" s="9" t="s">
        <v>89</v>
      </c>
      <c r="B21" s="10"/>
      <c r="C21" s="10"/>
      <c r="D21" s="9" t="str">
        <f>IFERROR(__xludf.DUMMYFUNCTION("ARRAY_CONSTRAIN(split(CELL(""ADDRESS"",zsupermetrics_cQax8sUZwqQRpXCLWOUCWaJRh5NIUM),""!""),1,1)"),"#REF!")</f>
        <v>#REF!</v>
      </c>
      <c r="E21" s="9" t="str">
        <f>CELL("ADDRESS",zsupermetrics_cQax8sUZwqQRpXCLWOUCWaJRh5NIUM)&amp;":"&amp;address(row(zsupermetrics_cQax8sUZwqQRpXCLWOUCWaJRh5NIUM)+rows(zsupermetrics_cQax8sUZwqQRpXCLWOUCWaJRh5NIUM)-1,column(zsupermetrics_cQax8sUZwqQRpXCLWOUCWaJRh5NIUM)+COLUMNS(zsupermetrics_cQax8sUZwqQRpXCLWOUCWaJRh5NIUM)-1)</f>
        <v>#REF!</v>
      </c>
      <c r="F21" s="10"/>
      <c r="G21" s="11">
        <v>43811.684432870374</v>
      </c>
      <c r="H21" s="11">
        <v>43829.220046296294</v>
      </c>
      <c r="I21" s="12" t="s">
        <v>90</v>
      </c>
      <c r="J21" s="13">
        <v>1.577693790348E12</v>
      </c>
      <c r="K21" s="9" t="b">
        <v>0</v>
      </c>
      <c r="L21" s="13">
        <v>13.0</v>
      </c>
      <c r="M21" s="9" t="s">
        <v>91</v>
      </c>
      <c r="N21" s="10"/>
      <c r="O21" s="9" t="s">
        <v>92</v>
      </c>
      <c r="P21" s="10"/>
      <c r="Q21" s="9" t="s">
        <v>93</v>
      </c>
      <c r="R21" s="14">
        <v>43435.0</v>
      </c>
      <c r="S21" s="14">
        <v>47603.0</v>
      </c>
      <c r="T21" s="10"/>
      <c r="U21" s="10"/>
      <c r="V21" s="10"/>
      <c r="W21" s="9" t="s">
        <v>94</v>
      </c>
      <c r="X21" s="9" t="s">
        <v>95</v>
      </c>
      <c r="Y21" s="9" t="s">
        <v>96</v>
      </c>
      <c r="Z21" s="9" t="s">
        <v>97</v>
      </c>
      <c r="AA21" s="9" t="s">
        <v>97</v>
      </c>
      <c r="AB21" s="9" t="s">
        <v>97</v>
      </c>
      <c r="AC21" s="10"/>
      <c r="AD21" s="9">
        <v>1000000.0</v>
      </c>
      <c r="AE21" s="10"/>
      <c r="AF21" s="9" t="s">
        <v>98</v>
      </c>
      <c r="AG21" s="9" t="s">
        <v>99</v>
      </c>
      <c r="AH21" s="10"/>
      <c r="AI21" s="10"/>
      <c r="AJ21" s="10"/>
      <c r="AK21" s="10"/>
      <c r="AL21" s="10"/>
      <c r="AM21" s="10"/>
      <c r="AN21" s="10"/>
      <c r="AO21" s="10"/>
      <c r="AP21" s="15" t="s">
        <v>100</v>
      </c>
      <c r="AQ21" s="10"/>
      <c r="AR21" s="10"/>
      <c r="AS21" s="10"/>
      <c r="AT21" s="10"/>
      <c r="AU21" s="9">
        <v>4.05486629798089E14</v>
      </c>
      <c r="AV21" s="10"/>
      <c r="AW21" s="10"/>
      <c r="AX21" s="10"/>
    </row>
    <row r="22">
      <c r="A22" s="9" t="s">
        <v>101</v>
      </c>
      <c r="B22" s="10"/>
      <c r="C22" s="10"/>
      <c r="D22" s="9" t="str">
        <f>IFERROR(__xludf.DUMMYFUNCTION("ARRAY_CONSTRAIN(split(CELL(""ADDRESS"",zsupermetrics_SMs7BncYC9Qqpecd3drQed4EKN1K36),""!""),1,1)"),"#REF!")</f>
        <v>#REF!</v>
      </c>
      <c r="E22" s="9" t="str">
        <f>CELL("ADDRESS",zsupermetrics_SMs7BncYC9Qqpecd3drQed4EKN1K36)&amp;":"&amp;address(row(zsupermetrics_SMs7BncYC9Qqpecd3drQed4EKN1K36)+rows(zsupermetrics_SMs7BncYC9Qqpecd3drQed4EKN1K36)-1,column(zsupermetrics_SMs7BncYC9Qqpecd3drQed4EKN1K36)+COLUMNS(zsupermetrics_SMs7BncYC9Qqpecd3drQed4EKN1K36)-1)</f>
        <v>#REF!</v>
      </c>
      <c r="F22" s="10"/>
      <c r="G22" s="11">
        <v>43811.68549768518</v>
      </c>
      <c r="H22" s="11">
        <v>43829.21996527778</v>
      </c>
      <c r="I22" s="12" t="s">
        <v>90</v>
      </c>
      <c r="J22" s="13">
        <v>1.577693792932E12</v>
      </c>
      <c r="K22" s="9" t="b">
        <v>0</v>
      </c>
      <c r="L22" s="13">
        <v>1.0</v>
      </c>
      <c r="M22" s="9" t="s">
        <v>91</v>
      </c>
      <c r="N22" s="10"/>
      <c r="O22" s="9" t="s">
        <v>102</v>
      </c>
      <c r="P22" s="10"/>
      <c r="Q22" s="9" t="s">
        <v>93</v>
      </c>
      <c r="R22" s="14">
        <v>42005.0</v>
      </c>
      <c r="S22" s="14">
        <v>47484.0</v>
      </c>
      <c r="T22" s="10"/>
      <c r="U22" s="10"/>
      <c r="V22" s="10"/>
      <c r="W22" s="9" t="s">
        <v>103</v>
      </c>
      <c r="X22" s="9" t="s">
        <v>104</v>
      </c>
      <c r="Y22" s="9" t="s">
        <v>105</v>
      </c>
      <c r="Z22" s="9" t="s">
        <v>97</v>
      </c>
      <c r="AA22" s="9" t="s">
        <v>97</v>
      </c>
      <c r="AB22" s="9" t="s">
        <v>97</v>
      </c>
      <c r="AC22" s="10"/>
      <c r="AD22" s="9">
        <v>1000000.0</v>
      </c>
      <c r="AE22" s="10"/>
      <c r="AF22" s="9" t="s">
        <v>106</v>
      </c>
      <c r="AG22" s="9" t="s">
        <v>99</v>
      </c>
      <c r="AH22" s="10"/>
      <c r="AI22" s="10"/>
      <c r="AJ22" s="10"/>
      <c r="AK22" s="10"/>
      <c r="AL22" s="10"/>
      <c r="AM22" s="10"/>
      <c r="AN22" s="10"/>
      <c r="AO22" s="10"/>
      <c r="AP22" s="15" t="s">
        <v>107</v>
      </c>
      <c r="AQ22" s="10"/>
      <c r="AR22" s="10"/>
      <c r="AS22" s="10"/>
      <c r="AT22" s="10"/>
      <c r="AU22" s="9">
        <v>5.541238582E9</v>
      </c>
      <c r="AV22" s="10"/>
      <c r="AW22" s="10"/>
      <c r="AX22" s="10"/>
    </row>
  </sheetData>
  <mergeCells count="4">
    <mergeCell ref="A6:G7"/>
    <mergeCell ref="A8:G9"/>
    <mergeCell ref="A10:G11"/>
    <mergeCell ref="A12:G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40.25"/>
    <col customWidth="1" min="3" max="3" width="15.88"/>
    <col customWidth="1" min="4" max="4" width="120.38"/>
    <col customWidth="1" min="5" max="5" width="4.38"/>
  </cols>
  <sheetData>
    <row r="1">
      <c r="A1" s="16"/>
      <c r="B1" s="16"/>
      <c r="C1" s="17"/>
      <c r="D1" s="18"/>
      <c r="E1" s="18"/>
    </row>
    <row r="2">
      <c r="A2" s="16"/>
      <c r="B2" s="19" t="s">
        <v>108</v>
      </c>
      <c r="C2" s="20" t="s">
        <v>109</v>
      </c>
      <c r="D2" s="21" t="s">
        <v>110</v>
      </c>
      <c r="E2" s="18"/>
    </row>
    <row r="3">
      <c r="A3" s="16"/>
      <c r="D3" s="21"/>
      <c r="E3" s="17"/>
    </row>
    <row r="4" ht="23.25" customHeight="1">
      <c r="A4" s="22"/>
      <c r="B4" s="22"/>
      <c r="C4" s="22"/>
      <c r="D4" s="22"/>
      <c r="E4" s="22"/>
    </row>
    <row r="5">
      <c r="A5" s="23"/>
      <c r="B5" s="24" t="s">
        <v>111</v>
      </c>
      <c r="C5" s="25">
        <v>1000.0</v>
      </c>
      <c r="D5" s="26"/>
      <c r="E5" s="27"/>
    </row>
    <row r="6" ht="23.25" customHeight="1">
      <c r="A6" s="22" t="s">
        <v>112</v>
      </c>
      <c r="B6" s="22" t="s">
        <v>113</v>
      </c>
      <c r="C6" s="28"/>
      <c r="D6" s="29"/>
      <c r="E6" s="29"/>
    </row>
    <row r="7">
      <c r="A7" s="30"/>
      <c r="B7" s="31" t="s">
        <v>114</v>
      </c>
      <c r="C7" s="32">
        <v>50.0</v>
      </c>
      <c r="D7" s="33" t="s">
        <v>115</v>
      </c>
      <c r="E7" s="34"/>
    </row>
    <row r="8">
      <c r="A8" s="30"/>
      <c r="B8" s="31" t="s">
        <v>116</v>
      </c>
      <c r="C8" s="32">
        <f>C5*0.1</f>
        <v>100</v>
      </c>
      <c r="D8" s="33" t="s">
        <v>117</v>
      </c>
      <c r="E8" s="34"/>
    </row>
    <row r="9">
      <c r="A9" s="35"/>
      <c r="B9" s="36" t="s">
        <v>118</v>
      </c>
      <c r="C9" s="32">
        <f>C5*0.3</f>
        <v>300</v>
      </c>
      <c r="D9" s="37" t="s">
        <v>119</v>
      </c>
      <c r="E9" s="38"/>
    </row>
    <row r="10">
      <c r="A10" s="35"/>
      <c r="B10" s="39" t="s">
        <v>120</v>
      </c>
      <c r="C10" s="40">
        <v>0.0</v>
      </c>
      <c r="D10" s="41" t="s">
        <v>121</v>
      </c>
      <c r="E10" s="38"/>
    </row>
    <row r="11">
      <c r="A11" s="35"/>
      <c r="B11" s="36" t="s">
        <v>122</v>
      </c>
      <c r="C11" s="42">
        <v>10.0</v>
      </c>
      <c r="D11" s="37" t="s">
        <v>123</v>
      </c>
      <c r="E11" s="38"/>
    </row>
    <row r="12">
      <c r="A12" s="43"/>
      <c r="B12" s="36" t="s">
        <v>124</v>
      </c>
      <c r="C12" s="44">
        <v>100.0</v>
      </c>
      <c r="D12" s="37" t="s">
        <v>125</v>
      </c>
      <c r="E12" s="45"/>
    </row>
    <row r="13" ht="21.0" customHeight="1">
      <c r="A13" s="46"/>
      <c r="B13" s="47" t="s">
        <v>126</v>
      </c>
      <c r="C13" s="48">
        <f>SUM(C7:C12)</f>
        <v>560</v>
      </c>
      <c r="D13" s="49"/>
      <c r="E13" s="50"/>
    </row>
    <row r="14" ht="21.0" customHeight="1">
      <c r="A14" s="51"/>
      <c r="B14" s="47" t="s">
        <v>127</v>
      </c>
      <c r="C14" s="48">
        <f>C5-C13</f>
        <v>440</v>
      </c>
      <c r="D14" s="49"/>
      <c r="E14" s="50"/>
    </row>
    <row r="15" ht="21.0" customHeight="1">
      <c r="A15" s="46"/>
      <c r="B15" s="47" t="s">
        <v>128</v>
      </c>
      <c r="C15" s="52">
        <f>C14/C5</f>
        <v>0.44</v>
      </c>
      <c r="D15" s="49"/>
      <c r="E15" s="50"/>
    </row>
    <row r="16">
      <c r="A16" s="22" t="s">
        <v>129</v>
      </c>
      <c r="B16" s="47" t="s">
        <v>130</v>
      </c>
      <c r="C16" s="53">
        <v>150.0</v>
      </c>
      <c r="D16" s="54" t="s">
        <v>131</v>
      </c>
      <c r="E16" s="50"/>
    </row>
    <row r="17" ht="23.25" customHeight="1">
      <c r="A17" s="22" t="s">
        <v>132</v>
      </c>
      <c r="B17" s="55" t="s">
        <v>133</v>
      </c>
      <c r="C17" s="56"/>
      <c r="D17" s="57"/>
      <c r="E17" s="38"/>
    </row>
    <row r="18">
      <c r="A18" s="23"/>
      <c r="B18" s="58" t="s">
        <v>134</v>
      </c>
      <c r="C18" s="59">
        <v>3500.0</v>
      </c>
      <c r="D18" s="60" t="s">
        <v>135</v>
      </c>
      <c r="E18" s="38"/>
    </row>
    <row r="19">
      <c r="A19" s="23"/>
      <c r="B19" s="58" t="s">
        <v>136</v>
      </c>
      <c r="C19" s="59">
        <v>200.0</v>
      </c>
      <c r="D19" s="37" t="s">
        <v>137</v>
      </c>
      <c r="E19" s="38"/>
    </row>
    <row r="20">
      <c r="A20" s="23"/>
      <c r="B20" s="58" t="s">
        <v>138</v>
      </c>
      <c r="C20" s="59">
        <v>0.0</v>
      </c>
      <c r="D20" s="37" t="s">
        <v>139</v>
      </c>
      <c r="E20" s="38"/>
    </row>
    <row r="21">
      <c r="A21" s="23"/>
      <c r="B21" s="58" t="s">
        <v>140</v>
      </c>
      <c r="C21" s="59">
        <v>4000.0</v>
      </c>
      <c r="D21" s="61" t="s">
        <v>141</v>
      </c>
      <c r="E21" s="62"/>
    </row>
    <row r="22">
      <c r="A22" s="23"/>
      <c r="B22" s="58" t="s">
        <v>142</v>
      </c>
      <c r="C22" s="59">
        <v>1000.0</v>
      </c>
      <c r="E22" s="62"/>
    </row>
    <row r="23">
      <c r="A23" s="23"/>
      <c r="B23" s="58" t="s">
        <v>143</v>
      </c>
      <c r="C23" s="59">
        <v>500.0</v>
      </c>
      <c r="E23" s="62"/>
    </row>
    <row r="24">
      <c r="A24" s="23"/>
      <c r="B24" s="58" t="s">
        <v>144</v>
      </c>
      <c r="C24" s="59">
        <v>300.0</v>
      </c>
      <c r="E24" s="62"/>
    </row>
    <row r="25">
      <c r="A25" s="23"/>
      <c r="B25" s="58" t="s">
        <v>145</v>
      </c>
      <c r="C25" s="59">
        <v>100.0</v>
      </c>
      <c r="E25" s="62"/>
    </row>
    <row r="26">
      <c r="A26" s="63"/>
      <c r="B26" s="58" t="s">
        <v>124</v>
      </c>
      <c r="C26" s="59">
        <v>0.0</v>
      </c>
      <c r="E26" s="64"/>
    </row>
    <row r="27">
      <c r="A27" s="65"/>
      <c r="B27" s="66" t="s">
        <v>146</v>
      </c>
      <c r="C27" s="67">
        <f>SUM(C18:C26)</f>
        <v>9600</v>
      </c>
      <c r="D27" s="68"/>
      <c r="E27" s="69"/>
    </row>
    <row r="28">
      <c r="A28" s="70"/>
      <c r="B28" s="71"/>
      <c r="C28" s="71"/>
      <c r="D28" s="71"/>
      <c r="E28" s="69"/>
    </row>
    <row r="29" ht="21.0" customHeight="1">
      <c r="A29" s="70" t="s">
        <v>147</v>
      </c>
      <c r="B29" s="72" t="s">
        <v>148</v>
      </c>
      <c r="C29" s="73">
        <f>IF(C16&gt;0,C16,C14*0.4)</f>
        <v>150</v>
      </c>
      <c r="D29" s="74" t="s">
        <v>149</v>
      </c>
      <c r="E29" s="69"/>
    </row>
    <row r="30">
      <c r="A30" s="70"/>
      <c r="B30" s="75" t="s">
        <v>150</v>
      </c>
      <c r="C30" s="76">
        <f>C27/(C14-C29)</f>
        <v>33.10344828</v>
      </c>
      <c r="D30" s="77" t="s">
        <v>151</v>
      </c>
      <c r="E30" s="78"/>
    </row>
    <row r="31">
      <c r="A31" s="70"/>
      <c r="B31" s="75" t="s">
        <v>152</v>
      </c>
      <c r="C31" s="79">
        <f>C29*C30</f>
        <v>4965.517241</v>
      </c>
      <c r="D31" s="77" t="s">
        <v>153</v>
      </c>
      <c r="E31" s="78"/>
    </row>
    <row r="32">
      <c r="A32" s="70"/>
      <c r="B32" s="75" t="s">
        <v>154</v>
      </c>
      <c r="C32" s="80">
        <f>(C30*C5)/C31</f>
        <v>6.666666667</v>
      </c>
      <c r="D32" s="81" t="s">
        <v>155</v>
      </c>
      <c r="E32" s="78"/>
    </row>
    <row r="33">
      <c r="A33" s="70"/>
      <c r="B33" s="75" t="s">
        <v>156</v>
      </c>
      <c r="C33" s="80">
        <f>((C30*C14)/C31)</f>
        <v>2.933333333</v>
      </c>
      <c r="D33" s="77" t="s">
        <v>157</v>
      </c>
      <c r="E33" s="78"/>
    </row>
    <row r="34">
      <c r="A34" s="70"/>
      <c r="B34" s="71"/>
      <c r="C34" s="71"/>
      <c r="D34" s="71"/>
      <c r="E34" s="69"/>
    </row>
  </sheetData>
  <mergeCells count="3">
    <mergeCell ref="B2:B3"/>
    <mergeCell ref="C2:C3"/>
    <mergeCell ref="D21:D2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40.25"/>
    <col customWidth="1" min="3" max="3" width="15.88"/>
    <col customWidth="1" min="4" max="4" width="120.38"/>
    <col customWidth="1" min="5" max="5" width="4.38"/>
  </cols>
  <sheetData>
    <row r="1">
      <c r="A1" s="16"/>
      <c r="B1" s="16"/>
      <c r="C1" s="17"/>
      <c r="D1" s="18"/>
      <c r="E1" s="18"/>
    </row>
    <row r="2">
      <c r="A2" s="16"/>
      <c r="B2" s="19" t="s">
        <v>158</v>
      </c>
      <c r="C2" s="20" t="s">
        <v>109</v>
      </c>
      <c r="D2" s="21" t="s">
        <v>110</v>
      </c>
      <c r="E2" s="18"/>
    </row>
    <row r="3">
      <c r="A3" s="16"/>
      <c r="D3" s="21"/>
      <c r="E3" s="17"/>
    </row>
    <row r="4" ht="23.25" customHeight="1">
      <c r="A4" s="22"/>
      <c r="B4" s="22"/>
      <c r="C4" s="22"/>
      <c r="D4" s="22"/>
      <c r="E4" s="22"/>
    </row>
    <row r="5">
      <c r="A5" s="23"/>
      <c r="B5" s="24" t="s">
        <v>111</v>
      </c>
      <c r="C5" s="25">
        <v>1000.0</v>
      </c>
      <c r="D5" s="26"/>
      <c r="E5" s="27"/>
    </row>
    <row r="6" ht="23.25" customHeight="1">
      <c r="A6" s="22" t="s">
        <v>112</v>
      </c>
      <c r="B6" s="22" t="s">
        <v>159</v>
      </c>
      <c r="C6" s="28"/>
      <c r="D6" s="29"/>
      <c r="E6" s="29"/>
    </row>
    <row r="7">
      <c r="A7" s="30"/>
      <c r="B7" s="31" t="s">
        <v>114</v>
      </c>
      <c r="C7" s="82">
        <v>700.0</v>
      </c>
      <c r="D7" s="33" t="s">
        <v>115</v>
      </c>
      <c r="E7" s="34"/>
    </row>
    <row r="8">
      <c r="A8" s="30"/>
      <c r="B8" s="31" t="s">
        <v>116</v>
      </c>
      <c r="C8" s="82">
        <v>0.0</v>
      </c>
      <c r="D8" s="33" t="s">
        <v>117</v>
      </c>
      <c r="E8" s="34"/>
    </row>
    <row r="9">
      <c r="A9" s="35"/>
      <c r="B9" s="36" t="s">
        <v>118</v>
      </c>
      <c r="C9" s="82">
        <v>0.0</v>
      </c>
      <c r="D9" s="37" t="s">
        <v>119</v>
      </c>
      <c r="E9" s="38"/>
    </row>
    <row r="10">
      <c r="A10" s="35"/>
      <c r="B10" s="39" t="s">
        <v>120</v>
      </c>
      <c r="C10" s="83">
        <v>0.0</v>
      </c>
      <c r="D10" s="41" t="s">
        <v>121</v>
      </c>
      <c r="E10" s="38"/>
    </row>
    <row r="11">
      <c r="A11" s="35"/>
      <c r="B11" s="36" t="s">
        <v>122</v>
      </c>
      <c r="C11" s="84">
        <v>0.0</v>
      </c>
      <c r="D11" s="37" t="s">
        <v>123</v>
      </c>
      <c r="E11" s="38"/>
    </row>
    <row r="12">
      <c r="A12" s="43"/>
      <c r="B12" s="36" t="s">
        <v>124</v>
      </c>
      <c r="C12" s="85">
        <v>0.0</v>
      </c>
      <c r="D12" s="37" t="s">
        <v>125</v>
      </c>
      <c r="E12" s="45"/>
    </row>
    <row r="13" ht="21.0" customHeight="1">
      <c r="A13" s="46"/>
      <c r="B13" s="86" t="s">
        <v>126</v>
      </c>
      <c r="C13" s="87">
        <f>SUM(C7:C12)</f>
        <v>700</v>
      </c>
      <c r="D13" s="88"/>
      <c r="E13" s="50"/>
    </row>
    <row r="14" ht="21.0" customHeight="1">
      <c r="A14" s="51"/>
      <c r="B14" s="86" t="s">
        <v>127</v>
      </c>
      <c r="C14" s="87">
        <f>C5-C13</f>
        <v>300</v>
      </c>
      <c r="D14" s="88"/>
      <c r="E14" s="50"/>
    </row>
    <row r="15" ht="21.0" customHeight="1">
      <c r="A15" s="46"/>
      <c r="B15" s="86" t="s">
        <v>128</v>
      </c>
      <c r="C15" s="89">
        <f>C14/C5</f>
        <v>0.3</v>
      </c>
      <c r="D15" s="88"/>
      <c r="E15" s="50"/>
    </row>
    <row r="16" ht="23.25" customHeight="1">
      <c r="A16" s="22" t="s">
        <v>132</v>
      </c>
      <c r="B16" s="55" t="s">
        <v>133</v>
      </c>
      <c r="C16" s="56"/>
      <c r="D16" s="57"/>
      <c r="E16" s="38"/>
    </row>
    <row r="17">
      <c r="A17" s="23"/>
      <c r="B17" s="58" t="s">
        <v>134</v>
      </c>
      <c r="C17" s="90">
        <v>3500.0</v>
      </c>
      <c r="D17" s="60" t="s">
        <v>135</v>
      </c>
      <c r="E17" s="38"/>
    </row>
    <row r="18">
      <c r="A18" s="23"/>
      <c r="B18" s="58" t="s">
        <v>136</v>
      </c>
      <c r="C18" s="90">
        <v>0.0</v>
      </c>
      <c r="D18" s="37" t="s">
        <v>137</v>
      </c>
      <c r="E18" s="38"/>
    </row>
    <row r="19">
      <c r="A19" s="23"/>
      <c r="B19" s="58" t="s">
        <v>138</v>
      </c>
      <c r="C19" s="90">
        <v>0.0</v>
      </c>
      <c r="D19" s="37" t="s">
        <v>139</v>
      </c>
      <c r="E19" s="38"/>
    </row>
    <row r="20">
      <c r="A20" s="23"/>
      <c r="B20" s="58" t="s">
        <v>140</v>
      </c>
      <c r="C20" s="90">
        <v>0.0</v>
      </c>
      <c r="D20" s="61" t="s">
        <v>141</v>
      </c>
      <c r="E20" s="62"/>
    </row>
    <row r="21">
      <c r="A21" s="23"/>
      <c r="B21" s="58" t="s">
        <v>142</v>
      </c>
      <c r="C21" s="90">
        <v>0.0</v>
      </c>
      <c r="E21" s="62"/>
    </row>
    <row r="22">
      <c r="A22" s="23"/>
      <c r="B22" s="58" t="s">
        <v>143</v>
      </c>
      <c r="C22" s="90">
        <v>0.0</v>
      </c>
      <c r="E22" s="62"/>
    </row>
    <row r="23">
      <c r="A23" s="23"/>
      <c r="B23" s="58" t="s">
        <v>144</v>
      </c>
      <c r="C23" s="90">
        <v>0.0</v>
      </c>
      <c r="E23" s="62"/>
    </row>
    <row r="24">
      <c r="A24" s="23"/>
      <c r="B24" s="58" t="s">
        <v>145</v>
      </c>
      <c r="C24" s="90">
        <v>0.0</v>
      </c>
      <c r="E24" s="62"/>
    </row>
    <row r="25">
      <c r="A25" s="63"/>
      <c r="B25" s="58" t="s">
        <v>124</v>
      </c>
      <c r="C25" s="90">
        <v>0.0</v>
      </c>
      <c r="D25" s="61"/>
      <c r="E25" s="64"/>
    </row>
    <row r="26">
      <c r="A26" s="65"/>
      <c r="B26" s="66" t="s">
        <v>146</v>
      </c>
      <c r="C26" s="91">
        <f>SUM(C17:C25)</f>
        <v>3500</v>
      </c>
      <c r="D26" s="68"/>
      <c r="E26" s="69"/>
    </row>
    <row r="27">
      <c r="A27" s="70"/>
      <c r="B27" s="71"/>
      <c r="C27" s="71"/>
      <c r="D27" s="71"/>
      <c r="E27" s="69"/>
    </row>
    <row r="28" ht="21.0" customHeight="1">
      <c r="A28" s="70" t="s">
        <v>147</v>
      </c>
      <c r="B28" s="92" t="s">
        <v>160</v>
      </c>
      <c r="C28" s="93">
        <f>C14*0.4</f>
        <v>120</v>
      </c>
      <c r="D28" s="74" t="s">
        <v>149</v>
      </c>
      <c r="E28" s="69"/>
    </row>
    <row r="29">
      <c r="A29" s="70"/>
      <c r="B29" s="94" t="s">
        <v>150</v>
      </c>
      <c r="C29" s="95">
        <f>C26/(C14-C28)</f>
        <v>19.44444444</v>
      </c>
      <c r="D29" s="77" t="s">
        <v>151</v>
      </c>
      <c r="E29" s="78"/>
    </row>
    <row r="30">
      <c r="A30" s="70"/>
      <c r="B30" s="94" t="s">
        <v>152</v>
      </c>
      <c r="C30" s="96">
        <f>C28*C29</f>
        <v>2333.333333</v>
      </c>
      <c r="D30" s="77" t="s">
        <v>153</v>
      </c>
      <c r="E30" s="78"/>
    </row>
    <row r="31">
      <c r="A31" s="70"/>
      <c r="B31" s="94" t="s">
        <v>154</v>
      </c>
      <c r="C31" s="97">
        <f>(C29*C5)/C30</f>
        <v>8.333333333</v>
      </c>
      <c r="D31" s="81" t="s">
        <v>155</v>
      </c>
      <c r="E31" s="78"/>
    </row>
    <row r="32">
      <c r="A32" s="70"/>
      <c r="B32" s="94" t="s">
        <v>156</v>
      </c>
      <c r="C32" s="97">
        <f>((C29*C14)/C30)</f>
        <v>2.5</v>
      </c>
      <c r="D32" s="77" t="s">
        <v>157</v>
      </c>
      <c r="E32" s="78"/>
    </row>
    <row r="33">
      <c r="A33" s="70"/>
      <c r="B33" s="71"/>
      <c r="C33" s="98"/>
      <c r="D33" s="71"/>
      <c r="E33" s="69"/>
    </row>
    <row r="34">
      <c r="A34" s="70" t="s">
        <v>161</v>
      </c>
      <c r="B34" s="92" t="s">
        <v>162</v>
      </c>
      <c r="C34" s="93">
        <f>C14*0.55</f>
        <v>165</v>
      </c>
      <c r="D34" s="74" t="s">
        <v>163</v>
      </c>
      <c r="E34" s="78"/>
    </row>
    <row r="35">
      <c r="A35" s="70"/>
      <c r="B35" s="94" t="s">
        <v>150</v>
      </c>
      <c r="C35" s="95">
        <f>C26/(C14-C34)</f>
        <v>25.92592593</v>
      </c>
      <c r="D35" s="77" t="s">
        <v>151</v>
      </c>
      <c r="E35" s="78"/>
    </row>
    <row r="36">
      <c r="A36" s="70"/>
      <c r="B36" s="94" t="s">
        <v>152</v>
      </c>
      <c r="C36" s="96">
        <f>C34*C35</f>
        <v>4277.777778</v>
      </c>
      <c r="D36" s="77" t="s">
        <v>164</v>
      </c>
      <c r="E36" s="78"/>
    </row>
    <row r="37">
      <c r="A37" s="70"/>
      <c r="B37" s="94" t="s">
        <v>154</v>
      </c>
      <c r="C37" s="97">
        <f>(C35*C5)/C36</f>
        <v>6.060606061</v>
      </c>
      <c r="D37" s="81" t="s">
        <v>165</v>
      </c>
      <c r="E37" s="78"/>
    </row>
    <row r="38">
      <c r="A38" s="70"/>
      <c r="B38" s="94" t="s">
        <v>156</v>
      </c>
      <c r="C38" s="97">
        <f>((C35*C14)/C36)</f>
        <v>1.818181818</v>
      </c>
      <c r="D38" s="77" t="s">
        <v>166</v>
      </c>
      <c r="E38" s="78"/>
    </row>
    <row r="39">
      <c r="A39" s="70"/>
      <c r="B39" s="71"/>
      <c r="C39" s="71"/>
      <c r="D39" s="71"/>
      <c r="E39" s="69"/>
    </row>
    <row r="40">
      <c r="A40" s="70"/>
      <c r="B40" s="99" t="s">
        <v>167</v>
      </c>
      <c r="C40" s="100">
        <f>C14</f>
        <v>300</v>
      </c>
      <c r="D40" s="74" t="s">
        <v>168</v>
      </c>
      <c r="E40" s="78"/>
    </row>
    <row r="41">
      <c r="A41" s="70"/>
      <c r="B41" s="71"/>
      <c r="C41" s="71"/>
      <c r="D41" s="71"/>
      <c r="E41" s="69"/>
    </row>
  </sheetData>
  <mergeCells count="3">
    <mergeCell ref="B2:B3"/>
    <mergeCell ref="C2:C3"/>
    <mergeCell ref="D20:D2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169</v>
      </c>
    </row>
    <row r="2">
      <c r="A2" s="4" t="s">
        <v>170</v>
      </c>
      <c r="B2" s="4" t="s">
        <v>99</v>
      </c>
    </row>
    <row r="3">
      <c r="A3" s="4" t="s">
        <v>171</v>
      </c>
    </row>
    <row r="4">
      <c r="A4" s="4" t="s">
        <v>172</v>
      </c>
      <c r="B4" s="4" t="s">
        <v>173</v>
      </c>
      <c r="C4" s="4" t="s">
        <v>174</v>
      </c>
      <c r="D4" s="4" t="s">
        <v>52</v>
      </c>
      <c r="E4" s="4" t="s">
        <v>53</v>
      </c>
      <c r="F4" s="4" t="s">
        <v>175</v>
      </c>
      <c r="G4" s="4" t="s">
        <v>176</v>
      </c>
      <c r="H4" s="4" t="s">
        <v>177</v>
      </c>
      <c r="I4" s="4" t="s">
        <v>178</v>
      </c>
      <c r="J4" s="4" t="s">
        <v>179</v>
      </c>
      <c r="K4" s="4" t="s">
        <v>180</v>
      </c>
      <c r="L4" s="4" t="s">
        <v>181</v>
      </c>
      <c r="M4" s="4" t="s">
        <v>182</v>
      </c>
      <c r="N4" s="4" t="s">
        <v>183</v>
      </c>
      <c r="O4" s="4" t="s">
        <v>184</v>
      </c>
      <c r="P4" s="4" t="s">
        <v>185</v>
      </c>
    </row>
    <row r="5">
      <c r="A5" s="4" t="s">
        <v>186</v>
      </c>
      <c r="B5" t="str">
        <f>LEFT(CELL("ADDRESS", #REF!), SEARCH("^^", SUBSTITUTE(CELL("ADDRESS", #REF!), "!", "^^", LEN(CELL("ADDRESS", #REF!))-LEN(SUBSTITUTE(CELL("ADDRESS", #REF!), "!", ""))))-1)</f>
        <v>#REF!</v>
      </c>
      <c r="C5" t="str">
        <f>ADDRESS(ROW(#REF!), COLUMN(#REF!)) &amp; ":" &amp; ADDRESS(ROW(#REF!)+ROWS(#REF!)-1, COLUMN(#REF!)+COLUMNS(#REF!)-1)</f>
        <v>#REF!</v>
      </c>
      <c r="D5" s="101">
        <v>43417.80307770833</v>
      </c>
      <c r="E5" s="101">
        <v>43417.80611346065</v>
      </c>
      <c r="I5" s="4" t="b">
        <v>1</v>
      </c>
      <c r="O5" s="4" t="s">
        <v>187</v>
      </c>
      <c r="P5" s="4" t="s">
        <v>188</v>
      </c>
      <c r="Q5" s="4" t="s">
        <v>189</v>
      </c>
      <c r="R5" s="102">
        <v>43405.0</v>
      </c>
      <c r="S5" s="4" t="s">
        <v>190</v>
      </c>
      <c r="T5" s="4" t="s">
        <v>189</v>
      </c>
      <c r="U5" s="102">
        <v>43417.0</v>
      </c>
      <c r="V5" s="4" t="s">
        <v>191</v>
      </c>
      <c r="W5" s="4" t="s">
        <v>192</v>
      </c>
      <c r="X5" s="4" t="s">
        <v>193</v>
      </c>
      <c r="Y5" s="4" t="s">
        <v>194</v>
      </c>
      <c r="Z5" s="4" t="s">
        <v>195</v>
      </c>
      <c r="AA5" s="4" t="s">
        <v>196</v>
      </c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33.88"/>
  </cols>
  <sheetData>
    <row r="1">
      <c r="A1" s="103" t="s">
        <v>197</v>
      </c>
      <c r="B1" s="104" t="s">
        <v>109</v>
      </c>
      <c r="C1" s="105" t="s">
        <v>198</v>
      </c>
      <c r="O1" s="106" t="s">
        <v>199</v>
      </c>
    </row>
    <row r="2">
      <c r="C2" s="107" t="s">
        <v>200</v>
      </c>
      <c r="D2" s="107" t="s">
        <v>201</v>
      </c>
      <c r="E2" s="107" t="s">
        <v>202</v>
      </c>
      <c r="F2" s="107" t="s">
        <v>203</v>
      </c>
      <c r="G2" s="107" t="s">
        <v>204</v>
      </c>
      <c r="H2" s="107" t="s">
        <v>205</v>
      </c>
      <c r="I2" s="107" t="s">
        <v>206</v>
      </c>
      <c r="J2" s="107" t="s">
        <v>207</v>
      </c>
      <c r="K2" s="107" t="s">
        <v>208</v>
      </c>
      <c r="L2" s="107" t="s">
        <v>209</v>
      </c>
      <c r="M2" s="107" t="s">
        <v>210</v>
      </c>
      <c r="N2" s="107" t="s">
        <v>211</v>
      </c>
      <c r="O2" s="107" t="s">
        <v>200</v>
      </c>
      <c r="P2" s="107" t="s">
        <v>201</v>
      </c>
      <c r="Q2" s="107" t="s">
        <v>202</v>
      </c>
      <c r="R2" s="107" t="s">
        <v>203</v>
      </c>
      <c r="S2" s="107" t="s">
        <v>204</v>
      </c>
      <c r="T2" s="107" t="s">
        <v>205</v>
      </c>
      <c r="U2" s="107" t="s">
        <v>206</v>
      </c>
      <c r="V2" s="107" t="s">
        <v>207</v>
      </c>
      <c r="W2" s="107" t="s">
        <v>208</v>
      </c>
      <c r="X2" s="107" t="s">
        <v>209</v>
      </c>
      <c r="Y2" s="107" t="s">
        <v>210</v>
      </c>
      <c r="Z2" s="107" t="s">
        <v>211</v>
      </c>
    </row>
    <row r="3" ht="23.25" customHeight="1">
      <c r="A3" s="108" t="s">
        <v>212</v>
      </c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1"/>
    </row>
    <row r="4">
      <c r="A4" s="4" t="s">
        <v>213</v>
      </c>
      <c r="B4" s="112">
        <v>10000.0</v>
      </c>
      <c r="C4" s="113">
        <f>B4+(B4*B5)</f>
        <v>16000</v>
      </c>
      <c r="D4" s="113">
        <f t="shared" ref="D4:E4" si="1">C4</f>
        <v>16000</v>
      </c>
      <c r="E4" s="113">
        <f t="shared" si="1"/>
        <v>16000</v>
      </c>
      <c r="F4" s="114">
        <f>E4+(E4*$B$5)</f>
        <v>25600</v>
      </c>
      <c r="G4" s="113">
        <f t="shared" ref="G4:H4" si="2">F4+(F4*G5)</f>
        <v>25600</v>
      </c>
      <c r="H4" s="113">
        <f t="shared" si="2"/>
        <v>25600</v>
      </c>
      <c r="I4" s="114">
        <f>H4+(H4*$B$5)</f>
        <v>40960</v>
      </c>
      <c r="J4" s="113">
        <f t="shared" ref="J4:K4" si="3">I4+(I4*J5)</f>
        <v>40960</v>
      </c>
      <c r="K4" s="113">
        <f t="shared" si="3"/>
        <v>40960</v>
      </c>
      <c r="L4" s="114">
        <f>K4+(K4*$B$5)</f>
        <v>65536</v>
      </c>
      <c r="M4" s="113">
        <f t="shared" ref="M4:N4" si="4">L4+(L4*M5)</f>
        <v>65536</v>
      </c>
      <c r="N4" s="113">
        <f t="shared" si="4"/>
        <v>65536</v>
      </c>
      <c r="O4" s="114">
        <f>N4+(N4*$B$5)</f>
        <v>104857.6</v>
      </c>
      <c r="P4" s="113">
        <f t="shared" ref="P4:Q4" si="5">O4+(O4*P5)</f>
        <v>104857.6</v>
      </c>
      <c r="Q4" s="113">
        <f t="shared" si="5"/>
        <v>104857.6</v>
      </c>
      <c r="R4" s="114">
        <f>Q4+(Q4*$B$5)</f>
        <v>167772.16</v>
      </c>
      <c r="S4" s="113">
        <f t="shared" ref="S4:T4" si="6">R4+(R4*S5)</f>
        <v>167772.16</v>
      </c>
      <c r="T4" s="113">
        <f t="shared" si="6"/>
        <v>167772.16</v>
      </c>
      <c r="U4" s="114">
        <f>T4+(T4*$B$5)</f>
        <v>268435.456</v>
      </c>
      <c r="V4" s="113">
        <f t="shared" ref="V4:W4" si="7">U4+(U4*V5)</f>
        <v>268435.456</v>
      </c>
      <c r="W4" s="113">
        <f t="shared" si="7"/>
        <v>268435.456</v>
      </c>
      <c r="X4" s="114">
        <f>W4+(W4*$B$5)</f>
        <v>429496.7296</v>
      </c>
      <c r="Y4" s="113">
        <f t="shared" ref="Y4:Z4" si="8">X4+(X4*Y5)</f>
        <v>429496.7296</v>
      </c>
      <c r="Z4" s="113">
        <f t="shared" si="8"/>
        <v>429496.7296</v>
      </c>
    </row>
    <row r="5">
      <c r="A5" s="4" t="s">
        <v>214</v>
      </c>
      <c r="B5" s="115">
        <v>0.6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>
      <c r="A6" s="117" t="s">
        <v>154</v>
      </c>
      <c r="B6" s="118">
        <v>9.0</v>
      </c>
      <c r="C6" s="119">
        <f>iferror(B6-(B6*B7))</f>
        <v>7.2</v>
      </c>
      <c r="D6" s="119">
        <f>C6</f>
        <v>7.2</v>
      </c>
      <c r="E6" s="119">
        <f>C6</f>
        <v>7.2</v>
      </c>
      <c r="F6" s="120">
        <f>iferror(E6-(E6*F7))</f>
        <v>6.48</v>
      </c>
      <c r="G6" s="119">
        <f>F6</f>
        <v>6.48</v>
      </c>
      <c r="H6" s="119">
        <f>F6</f>
        <v>6.48</v>
      </c>
      <c r="I6" s="120">
        <f>H6-(H6*I7)</f>
        <v>5.832</v>
      </c>
      <c r="J6" s="119">
        <f t="shared" ref="J6:K6" si="9">I6+(I6*J7)</f>
        <v>5.832</v>
      </c>
      <c r="K6" s="119">
        <f t="shared" si="9"/>
        <v>5.832</v>
      </c>
      <c r="L6" s="120">
        <f>K6-(K6*L7)</f>
        <v>5.2488</v>
      </c>
      <c r="M6" s="119">
        <f t="shared" ref="M6:N6" si="10">L6+(L6*M7)</f>
        <v>5.2488</v>
      </c>
      <c r="N6" s="119">
        <f t="shared" si="10"/>
        <v>5.2488</v>
      </c>
      <c r="O6" s="120">
        <f>N6-(N6*O7)</f>
        <v>4.72392</v>
      </c>
      <c r="P6" s="119">
        <f t="shared" ref="P6:Q6" si="11">O6+(O6*P7)</f>
        <v>4.72392</v>
      </c>
      <c r="Q6" s="119">
        <f t="shared" si="11"/>
        <v>4.72392</v>
      </c>
      <c r="R6" s="120">
        <f>Q6-(Q6*R7)</f>
        <v>4.251528</v>
      </c>
      <c r="S6" s="119">
        <f t="shared" ref="S6:T6" si="12">R6+(R6*S7)</f>
        <v>4.251528</v>
      </c>
      <c r="T6" s="119">
        <f t="shared" si="12"/>
        <v>4.251528</v>
      </c>
      <c r="U6" s="120">
        <f>T6-(T6*U7)</f>
        <v>3.8263752</v>
      </c>
      <c r="V6" s="119">
        <f t="shared" ref="V6:W6" si="13">U6+(U6*V7)</f>
        <v>3.8263752</v>
      </c>
      <c r="W6" s="119">
        <f t="shared" si="13"/>
        <v>3.8263752</v>
      </c>
      <c r="X6" s="120">
        <f>W6-(W6*X7)</f>
        <v>3.44373768</v>
      </c>
      <c r="Y6" s="119">
        <f t="shared" ref="Y6:Z6" si="14">X6+(X6*Y7)</f>
        <v>3.44373768</v>
      </c>
      <c r="Z6" s="121">
        <f t="shared" si="14"/>
        <v>3.44373768</v>
      </c>
    </row>
    <row r="7">
      <c r="A7" s="4" t="s">
        <v>215</v>
      </c>
      <c r="B7" s="122">
        <v>0.2</v>
      </c>
      <c r="C7" s="116"/>
      <c r="D7" s="116"/>
      <c r="E7" s="116"/>
      <c r="F7" s="115">
        <v>0.1</v>
      </c>
      <c r="G7" s="123"/>
      <c r="H7" s="123"/>
      <c r="I7" s="115">
        <v>0.1</v>
      </c>
      <c r="J7" s="123"/>
      <c r="K7" s="123"/>
      <c r="L7" s="115">
        <v>0.1</v>
      </c>
      <c r="M7" s="123"/>
      <c r="N7" s="123"/>
      <c r="O7" s="115">
        <v>0.1</v>
      </c>
      <c r="P7" s="123"/>
      <c r="Q7" s="123"/>
      <c r="R7" s="115">
        <v>0.1</v>
      </c>
      <c r="S7" s="123"/>
      <c r="T7" s="123"/>
      <c r="U7" s="115">
        <v>0.1</v>
      </c>
      <c r="V7" s="123"/>
      <c r="W7" s="123"/>
      <c r="X7" s="115">
        <v>0.1</v>
      </c>
      <c r="Y7" s="123"/>
      <c r="Z7" s="123"/>
    </row>
    <row r="8" ht="23.25" customHeight="1">
      <c r="A8" s="124" t="s">
        <v>216</v>
      </c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7"/>
    </row>
    <row r="9">
      <c r="A9" s="4" t="s">
        <v>217</v>
      </c>
      <c r="B9" s="128">
        <v>12.0</v>
      </c>
      <c r="C9" s="129">
        <f t="shared" ref="C9:Z9" si="15">iferror(C11/B13)</f>
        <v>13.824</v>
      </c>
      <c r="D9" s="129">
        <f t="shared" si="15"/>
        <v>13.824</v>
      </c>
      <c r="E9" s="129">
        <f t="shared" si="15"/>
        <v>13.824</v>
      </c>
      <c r="F9" s="129">
        <f t="shared" si="15"/>
        <v>19.90656</v>
      </c>
      <c r="G9" s="129">
        <f t="shared" si="15"/>
        <v>19.90656</v>
      </c>
      <c r="H9" s="129">
        <f t="shared" si="15"/>
        <v>19.90656</v>
      </c>
      <c r="I9" s="129">
        <f t="shared" si="15"/>
        <v>28.6654464</v>
      </c>
      <c r="J9" s="129">
        <f t="shared" si="15"/>
        <v>28.6654464</v>
      </c>
      <c r="K9" s="129">
        <f t="shared" si="15"/>
        <v>28.6654464</v>
      </c>
      <c r="L9" s="129">
        <f t="shared" si="15"/>
        <v>41.27824282</v>
      </c>
      <c r="M9" s="129">
        <f t="shared" si="15"/>
        <v>41.27824282</v>
      </c>
      <c r="N9" s="129">
        <f t="shared" si="15"/>
        <v>41.27824282</v>
      </c>
      <c r="O9" s="129">
        <f t="shared" si="15"/>
        <v>59.44066966</v>
      </c>
      <c r="P9" s="129">
        <f t="shared" si="15"/>
        <v>59.44066966</v>
      </c>
      <c r="Q9" s="129">
        <f t="shared" si="15"/>
        <v>59.44066966</v>
      </c>
      <c r="R9" s="129">
        <f t="shared" si="15"/>
        <v>85.5945643</v>
      </c>
      <c r="S9" s="129">
        <f t="shared" si="15"/>
        <v>85.5945643</v>
      </c>
      <c r="T9" s="129">
        <f t="shared" si="15"/>
        <v>85.5945643</v>
      </c>
      <c r="U9" s="129">
        <f t="shared" si="15"/>
        <v>123.2561726</v>
      </c>
      <c r="V9" s="129">
        <f t="shared" si="15"/>
        <v>123.2561726</v>
      </c>
      <c r="W9" s="129">
        <f t="shared" si="15"/>
        <v>123.2561726</v>
      </c>
      <c r="X9" s="129">
        <f t="shared" si="15"/>
        <v>177.4888885</v>
      </c>
      <c r="Y9" s="129">
        <f t="shared" si="15"/>
        <v>177.4888885</v>
      </c>
      <c r="Z9" s="129">
        <f t="shared" si="15"/>
        <v>177.4888885</v>
      </c>
    </row>
    <row r="10">
      <c r="A10" s="4" t="s">
        <v>218</v>
      </c>
      <c r="B10" s="128">
        <v>10.0</v>
      </c>
      <c r="C10" s="129">
        <f t="shared" ref="C10:Z10" si="16">IFERROR(B10/B9)*C9</f>
        <v>11.52</v>
      </c>
      <c r="D10" s="129">
        <f t="shared" si="16"/>
        <v>11.52</v>
      </c>
      <c r="E10" s="129">
        <f t="shared" si="16"/>
        <v>11.52</v>
      </c>
      <c r="F10" s="129">
        <f t="shared" si="16"/>
        <v>16.5888</v>
      </c>
      <c r="G10" s="129">
        <f t="shared" si="16"/>
        <v>16.5888</v>
      </c>
      <c r="H10" s="129">
        <f t="shared" si="16"/>
        <v>16.5888</v>
      </c>
      <c r="I10" s="129">
        <f t="shared" si="16"/>
        <v>23.887872</v>
      </c>
      <c r="J10" s="129">
        <f t="shared" si="16"/>
        <v>23.887872</v>
      </c>
      <c r="K10" s="129">
        <f t="shared" si="16"/>
        <v>23.887872</v>
      </c>
      <c r="L10" s="129">
        <f t="shared" si="16"/>
        <v>34.39853568</v>
      </c>
      <c r="M10" s="129">
        <f t="shared" si="16"/>
        <v>34.39853568</v>
      </c>
      <c r="N10" s="129">
        <f t="shared" si="16"/>
        <v>34.39853568</v>
      </c>
      <c r="O10" s="129">
        <f t="shared" si="16"/>
        <v>49.53389138</v>
      </c>
      <c r="P10" s="129">
        <f t="shared" si="16"/>
        <v>49.53389138</v>
      </c>
      <c r="Q10" s="129">
        <f t="shared" si="16"/>
        <v>49.53389138</v>
      </c>
      <c r="R10" s="129">
        <f t="shared" si="16"/>
        <v>71.32880359</v>
      </c>
      <c r="S10" s="129">
        <f t="shared" si="16"/>
        <v>71.32880359</v>
      </c>
      <c r="T10" s="129">
        <f t="shared" si="16"/>
        <v>71.32880359</v>
      </c>
      <c r="U10" s="129">
        <f t="shared" si="16"/>
        <v>102.7134772</v>
      </c>
      <c r="V10" s="129">
        <f t="shared" si="16"/>
        <v>102.7134772</v>
      </c>
      <c r="W10" s="129">
        <f t="shared" si="16"/>
        <v>102.7134772</v>
      </c>
      <c r="X10" s="129">
        <f t="shared" si="16"/>
        <v>147.9074071</v>
      </c>
      <c r="Y10" s="129">
        <f t="shared" si="16"/>
        <v>147.9074071</v>
      </c>
      <c r="Z10" s="129">
        <f t="shared" si="16"/>
        <v>147.9074071</v>
      </c>
    </row>
    <row r="11">
      <c r="A11" s="4" t="s">
        <v>219</v>
      </c>
      <c r="B11" s="112">
        <v>100000.0</v>
      </c>
      <c r="C11" s="130">
        <f t="shared" ref="C11:Z11" si="17">iferror(C6*C4)</f>
        <v>115200</v>
      </c>
      <c r="D11" s="130">
        <f t="shared" si="17"/>
        <v>115200</v>
      </c>
      <c r="E11" s="130">
        <f t="shared" si="17"/>
        <v>115200</v>
      </c>
      <c r="F11" s="130">
        <f t="shared" si="17"/>
        <v>165888</v>
      </c>
      <c r="G11" s="130">
        <f t="shared" si="17"/>
        <v>165888</v>
      </c>
      <c r="H11" s="130">
        <f t="shared" si="17"/>
        <v>165888</v>
      </c>
      <c r="I11" s="130">
        <f t="shared" si="17"/>
        <v>238878.72</v>
      </c>
      <c r="J11" s="130">
        <f t="shared" si="17"/>
        <v>238878.72</v>
      </c>
      <c r="K11" s="130">
        <f t="shared" si="17"/>
        <v>238878.72</v>
      </c>
      <c r="L11" s="130">
        <f t="shared" si="17"/>
        <v>343985.3568</v>
      </c>
      <c r="M11" s="130">
        <f t="shared" si="17"/>
        <v>343985.3568</v>
      </c>
      <c r="N11" s="130">
        <f t="shared" si="17"/>
        <v>343985.3568</v>
      </c>
      <c r="O11" s="130">
        <f t="shared" si="17"/>
        <v>495338.9138</v>
      </c>
      <c r="P11" s="130">
        <f t="shared" si="17"/>
        <v>495338.9138</v>
      </c>
      <c r="Q11" s="130">
        <f t="shared" si="17"/>
        <v>495338.9138</v>
      </c>
      <c r="R11" s="130">
        <f t="shared" si="17"/>
        <v>713288.0359</v>
      </c>
      <c r="S11" s="130">
        <f t="shared" si="17"/>
        <v>713288.0359</v>
      </c>
      <c r="T11" s="130">
        <f t="shared" si="17"/>
        <v>713288.0359</v>
      </c>
      <c r="U11" s="130">
        <f t="shared" si="17"/>
        <v>1027134.772</v>
      </c>
      <c r="V11" s="130">
        <f t="shared" si="17"/>
        <v>1027134.772</v>
      </c>
      <c r="W11" s="130">
        <f t="shared" si="17"/>
        <v>1027134.772</v>
      </c>
      <c r="X11" s="130">
        <f t="shared" si="17"/>
        <v>1479074.071</v>
      </c>
      <c r="Y11" s="130">
        <f t="shared" si="17"/>
        <v>1479074.071</v>
      </c>
      <c r="Z11" s="130">
        <f t="shared" si="17"/>
        <v>1479074.071</v>
      </c>
    </row>
    <row r="12">
      <c r="A12" s="4" t="s">
        <v>220</v>
      </c>
      <c r="B12" s="115">
        <v>0.0</v>
      </c>
      <c r="C12" s="131">
        <f t="shared" ref="C12:Z12" si="18">iferror(C11+(B11*$B$12))</f>
        <v>115200</v>
      </c>
      <c r="D12" s="131">
        <f t="shared" si="18"/>
        <v>115200</v>
      </c>
      <c r="E12" s="131">
        <f t="shared" si="18"/>
        <v>115200</v>
      </c>
      <c r="F12" s="131">
        <f t="shared" si="18"/>
        <v>165888</v>
      </c>
      <c r="G12" s="131">
        <f t="shared" si="18"/>
        <v>165888</v>
      </c>
      <c r="H12" s="131">
        <f t="shared" si="18"/>
        <v>165888</v>
      </c>
      <c r="I12" s="131">
        <f t="shared" si="18"/>
        <v>238878.72</v>
      </c>
      <c r="J12" s="131">
        <f t="shared" si="18"/>
        <v>238878.72</v>
      </c>
      <c r="K12" s="131">
        <f t="shared" si="18"/>
        <v>238878.72</v>
      </c>
      <c r="L12" s="131">
        <f t="shared" si="18"/>
        <v>343985.3568</v>
      </c>
      <c r="M12" s="131">
        <f t="shared" si="18"/>
        <v>343985.3568</v>
      </c>
      <c r="N12" s="131">
        <f t="shared" si="18"/>
        <v>343985.3568</v>
      </c>
      <c r="O12" s="131">
        <f t="shared" si="18"/>
        <v>495338.9138</v>
      </c>
      <c r="P12" s="131">
        <f t="shared" si="18"/>
        <v>495338.9138</v>
      </c>
      <c r="Q12" s="131">
        <f t="shared" si="18"/>
        <v>495338.9138</v>
      </c>
      <c r="R12" s="131">
        <f t="shared" si="18"/>
        <v>713288.0359</v>
      </c>
      <c r="S12" s="131">
        <f t="shared" si="18"/>
        <v>713288.0359</v>
      </c>
      <c r="T12" s="131">
        <f t="shared" si="18"/>
        <v>713288.0359</v>
      </c>
      <c r="U12" s="131">
        <f t="shared" si="18"/>
        <v>1027134.772</v>
      </c>
      <c r="V12" s="131">
        <f t="shared" si="18"/>
        <v>1027134.772</v>
      </c>
      <c r="W12" s="131">
        <f t="shared" si="18"/>
        <v>1027134.772</v>
      </c>
      <c r="X12" s="131">
        <f t="shared" si="18"/>
        <v>1479074.071</v>
      </c>
      <c r="Y12" s="131">
        <f t="shared" si="18"/>
        <v>1479074.071</v>
      </c>
      <c r="Z12" s="131">
        <f t="shared" si="18"/>
        <v>1479074.071</v>
      </c>
    </row>
    <row r="13" ht="21.0" customHeight="1">
      <c r="A13" s="132" t="s">
        <v>221</v>
      </c>
      <c r="B13" s="133">
        <f t="shared" ref="B13:Z13" si="19">iferror(B11/B9)</f>
        <v>8333.333333</v>
      </c>
      <c r="C13" s="134">
        <f t="shared" si="19"/>
        <v>8333.333333</v>
      </c>
      <c r="D13" s="134">
        <f t="shared" si="19"/>
        <v>8333.333333</v>
      </c>
      <c r="E13" s="134">
        <f t="shared" si="19"/>
        <v>8333.333333</v>
      </c>
      <c r="F13" s="134">
        <f t="shared" si="19"/>
        <v>8333.333333</v>
      </c>
      <c r="G13" s="134">
        <f t="shared" si="19"/>
        <v>8333.333333</v>
      </c>
      <c r="H13" s="134">
        <f t="shared" si="19"/>
        <v>8333.333333</v>
      </c>
      <c r="I13" s="134">
        <f t="shared" si="19"/>
        <v>8333.333333</v>
      </c>
      <c r="J13" s="134">
        <f t="shared" si="19"/>
        <v>8333.333333</v>
      </c>
      <c r="K13" s="134">
        <f t="shared" si="19"/>
        <v>8333.333333</v>
      </c>
      <c r="L13" s="134">
        <f t="shared" si="19"/>
        <v>8333.333333</v>
      </c>
      <c r="M13" s="134">
        <f t="shared" si="19"/>
        <v>8333.333333</v>
      </c>
      <c r="N13" s="134">
        <f t="shared" si="19"/>
        <v>8333.333333</v>
      </c>
      <c r="O13" s="134">
        <f t="shared" si="19"/>
        <v>8333.333333</v>
      </c>
      <c r="P13" s="134">
        <f t="shared" si="19"/>
        <v>8333.333333</v>
      </c>
      <c r="Q13" s="134">
        <f t="shared" si="19"/>
        <v>8333.333333</v>
      </c>
      <c r="R13" s="134">
        <f t="shared" si="19"/>
        <v>8333.333333</v>
      </c>
      <c r="S13" s="134">
        <f t="shared" si="19"/>
        <v>8333.333333</v>
      </c>
      <c r="T13" s="134">
        <f t="shared" si="19"/>
        <v>8333.333333</v>
      </c>
      <c r="U13" s="134">
        <f t="shared" si="19"/>
        <v>8333.333333</v>
      </c>
      <c r="V13" s="134">
        <f t="shared" si="19"/>
        <v>8333.333333</v>
      </c>
      <c r="W13" s="134">
        <f t="shared" si="19"/>
        <v>8333.333333</v>
      </c>
      <c r="X13" s="134">
        <f t="shared" si="19"/>
        <v>8333.333333</v>
      </c>
      <c r="Y13" s="134">
        <f t="shared" si="19"/>
        <v>8333.333333</v>
      </c>
      <c r="Z13" s="135">
        <f t="shared" si="19"/>
        <v>8333.333333</v>
      </c>
    </row>
    <row r="14" ht="23.25" customHeight="1">
      <c r="A14" s="124" t="s">
        <v>222</v>
      </c>
      <c r="B14" s="136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8"/>
    </row>
    <row r="15">
      <c r="A15" s="139" t="s">
        <v>114</v>
      </c>
      <c r="B15" s="140">
        <v>7000.0</v>
      </c>
      <c r="C15" s="141">
        <f t="shared" ref="C15:Z15" si="20">(B15/B9)*C9</f>
        <v>8064</v>
      </c>
      <c r="D15" s="141">
        <f t="shared" si="20"/>
        <v>8064</v>
      </c>
      <c r="E15" s="141">
        <f t="shared" si="20"/>
        <v>8064</v>
      </c>
      <c r="F15" s="141">
        <f t="shared" si="20"/>
        <v>11612.16</v>
      </c>
      <c r="G15" s="141">
        <f t="shared" si="20"/>
        <v>11612.16</v>
      </c>
      <c r="H15" s="141">
        <f t="shared" si="20"/>
        <v>11612.16</v>
      </c>
      <c r="I15" s="141">
        <f t="shared" si="20"/>
        <v>16721.5104</v>
      </c>
      <c r="J15" s="141">
        <f t="shared" si="20"/>
        <v>16721.5104</v>
      </c>
      <c r="K15" s="141">
        <f t="shared" si="20"/>
        <v>16721.5104</v>
      </c>
      <c r="L15" s="141">
        <f t="shared" si="20"/>
        <v>24078.97498</v>
      </c>
      <c r="M15" s="141">
        <f t="shared" si="20"/>
        <v>24078.97498</v>
      </c>
      <c r="N15" s="141">
        <f t="shared" si="20"/>
        <v>24078.97498</v>
      </c>
      <c r="O15" s="141">
        <f t="shared" si="20"/>
        <v>34673.72397</v>
      </c>
      <c r="P15" s="141">
        <f t="shared" si="20"/>
        <v>34673.72397</v>
      </c>
      <c r="Q15" s="141">
        <f t="shared" si="20"/>
        <v>34673.72397</v>
      </c>
      <c r="R15" s="141">
        <f t="shared" si="20"/>
        <v>49930.16251</v>
      </c>
      <c r="S15" s="141">
        <f t="shared" si="20"/>
        <v>49930.16251</v>
      </c>
      <c r="T15" s="141">
        <f t="shared" si="20"/>
        <v>49930.16251</v>
      </c>
      <c r="U15" s="141">
        <f t="shared" si="20"/>
        <v>71899.43401</v>
      </c>
      <c r="V15" s="141">
        <f t="shared" si="20"/>
        <v>71899.43401</v>
      </c>
      <c r="W15" s="141">
        <f t="shared" si="20"/>
        <v>71899.43401</v>
      </c>
      <c r="X15" s="141">
        <f t="shared" si="20"/>
        <v>103535.185</v>
      </c>
      <c r="Y15" s="141">
        <f t="shared" si="20"/>
        <v>103535.185</v>
      </c>
      <c r="Z15" s="141">
        <f t="shared" si="20"/>
        <v>103535.185</v>
      </c>
    </row>
    <row r="16">
      <c r="A16" s="142" t="s">
        <v>116</v>
      </c>
      <c r="B16" s="143">
        <v>10000.0</v>
      </c>
      <c r="C16" s="144">
        <f t="shared" ref="C16:C19" si="22">$C$12*(B16/$B$11)</f>
        <v>11520</v>
      </c>
      <c r="D16" s="144">
        <f t="shared" ref="D16:Z16" si="21">D12*(C16/C12)</f>
        <v>11520</v>
      </c>
      <c r="E16" s="144">
        <f t="shared" si="21"/>
        <v>11520</v>
      </c>
      <c r="F16" s="144">
        <f t="shared" si="21"/>
        <v>16588.8</v>
      </c>
      <c r="G16" s="144">
        <f t="shared" si="21"/>
        <v>16588.8</v>
      </c>
      <c r="H16" s="144">
        <f t="shared" si="21"/>
        <v>16588.8</v>
      </c>
      <c r="I16" s="144">
        <f t="shared" si="21"/>
        <v>23887.872</v>
      </c>
      <c r="J16" s="144">
        <f t="shared" si="21"/>
        <v>23887.872</v>
      </c>
      <c r="K16" s="144">
        <f t="shared" si="21"/>
        <v>23887.872</v>
      </c>
      <c r="L16" s="144">
        <f t="shared" si="21"/>
        <v>34398.53568</v>
      </c>
      <c r="M16" s="144">
        <f t="shared" si="21"/>
        <v>34398.53568</v>
      </c>
      <c r="N16" s="144">
        <f t="shared" si="21"/>
        <v>34398.53568</v>
      </c>
      <c r="O16" s="144">
        <f t="shared" si="21"/>
        <v>49533.89138</v>
      </c>
      <c r="P16" s="144">
        <f t="shared" si="21"/>
        <v>49533.89138</v>
      </c>
      <c r="Q16" s="144">
        <f t="shared" si="21"/>
        <v>49533.89138</v>
      </c>
      <c r="R16" s="144">
        <f t="shared" si="21"/>
        <v>71328.80359</v>
      </c>
      <c r="S16" s="144">
        <f t="shared" si="21"/>
        <v>71328.80359</v>
      </c>
      <c r="T16" s="144">
        <f t="shared" si="21"/>
        <v>71328.80359</v>
      </c>
      <c r="U16" s="144">
        <f t="shared" si="21"/>
        <v>102713.4772</v>
      </c>
      <c r="V16" s="144">
        <f t="shared" si="21"/>
        <v>102713.4772</v>
      </c>
      <c r="W16" s="144">
        <f t="shared" si="21"/>
        <v>102713.4772</v>
      </c>
      <c r="X16" s="144">
        <f t="shared" si="21"/>
        <v>147907.4071</v>
      </c>
      <c r="Y16" s="144">
        <f t="shared" si="21"/>
        <v>147907.4071</v>
      </c>
      <c r="Z16" s="144">
        <f t="shared" si="21"/>
        <v>147907.4071</v>
      </c>
    </row>
    <row r="17">
      <c r="A17" s="142" t="s">
        <v>223</v>
      </c>
      <c r="B17" s="143">
        <v>40000.0</v>
      </c>
      <c r="C17" s="144">
        <f t="shared" si="22"/>
        <v>46080</v>
      </c>
      <c r="D17" s="144">
        <f t="shared" ref="D17:Z17" si="23">(C17/C12)*D12</f>
        <v>46080</v>
      </c>
      <c r="E17" s="144">
        <f t="shared" si="23"/>
        <v>46080</v>
      </c>
      <c r="F17" s="144">
        <f t="shared" si="23"/>
        <v>66355.2</v>
      </c>
      <c r="G17" s="144">
        <f t="shared" si="23"/>
        <v>66355.2</v>
      </c>
      <c r="H17" s="144">
        <f t="shared" si="23"/>
        <v>66355.2</v>
      </c>
      <c r="I17" s="144">
        <f t="shared" si="23"/>
        <v>95551.488</v>
      </c>
      <c r="J17" s="144">
        <f t="shared" si="23"/>
        <v>95551.488</v>
      </c>
      <c r="K17" s="144">
        <f t="shared" si="23"/>
        <v>95551.488</v>
      </c>
      <c r="L17" s="144">
        <f t="shared" si="23"/>
        <v>137594.1427</v>
      </c>
      <c r="M17" s="144">
        <f t="shared" si="23"/>
        <v>137594.1427</v>
      </c>
      <c r="N17" s="144">
        <f t="shared" si="23"/>
        <v>137594.1427</v>
      </c>
      <c r="O17" s="144">
        <f t="shared" si="23"/>
        <v>198135.5655</v>
      </c>
      <c r="P17" s="144">
        <f t="shared" si="23"/>
        <v>198135.5655</v>
      </c>
      <c r="Q17" s="144">
        <f t="shared" si="23"/>
        <v>198135.5655</v>
      </c>
      <c r="R17" s="144">
        <f t="shared" si="23"/>
        <v>285315.2143</v>
      </c>
      <c r="S17" s="144">
        <f t="shared" si="23"/>
        <v>285315.2143</v>
      </c>
      <c r="T17" s="144">
        <f t="shared" si="23"/>
        <v>285315.2143</v>
      </c>
      <c r="U17" s="144">
        <f t="shared" si="23"/>
        <v>410853.9087</v>
      </c>
      <c r="V17" s="144">
        <f t="shared" si="23"/>
        <v>410853.9087</v>
      </c>
      <c r="W17" s="144">
        <f t="shared" si="23"/>
        <v>410853.9087</v>
      </c>
      <c r="X17" s="144">
        <f t="shared" si="23"/>
        <v>591629.6285</v>
      </c>
      <c r="Y17" s="144">
        <f t="shared" si="23"/>
        <v>591629.6285</v>
      </c>
      <c r="Z17" s="144">
        <f t="shared" si="23"/>
        <v>591629.6285</v>
      </c>
    </row>
    <row r="18">
      <c r="A18" s="142" t="s">
        <v>224</v>
      </c>
      <c r="B18" s="143">
        <v>10000.0</v>
      </c>
      <c r="C18" s="144">
        <f t="shared" si="22"/>
        <v>11520</v>
      </c>
      <c r="D18" s="144">
        <f t="shared" ref="D18:Z18" si="24">(C18/C12)*D12</f>
        <v>11520</v>
      </c>
      <c r="E18" s="144">
        <f t="shared" si="24"/>
        <v>11520</v>
      </c>
      <c r="F18" s="144">
        <f t="shared" si="24"/>
        <v>16588.8</v>
      </c>
      <c r="G18" s="144">
        <f t="shared" si="24"/>
        <v>16588.8</v>
      </c>
      <c r="H18" s="144">
        <f t="shared" si="24"/>
        <v>16588.8</v>
      </c>
      <c r="I18" s="144">
        <f t="shared" si="24"/>
        <v>23887.872</v>
      </c>
      <c r="J18" s="144">
        <f t="shared" si="24"/>
        <v>23887.872</v>
      </c>
      <c r="K18" s="144">
        <f t="shared" si="24"/>
        <v>23887.872</v>
      </c>
      <c r="L18" s="144">
        <f t="shared" si="24"/>
        <v>34398.53568</v>
      </c>
      <c r="M18" s="144">
        <f t="shared" si="24"/>
        <v>34398.53568</v>
      </c>
      <c r="N18" s="144">
        <f t="shared" si="24"/>
        <v>34398.53568</v>
      </c>
      <c r="O18" s="144">
        <f t="shared" si="24"/>
        <v>49533.89138</v>
      </c>
      <c r="P18" s="144">
        <f t="shared" si="24"/>
        <v>49533.89138</v>
      </c>
      <c r="Q18" s="144">
        <f t="shared" si="24"/>
        <v>49533.89138</v>
      </c>
      <c r="R18" s="144">
        <f t="shared" si="24"/>
        <v>71328.80359</v>
      </c>
      <c r="S18" s="144">
        <f t="shared" si="24"/>
        <v>71328.80359</v>
      </c>
      <c r="T18" s="144">
        <f t="shared" si="24"/>
        <v>71328.80359</v>
      </c>
      <c r="U18" s="144">
        <f t="shared" si="24"/>
        <v>102713.4772</v>
      </c>
      <c r="V18" s="144">
        <f t="shared" si="24"/>
        <v>102713.4772</v>
      </c>
      <c r="W18" s="144">
        <f t="shared" si="24"/>
        <v>102713.4772</v>
      </c>
      <c r="X18" s="144">
        <f t="shared" si="24"/>
        <v>147907.4071</v>
      </c>
      <c r="Y18" s="144">
        <f t="shared" si="24"/>
        <v>147907.4071</v>
      </c>
      <c r="Z18" s="144">
        <f t="shared" si="24"/>
        <v>147907.4071</v>
      </c>
    </row>
    <row r="19">
      <c r="A19" s="145" t="s">
        <v>225</v>
      </c>
      <c r="B19" s="146"/>
      <c r="C19" s="147">
        <f t="shared" si="22"/>
        <v>0</v>
      </c>
      <c r="D19" s="147">
        <f t="shared" ref="D19:Z19" si="25">(C19/C12)*D12</f>
        <v>0</v>
      </c>
      <c r="E19" s="147">
        <f t="shared" si="25"/>
        <v>0</v>
      </c>
      <c r="F19" s="147">
        <f t="shared" si="25"/>
        <v>0</v>
      </c>
      <c r="G19" s="147">
        <f t="shared" si="25"/>
        <v>0</v>
      </c>
      <c r="H19" s="147">
        <f t="shared" si="25"/>
        <v>0</v>
      </c>
      <c r="I19" s="147">
        <f t="shared" si="25"/>
        <v>0</v>
      </c>
      <c r="J19" s="147">
        <f t="shared" si="25"/>
        <v>0</v>
      </c>
      <c r="K19" s="147">
        <f t="shared" si="25"/>
        <v>0</v>
      </c>
      <c r="L19" s="147">
        <f t="shared" si="25"/>
        <v>0</v>
      </c>
      <c r="M19" s="147">
        <f t="shared" si="25"/>
        <v>0</v>
      </c>
      <c r="N19" s="147">
        <f t="shared" si="25"/>
        <v>0</v>
      </c>
      <c r="O19" s="147">
        <f t="shared" si="25"/>
        <v>0</v>
      </c>
      <c r="P19" s="147">
        <f t="shared" si="25"/>
        <v>0</v>
      </c>
      <c r="Q19" s="147">
        <f t="shared" si="25"/>
        <v>0</v>
      </c>
      <c r="R19" s="147">
        <f t="shared" si="25"/>
        <v>0</v>
      </c>
      <c r="S19" s="147">
        <f t="shared" si="25"/>
        <v>0</v>
      </c>
      <c r="T19" s="147">
        <f t="shared" si="25"/>
        <v>0</v>
      </c>
      <c r="U19" s="147">
        <f t="shared" si="25"/>
        <v>0</v>
      </c>
      <c r="V19" s="147">
        <f t="shared" si="25"/>
        <v>0</v>
      </c>
      <c r="W19" s="147">
        <f t="shared" si="25"/>
        <v>0</v>
      </c>
      <c r="X19" s="147">
        <f t="shared" si="25"/>
        <v>0</v>
      </c>
      <c r="Y19" s="147">
        <f t="shared" si="25"/>
        <v>0</v>
      </c>
      <c r="Z19" s="147">
        <f t="shared" si="25"/>
        <v>0</v>
      </c>
    </row>
    <row r="20" ht="21.0" customHeight="1">
      <c r="A20" s="148" t="s">
        <v>126</v>
      </c>
      <c r="B20" s="149">
        <f>SUM(B15:B19)</f>
        <v>67000</v>
      </c>
      <c r="C20" s="150">
        <f t="shared" ref="C20:Z20" si="26">iferror(SUM(C15:C19))</f>
        <v>77184</v>
      </c>
      <c r="D20" s="150">
        <f t="shared" si="26"/>
        <v>77184</v>
      </c>
      <c r="E20" s="150">
        <f t="shared" si="26"/>
        <v>77184</v>
      </c>
      <c r="F20" s="150">
        <f t="shared" si="26"/>
        <v>111144.96</v>
      </c>
      <c r="G20" s="150">
        <f t="shared" si="26"/>
        <v>111144.96</v>
      </c>
      <c r="H20" s="150">
        <f t="shared" si="26"/>
        <v>111144.96</v>
      </c>
      <c r="I20" s="150">
        <f t="shared" si="26"/>
        <v>160048.7424</v>
      </c>
      <c r="J20" s="150">
        <f t="shared" si="26"/>
        <v>160048.7424</v>
      </c>
      <c r="K20" s="150">
        <f t="shared" si="26"/>
        <v>160048.7424</v>
      </c>
      <c r="L20" s="150">
        <f t="shared" si="26"/>
        <v>230470.1891</v>
      </c>
      <c r="M20" s="150">
        <f t="shared" si="26"/>
        <v>230470.1891</v>
      </c>
      <c r="N20" s="150">
        <f t="shared" si="26"/>
        <v>230470.1891</v>
      </c>
      <c r="O20" s="150">
        <f t="shared" si="26"/>
        <v>331877.0722</v>
      </c>
      <c r="P20" s="150">
        <f t="shared" si="26"/>
        <v>331877.0722</v>
      </c>
      <c r="Q20" s="150">
        <f t="shared" si="26"/>
        <v>331877.0722</v>
      </c>
      <c r="R20" s="150">
        <f t="shared" si="26"/>
        <v>477902.984</v>
      </c>
      <c r="S20" s="150">
        <f t="shared" si="26"/>
        <v>477902.984</v>
      </c>
      <c r="T20" s="150">
        <f t="shared" si="26"/>
        <v>477902.984</v>
      </c>
      <c r="U20" s="150">
        <f t="shared" si="26"/>
        <v>688180.297</v>
      </c>
      <c r="V20" s="150">
        <f t="shared" si="26"/>
        <v>688180.297</v>
      </c>
      <c r="W20" s="150">
        <f t="shared" si="26"/>
        <v>688180.297</v>
      </c>
      <c r="X20" s="150">
        <f t="shared" si="26"/>
        <v>990979.6277</v>
      </c>
      <c r="Y20" s="150">
        <f t="shared" si="26"/>
        <v>990979.6277</v>
      </c>
      <c r="Z20" s="151">
        <f t="shared" si="26"/>
        <v>990979.6277</v>
      </c>
    </row>
    <row r="21" ht="21.0" customHeight="1">
      <c r="A21" s="152" t="s">
        <v>127</v>
      </c>
      <c r="B21" s="153">
        <f>B11-B20</f>
        <v>33000</v>
      </c>
      <c r="C21" s="154">
        <f t="shared" ref="C21:Z21" si="27">C12-C20</f>
        <v>38016</v>
      </c>
      <c r="D21" s="154">
        <f t="shared" si="27"/>
        <v>38016</v>
      </c>
      <c r="E21" s="154">
        <f t="shared" si="27"/>
        <v>38016</v>
      </c>
      <c r="F21" s="154">
        <f t="shared" si="27"/>
        <v>54743.04</v>
      </c>
      <c r="G21" s="154">
        <f t="shared" si="27"/>
        <v>54743.04</v>
      </c>
      <c r="H21" s="154">
        <f t="shared" si="27"/>
        <v>54743.04</v>
      </c>
      <c r="I21" s="154">
        <f t="shared" si="27"/>
        <v>78829.9776</v>
      </c>
      <c r="J21" s="154">
        <f t="shared" si="27"/>
        <v>78829.9776</v>
      </c>
      <c r="K21" s="154">
        <f t="shared" si="27"/>
        <v>78829.9776</v>
      </c>
      <c r="L21" s="154">
        <f t="shared" si="27"/>
        <v>113515.1677</v>
      </c>
      <c r="M21" s="154">
        <f t="shared" si="27"/>
        <v>113515.1677</v>
      </c>
      <c r="N21" s="154">
        <f t="shared" si="27"/>
        <v>113515.1677</v>
      </c>
      <c r="O21" s="154">
        <f t="shared" si="27"/>
        <v>163461.8416</v>
      </c>
      <c r="P21" s="154">
        <f t="shared" si="27"/>
        <v>163461.8416</v>
      </c>
      <c r="Q21" s="154">
        <f t="shared" si="27"/>
        <v>163461.8416</v>
      </c>
      <c r="R21" s="154">
        <f t="shared" si="27"/>
        <v>235385.0518</v>
      </c>
      <c r="S21" s="154">
        <f t="shared" si="27"/>
        <v>235385.0518</v>
      </c>
      <c r="T21" s="154">
        <f t="shared" si="27"/>
        <v>235385.0518</v>
      </c>
      <c r="U21" s="154">
        <f t="shared" si="27"/>
        <v>338954.4746</v>
      </c>
      <c r="V21" s="154">
        <f t="shared" si="27"/>
        <v>338954.4746</v>
      </c>
      <c r="W21" s="154">
        <f t="shared" si="27"/>
        <v>338954.4746</v>
      </c>
      <c r="X21" s="154">
        <f t="shared" si="27"/>
        <v>488094.4435</v>
      </c>
      <c r="Y21" s="154">
        <f t="shared" si="27"/>
        <v>488094.4435</v>
      </c>
      <c r="Z21" s="155">
        <f t="shared" si="27"/>
        <v>488094.4435</v>
      </c>
    </row>
    <row r="22" ht="21.0" customHeight="1">
      <c r="A22" s="148" t="s">
        <v>128</v>
      </c>
      <c r="B22" s="156">
        <f>iferror(B21/B11)</f>
        <v>0.33</v>
      </c>
      <c r="C22" s="156">
        <f t="shared" ref="C22:Z22" si="28">C21/C12</f>
        <v>0.33</v>
      </c>
      <c r="D22" s="156">
        <f t="shared" si="28"/>
        <v>0.33</v>
      </c>
      <c r="E22" s="156">
        <f t="shared" si="28"/>
        <v>0.33</v>
      </c>
      <c r="F22" s="156">
        <f t="shared" si="28"/>
        <v>0.33</v>
      </c>
      <c r="G22" s="156">
        <f t="shared" si="28"/>
        <v>0.33</v>
      </c>
      <c r="H22" s="156">
        <f t="shared" si="28"/>
        <v>0.33</v>
      </c>
      <c r="I22" s="156">
        <f t="shared" si="28"/>
        <v>0.33</v>
      </c>
      <c r="J22" s="156">
        <f t="shared" si="28"/>
        <v>0.33</v>
      </c>
      <c r="K22" s="156">
        <f t="shared" si="28"/>
        <v>0.33</v>
      </c>
      <c r="L22" s="156">
        <f t="shared" si="28"/>
        <v>0.33</v>
      </c>
      <c r="M22" s="156">
        <f t="shared" si="28"/>
        <v>0.33</v>
      </c>
      <c r="N22" s="156">
        <f t="shared" si="28"/>
        <v>0.33</v>
      </c>
      <c r="O22" s="156">
        <f t="shared" si="28"/>
        <v>0.33</v>
      </c>
      <c r="P22" s="156">
        <f t="shared" si="28"/>
        <v>0.33</v>
      </c>
      <c r="Q22" s="156">
        <f t="shared" si="28"/>
        <v>0.33</v>
      </c>
      <c r="R22" s="156">
        <f t="shared" si="28"/>
        <v>0.33</v>
      </c>
      <c r="S22" s="156">
        <f t="shared" si="28"/>
        <v>0.33</v>
      </c>
      <c r="T22" s="156">
        <f t="shared" si="28"/>
        <v>0.33</v>
      </c>
      <c r="U22" s="156">
        <f t="shared" si="28"/>
        <v>0.33</v>
      </c>
      <c r="V22" s="156">
        <f t="shared" si="28"/>
        <v>0.33</v>
      </c>
      <c r="W22" s="156">
        <f t="shared" si="28"/>
        <v>0.33</v>
      </c>
      <c r="X22" s="156">
        <f t="shared" si="28"/>
        <v>0.33</v>
      </c>
      <c r="Y22" s="156">
        <f t="shared" si="28"/>
        <v>0.33</v>
      </c>
      <c r="Z22" s="156">
        <f t="shared" si="28"/>
        <v>0.33</v>
      </c>
    </row>
    <row r="23" ht="23.25" customHeight="1">
      <c r="A23" s="124" t="s">
        <v>226</v>
      </c>
      <c r="B23" s="157">
        <f t="shared" ref="B23:Z23" si="29">SUM(B24:B30)</f>
        <v>29000</v>
      </c>
      <c r="C23" s="158">
        <f t="shared" si="29"/>
        <v>29000</v>
      </c>
      <c r="D23" s="158">
        <f t="shared" si="29"/>
        <v>29000</v>
      </c>
      <c r="E23" s="158">
        <f t="shared" si="29"/>
        <v>29000</v>
      </c>
      <c r="F23" s="158">
        <f t="shared" si="29"/>
        <v>29000</v>
      </c>
      <c r="G23" s="158">
        <f t="shared" si="29"/>
        <v>29000</v>
      </c>
      <c r="H23" s="158">
        <f t="shared" si="29"/>
        <v>29000</v>
      </c>
      <c r="I23" s="158">
        <f t="shared" si="29"/>
        <v>29000</v>
      </c>
      <c r="J23" s="158">
        <f t="shared" si="29"/>
        <v>29000</v>
      </c>
      <c r="K23" s="158">
        <f t="shared" si="29"/>
        <v>29000</v>
      </c>
      <c r="L23" s="158">
        <f t="shared" si="29"/>
        <v>29000</v>
      </c>
      <c r="M23" s="158">
        <f t="shared" si="29"/>
        <v>29000</v>
      </c>
      <c r="N23" s="158">
        <f t="shared" si="29"/>
        <v>29000</v>
      </c>
      <c r="O23" s="158">
        <f t="shared" si="29"/>
        <v>29000</v>
      </c>
      <c r="P23" s="158">
        <f t="shared" si="29"/>
        <v>29000</v>
      </c>
      <c r="Q23" s="158">
        <f t="shared" si="29"/>
        <v>29000</v>
      </c>
      <c r="R23" s="158">
        <f t="shared" si="29"/>
        <v>29000</v>
      </c>
      <c r="S23" s="158">
        <f t="shared" si="29"/>
        <v>29000</v>
      </c>
      <c r="T23" s="158">
        <f t="shared" si="29"/>
        <v>29000</v>
      </c>
      <c r="U23" s="158">
        <f t="shared" si="29"/>
        <v>29000</v>
      </c>
      <c r="V23" s="158">
        <f t="shared" si="29"/>
        <v>29000</v>
      </c>
      <c r="W23" s="158">
        <f t="shared" si="29"/>
        <v>29000</v>
      </c>
      <c r="X23" s="158">
        <f t="shared" si="29"/>
        <v>29000</v>
      </c>
      <c r="Y23" s="158">
        <f t="shared" si="29"/>
        <v>29000</v>
      </c>
      <c r="Z23" s="159">
        <f t="shared" si="29"/>
        <v>29000</v>
      </c>
    </row>
    <row r="24">
      <c r="A24" s="160" t="s">
        <v>227</v>
      </c>
      <c r="B24" s="140">
        <v>4000.0</v>
      </c>
      <c r="C24" s="161">
        <f t="shared" ref="C24:E24" si="30">B24</f>
        <v>4000</v>
      </c>
      <c r="D24" s="161">
        <f t="shared" si="30"/>
        <v>4000</v>
      </c>
      <c r="E24" s="161">
        <f t="shared" si="30"/>
        <v>4000</v>
      </c>
      <c r="F24" s="140">
        <v>4000.0</v>
      </c>
      <c r="G24" s="161">
        <f t="shared" ref="G24:I24" si="31">F24</f>
        <v>4000</v>
      </c>
      <c r="H24" s="161">
        <f t="shared" si="31"/>
        <v>4000</v>
      </c>
      <c r="I24" s="161">
        <f t="shared" si="31"/>
        <v>4000</v>
      </c>
      <c r="J24" s="140">
        <v>4000.0</v>
      </c>
      <c r="K24" s="161">
        <f t="shared" ref="K24:K30" si="37">J24</f>
        <v>4000</v>
      </c>
      <c r="L24" s="161">
        <f t="shared" ref="L24:L30" si="38">J24</f>
        <v>4000</v>
      </c>
      <c r="M24" s="161">
        <f t="shared" ref="M24:M30" si="39">J24</f>
        <v>4000</v>
      </c>
      <c r="N24" s="140">
        <v>4000.0</v>
      </c>
      <c r="O24" s="161">
        <f t="shared" ref="O24:Q24" si="32">N24</f>
        <v>4000</v>
      </c>
      <c r="P24" s="161">
        <f t="shared" si="32"/>
        <v>4000</v>
      </c>
      <c r="Q24" s="161">
        <f t="shared" si="32"/>
        <v>4000</v>
      </c>
      <c r="R24" s="140">
        <v>4000.0</v>
      </c>
      <c r="S24" s="161">
        <f t="shared" ref="S24:U24" si="33">R24</f>
        <v>4000</v>
      </c>
      <c r="T24" s="161">
        <f t="shared" si="33"/>
        <v>4000</v>
      </c>
      <c r="U24" s="161">
        <f t="shared" si="33"/>
        <v>4000</v>
      </c>
      <c r="V24" s="140">
        <v>4000.0</v>
      </c>
      <c r="W24" s="161">
        <f t="shared" ref="W24:Y24" si="34">V24</f>
        <v>4000</v>
      </c>
      <c r="X24" s="161">
        <f t="shared" si="34"/>
        <v>4000</v>
      </c>
      <c r="Y24" s="161">
        <f t="shared" si="34"/>
        <v>4000</v>
      </c>
      <c r="Z24" s="140">
        <v>4000.0</v>
      </c>
    </row>
    <row r="25">
      <c r="A25" s="160" t="s">
        <v>228</v>
      </c>
      <c r="B25" s="143">
        <v>20000.0</v>
      </c>
      <c r="C25" s="162">
        <f t="shared" ref="C25:E25" si="35">B25</f>
        <v>20000</v>
      </c>
      <c r="D25" s="162">
        <f t="shared" si="35"/>
        <v>20000</v>
      </c>
      <c r="E25" s="162">
        <f t="shared" si="35"/>
        <v>20000</v>
      </c>
      <c r="F25" s="143">
        <v>20000.0</v>
      </c>
      <c r="G25" s="162">
        <f t="shared" ref="G25:I25" si="36">F25</f>
        <v>20000</v>
      </c>
      <c r="H25" s="162">
        <f t="shared" si="36"/>
        <v>20000</v>
      </c>
      <c r="I25" s="162">
        <f t="shared" si="36"/>
        <v>20000</v>
      </c>
      <c r="J25" s="143">
        <v>20000.0</v>
      </c>
      <c r="K25" s="162">
        <f t="shared" si="37"/>
        <v>20000</v>
      </c>
      <c r="L25" s="162">
        <f t="shared" si="38"/>
        <v>20000</v>
      </c>
      <c r="M25" s="162">
        <f t="shared" si="39"/>
        <v>20000</v>
      </c>
      <c r="N25" s="143">
        <v>20000.0</v>
      </c>
      <c r="O25" s="162">
        <f t="shared" ref="O25:Q25" si="40">N25</f>
        <v>20000</v>
      </c>
      <c r="P25" s="162">
        <f t="shared" si="40"/>
        <v>20000</v>
      </c>
      <c r="Q25" s="162">
        <f t="shared" si="40"/>
        <v>20000</v>
      </c>
      <c r="R25" s="163">
        <v>20000.0</v>
      </c>
      <c r="S25" s="162">
        <f t="shared" ref="S25:U25" si="41">R25</f>
        <v>20000</v>
      </c>
      <c r="T25" s="162">
        <f t="shared" si="41"/>
        <v>20000</v>
      </c>
      <c r="U25" s="162">
        <f t="shared" si="41"/>
        <v>20000</v>
      </c>
      <c r="V25" s="163">
        <v>20000.0</v>
      </c>
      <c r="W25" s="162">
        <f t="shared" ref="W25:Y25" si="42">V25</f>
        <v>20000</v>
      </c>
      <c r="X25" s="162">
        <f t="shared" si="42"/>
        <v>20000</v>
      </c>
      <c r="Y25" s="162">
        <f t="shared" si="42"/>
        <v>20000</v>
      </c>
      <c r="Z25" s="163">
        <v>20000.0</v>
      </c>
    </row>
    <row r="26">
      <c r="A26" s="160" t="s">
        <v>229</v>
      </c>
      <c r="B26" s="163"/>
      <c r="C26" s="162" t="str">
        <f t="shared" ref="C26:E26" si="43">B26</f>
        <v/>
      </c>
      <c r="D26" s="162" t="str">
        <f t="shared" si="43"/>
        <v/>
      </c>
      <c r="E26" s="162" t="str">
        <f t="shared" si="43"/>
        <v/>
      </c>
      <c r="F26" s="163"/>
      <c r="G26" s="162" t="str">
        <f t="shared" ref="G26:I26" si="44">F26</f>
        <v/>
      </c>
      <c r="H26" s="162" t="str">
        <f t="shared" si="44"/>
        <v/>
      </c>
      <c r="I26" s="162" t="str">
        <f t="shared" si="44"/>
        <v/>
      </c>
      <c r="J26" s="163"/>
      <c r="K26" s="162" t="str">
        <f t="shared" si="37"/>
        <v/>
      </c>
      <c r="L26" s="162" t="str">
        <f t="shared" si="38"/>
        <v/>
      </c>
      <c r="M26" s="162" t="str">
        <f t="shared" si="39"/>
        <v/>
      </c>
      <c r="N26" s="163"/>
      <c r="O26" s="162" t="str">
        <f t="shared" ref="O26:Q26" si="45">N26</f>
        <v/>
      </c>
      <c r="P26" s="162" t="str">
        <f t="shared" si="45"/>
        <v/>
      </c>
      <c r="Q26" s="162" t="str">
        <f t="shared" si="45"/>
        <v/>
      </c>
      <c r="R26" s="164"/>
      <c r="S26" s="162" t="str">
        <f t="shared" ref="S26:U26" si="46">R26</f>
        <v/>
      </c>
      <c r="T26" s="162" t="str">
        <f t="shared" si="46"/>
        <v/>
      </c>
      <c r="U26" s="162" t="str">
        <f t="shared" si="46"/>
        <v/>
      </c>
      <c r="V26" s="164"/>
      <c r="W26" s="162" t="str">
        <f t="shared" ref="W26:Y26" si="47">V26</f>
        <v/>
      </c>
      <c r="X26" s="162" t="str">
        <f t="shared" si="47"/>
        <v/>
      </c>
      <c r="Y26" s="162" t="str">
        <f t="shared" si="47"/>
        <v/>
      </c>
      <c r="Z26" s="164"/>
    </row>
    <row r="27">
      <c r="A27" s="160" t="s">
        <v>140</v>
      </c>
      <c r="B27" s="143">
        <v>5000.0</v>
      </c>
      <c r="C27" s="162">
        <f t="shared" ref="C27:E27" si="48">B27</f>
        <v>5000</v>
      </c>
      <c r="D27" s="162">
        <f t="shared" si="48"/>
        <v>5000</v>
      </c>
      <c r="E27" s="162">
        <f t="shared" si="48"/>
        <v>5000</v>
      </c>
      <c r="F27" s="143">
        <v>5000.0</v>
      </c>
      <c r="G27" s="162">
        <f t="shared" ref="G27:I27" si="49">F27</f>
        <v>5000</v>
      </c>
      <c r="H27" s="162">
        <f t="shared" si="49"/>
        <v>5000</v>
      </c>
      <c r="I27" s="162">
        <f t="shared" si="49"/>
        <v>5000</v>
      </c>
      <c r="J27" s="143">
        <v>5000.0</v>
      </c>
      <c r="K27" s="162">
        <f t="shared" si="37"/>
        <v>5000</v>
      </c>
      <c r="L27" s="162">
        <f t="shared" si="38"/>
        <v>5000</v>
      </c>
      <c r="M27" s="162">
        <f t="shared" si="39"/>
        <v>5000</v>
      </c>
      <c r="N27" s="143">
        <v>5000.0</v>
      </c>
      <c r="O27" s="162">
        <f t="shared" ref="O27:Q27" si="50">N27</f>
        <v>5000</v>
      </c>
      <c r="P27" s="162">
        <f t="shared" si="50"/>
        <v>5000</v>
      </c>
      <c r="Q27" s="162">
        <f t="shared" si="50"/>
        <v>5000</v>
      </c>
      <c r="R27" s="163">
        <v>5000.0</v>
      </c>
      <c r="S27" s="162">
        <f t="shared" ref="S27:U27" si="51">R27</f>
        <v>5000</v>
      </c>
      <c r="T27" s="162">
        <f t="shared" si="51"/>
        <v>5000</v>
      </c>
      <c r="U27" s="162">
        <f t="shared" si="51"/>
        <v>5000</v>
      </c>
      <c r="V27" s="163">
        <v>5000.0</v>
      </c>
      <c r="W27" s="162">
        <f t="shared" ref="W27:Y27" si="52">V27</f>
        <v>5000</v>
      </c>
      <c r="X27" s="162">
        <f t="shared" si="52"/>
        <v>5000</v>
      </c>
      <c r="Y27" s="162">
        <f t="shared" si="52"/>
        <v>5000</v>
      </c>
      <c r="Z27" s="163">
        <v>5000.0</v>
      </c>
    </row>
    <row r="28">
      <c r="A28" s="160" t="s">
        <v>142</v>
      </c>
      <c r="B28" s="163"/>
      <c r="C28" s="162" t="str">
        <f t="shared" ref="C28:E28" si="53">B28</f>
        <v/>
      </c>
      <c r="D28" s="162" t="str">
        <f t="shared" si="53"/>
        <v/>
      </c>
      <c r="E28" s="162" t="str">
        <f t="shared" si="53"/>
        <v/>
      </c>
      <c r="F28" s="163"/>
      <c r="G28" s="162" t="str">
        <f t="shared" ref="G28:I28" si="54">F28</f>
        <v/>
      </c>
      <c r="H28" s="162" t="str">
        <f t="shared" si="54"/>
        <v/>
      </c>
      <c r="I28" s="162" t="str">
        <f t="shared" si="54"/>
        <v/>
      </c>
      <c r="J28" s="163"/>
      <c r="K28" s="162" t="str">
        <f t="shared" si="37"/>
        <v/>
      </c>
      <c r="L28" s="162" t="str">
        <f t="shared" si="38"/>
        <v/>
      </c>
      <c r="M28" s="162" t="str">
        <f t="shared" si="39"/>
        <v/>
      </c>
      <c r="N28" s="163"/>
      <c r="O28" s="162" t="str">
        <f t="shared" ref="O28:Z28" si="55">N28</f>
        <v/>
      </c>
      <c r="P28" s="162" t="str">
        <f t="shared" si="55"/>
        <v/>
      </c>
      <c r="Q28" s="162" t="str">
        <f t="shared" si="55"/>
        <v/>
      </c>
      <c r="R28" s="162" t="str">
        <f t="shared" si="55"/>
        <v/>
      </c>
      <c r="S28" s="162" t="str">
        <f t="shared" si="55"/>
        <v/>
      </c>
      <c r="T28" s="162" t="str">
        <f t="shared" si="55"/>
        <v/>
      </c>
      <c r="U28" s="162" t="str">
        <f t="shared" si="55"/>
        <v/>
      </c>
      <c r="V28" s="162" t="str">
        <f t="shared" si="55"/>
        <v/>
      </c>
      <c r="W28" s="162" t="str">
        <f t="shared" si="55"/>
        <v/>
      </c>
      <c r="X28" s="162" t="str">
        <f t="shared" si="55"/>
        <v/>
      </c>
      <c r="Y28" s="162" t="str">
        <f t="shared" si="55"/>
        <v/>
      </c>
      <c r="Z28" s="162" t="str">
        <f t="shared" si="55"/>
        <v/>
      </c>
    </row>
    <row r="29">
      <c r="A29" s="160" t="s">
        <v>143</v>
      </c>
      <c r="B29" s="163"/>
      <c r="C29" s="162" t="str">
        <f t="shared" ref="C29:E29" si="56">B29</f>
        <v/>
      </c>
      <c r="D29" s="162" t="str">
        <f t="shared" si="56"/>
        <v/>
      </c>
      <c r="E29" s="162" t="str">
        <f t="shared" si="56"/>
        <v/>
      </c>
      <c r="F29" s="163"/>
      <c r="G29" s="162" t="str">
        <f t="shared" ref="G29:I29" si="57">F29</f>
        <v/>
      </c>
      <c r="H29" s="162" t="str">
        <f t="shared" si="57"/>
        <v/>
      </c>
      <c r="I29" s="162" t="str">
        <f t="shared" si="57"/>
        <v/>
      </c>
      <c r="J29" s="163"/>
      <c r="K29" s="162" t="str">
        <f t="shared" si="37"/>
        <v/>
      </c>
      <c r="L29" s="162" t="str">
        <f t="shared" si="38"/>
        <v/>
      </c>
      <c r="M29" s="162" t="str">
        <f t="shared" si="39"/>
        <v/>
      </c>
      <c r="N29" s="163"/>
      <c r="O29" s="162" t="str">
        <f t="shared" ref="O29:Q29" si="58">N29</f>
        <v/>
      </c>
      <c r="P29" s="162" t="str">
        <f t="shared" si="58"/>
        <v/>
      </c>
      <c r="Q29" s="162" t="str">
        <f t="shared" si="58"/>
        <v/>
      </c>
      <c r="R29" s="163"/>
      <c r="S29" s="162" t="str">
        <f t="shared" ref="S29:U29" si="59">R29</f>
        <v/>
      </c>
      <c r="T29" s="162" t="str">
        <f t="shared" si="59"/>
        <v/>
      </c>
      <c r="U29" s="162" t="str">
        <f t="shared" si="59"/>
        <v/>
      </c>
      <c r="V29" s="163"/>
      <c r="W29" s="162" t="str">
        <f t="shared" ref="W29:Y29" si="60">V29</f>
        <v/>
      </c>
      <c r="X29" s="162" t="str">
        <f t="shared" si="60"/>
        <v/>
      </c>
      <c r="Y29" s="162" t="str">
        <f t="shared" si="60"/>
        <v/>
      </c>
      <c r="Z29" s="165" t="s">
        <v>230</v>
      </c>
    </row>
    <row r="30">
      <c r="A30" s="160" t="s">
        <v>231</v>
      </c>
      <c r="B30" s="163"/>
      <c r="C30" s="162" t="str">
        <f t="shared" ref="C30:E30" si="61">B30</f>
        <v/>
      </c>
      <c r="D30" s="162" t="str">
        <f t="shared" si="61"/>
        <v/>
      </c>
      <c r="E30" s="162" t="str">
        <f t="shared" si="61"/>
        <v/>
      </c>
      <c r="F30" s="163"/>
      <c r="G30" s="162" t="str">
        <f t="shared" ref="G30:I30" si="62">F30</f>
        <v/>
      </c>
      <c r="H30" s="162" t="str">
        <f t="shared" si="62"/>
        <v/>
      </c>
      <c r="I30" s="162" t="str">
        <f t="shared" si="62"/>
        <v/>
      </c>
      <c r="J30" s="163"/>
      <c r="K30" s="162" t="str">
        <f t="shared" si="37"/>
        <v/>
      </c>
      <c r="L30" s="162" t="str">
        <f t="shared" si="38"/>
        <v/>
      </c>
      <c r="M30" s="162" t="str">
        <f t="shared" si="39"/>
        <v/>
      </c>
      <c r="N30" s="163"/>
      <c r="O30" s="162" t="str">
        <f t="shared" ref="O30:Q30" si="63">N30</f>
        <v/>
      </c>
      <c r="P30" s="162" t="str">
        <f t="shared" si="63"/>
        <v/>
      </c>
      <c r="Q30" s="162" t="str">
        <f t="shared" si="63"/>
        <v/>
      </c>
      <c r="R30" s="163"/>
      <c r="S30" s="162" t="str">
        <f t="shared" ref="S30:U30" si="64">R30</f>
        <v/>
      </c>
      <c r="T30" s="162" t="str">
        <f t="shared" si="64"/>
        <v/>
      </c>
      <c r="U30" s="162" t="str">
        <f t="shared" si="64"/>
        <v/>
      </c>
      <c r="V30" s="163"/>
      <c r="W30" s="162" t="str">
        <f t="shared" ref="W30:Y30" si="65">V30</f>
        <v/>
      </c>
      <c r="X30" s="162" t="str">
        <f t="shared" si="65"/>
        <v/>
      </c>
      <c r="Y30" s="162" t="str">
        <f t="shared" si="65"/>
        <v/>
      </c>
      <c r="Z30" s="166"/>
    </row>
    <row r="31"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</row>
    <row r="32"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</row>
    <row r="33" ht="21.0" customHeight="1">
      <c r="A33" s="169" t="s">
        <v>232</v>
      </c>
      <c r="B33" s="170">
        <f>B11-B20-B23-B4</f>
        <v>-6000</v>
      </c>
      <c r="C33" s="171">
        <f t="shared" ref="C33:Z33" si="66">C12-C20-C23-C4</f>
        <v>-6984</v>
      </c>
      <c r="D33" s="171">
        <f t="shared" si="66"/>
        <v>-6984</v>
      </c>
      <c r="E33" s="171">
        <f t="shared" si="66"/>
        <v>-6984</v>
      </c>
      <c r="F33" s="171">
        <f t="shared" si="66"/>
        <v>143.04</v>
      </c>
      <c r="G33" s="171">
        <f t="shared" si="66"/>
        <v>143.04</v>
      </c>
      <c r="H33" s="171">
        <f t="shared" si="66"/>
        <v>143.04</v>
      </c>
      <c r="I33" s="171">
        <f t="shared" si="66"/>
        <v>8869.9776</v>
      </c>
      <c r="J33" s="171">
        <f t="shared" si="66"/>
        <v>8869.9776</v>
      </c>
      <c r="K33" s="171">
        <f t="shared" si="66"/>
        <v>8869.9776</v>
      </c>
      <c r="L33" s="171">
        <f t="shared" si="66"/>
        <v>18979.16774</v>
      </c>
      <c r="M33" s="171">
        <f t="shared" si="66"/>
        <v>18979.16774</v>
      </c>
      <c r="N33" s="171">
        <f t="shared" si="66"/>
        <v>18979.16774</v>
      </c>
      <c r="O33" s="171">
        <f t="shared" si="66"/>
        <v>29604.24155</v>
      </c>
      <c r="P33" s="171">
        <f t="shared" si="66"/>
        <v>29604.24155</v>
      </c>
      <c r="Q33" s="171">
        <f t="shared" si="66"/>
        <v>29604.24155</v>
      </c>
      <c r="R33" s="171">
        <f t="shared" si="66"/>
        <v>38612.89183</v>
      </c>
      <c r="S33" s="171">
        <f t="shared" si="66"/>
        <v>38612.89183</v>
      </c>
      <c r="T33" s="171">
        <f t="shared" si="66"/>
        <v>38612.89183</v>
      </c>
      <c r="U33" s="171">
        <f t="shared" si="66"/>
        <v>41519.01864</v>
      </c>
      <c r="V33" s="171">
        <f t="shared" si="66"/>
        <v>41519.01864</v>
      </c>
      <c r="W33" s="171">
        <f t="shared" si="66"/>
        <v>41519.01864</v>
      </c>
      <c r="X33" s="171">
        <f t="shared" si="66"/>
        <v>29597.71388</v>
      </c>
      <c r="Y33" s="171">
        <f t="shared" si="66"/>
        <v>29597.71388</v>
      </c>
      <c r="Z33" s="171">
        <f t="shared" si="66"/>
        <v>29597.71388</v>
      </c>
    </row>
    <row r="34" ht="21.0" customHeight="1">
      <c r="A34" s="172" t="s">
        <v>233</v>
      </c>
      <c r="B34" s="173">
        <f>iferror(B33/B11)</f>
        <v>-0.06</v>
      </c>
      <c r="C34" s="173">
        <f t="shared" ref="C34:Z34" si="67">iferror(C33/C12)</f>
        <v>-0.060625</v>
      </c>
      <c r="D34" s="173">
        <f t="shared" si="67"/>
        <v>-0.060625</v>
      </c>
      <c r="E34" s="173">
        <f t="shared" si="67"/>
        <v>-0.060625</v>
      </c>
      <c r="F34" s="173">
        <f t="shared" si="67"/>
        <v>0.0008622685185</v>
      </c>
      <c r="G34" s="173">
        <f t="shared" si="67"/>
        <v>0.0008622685185</v>
      </c>
      <c r="H34" s="173">
        <f t="shared" si="67"/>
        <v>0.0008622685185</v>
      </c>
      <c r="I34" s="173">
        <f t="shared" si="67"/>
        <v>0.03713171939</v>
      </c>
      <c r="J34" s="173">
        <f t="shared" si="67"/>
        <v>0.03713171939</v>
      </c>
      <c r="K34" s="173">
        <f t="shared" si="67"/>
        <v>0.03713171939</v>
      </c>
      <c r="L34" s="173">
        <f t="shared" si="67"/>
        <v>0.05517434789</v>
      </c>
      <c r="M34" s="173">
        <f t="shared" si="67"/>
        <v>0.05517434789</v>
      </c>
      <c r="N34" s="173">
        <f t="shared" si="67"/>
        <v>0.05517434789</v>
      </c>
      <c r="O34" s="173">
        <f t="shared" si="67"/>
        <v>0.0597656286</v>
      </c>
      <c r="P34" s="173">
        <f t="shared" si="67"/>
        <v>0.0597656286</v>
      </c>
      <c r="Q34" s="173">
        <f t="shared" si="67"/>
        <v>0.0597656286</v>
      </c>
      <c r="R34" s="173">
        <f t="shared" si="67"/>
        <v>0.05413365975</v>
      </c>
      <c r="S34" s="173">
        <f t="shared" si="67"/>
        <v>0.05413365975</v>
      </c>
      <c r="T34" s="173">
        <f t="shared" si="67"/>
        <v>0.05413365975</v>
      </c>
      <c r="U34" s="173">
        <f t="shared" si="67"/>
        <v>0.04042217223</v>
      </c>
      <c r="V34" s="173">
        <f t="shared" si="67"/>
        <v>0.04042217223</v>
      </c>
      <c r="W34" s="173">
        <f t="shared" si="67"/>
        <v>0.04042217223</v>
      </c>
      <c r="X34" s="173">
        <f t="shared" si="67"/>
        <v>0.02001097474</v>
      </c>
      <c r="Y34" s="173">
        <f t="shared" si="67"/>
        <v>0.02001097474</v>
      </c>
      <c r="Z34" s="173">
        <f t="shared" si="67"/>
        <v>0.02001097474</v>
      </c>
    </row>
    <row r="36">
      <c r="B36" s="121"/>
    </row>
  </sheetData>
  <mergeCells count="4">
    <mergeCell ref="A1:A2"/>
    <mergeCell ref="B1:B2"/>
    <mergeCell ref="C1:N1"/>
    <mergeCell ref="O1:Z1"/>
  </mergeCells>
  <conditionalFormatting sqref="B33:Z33">
    <cfRule type="colorScale" priority="1">
      <colorScale>
        <cfvo type="percent" val="0"/>
        <cfvo type="formula" val="1"/>
        <cfvo type="formula" val="100000"/>
        <color rgb="FFFF0000"/>
        <color rgb="FFB7E1CD"/>
        <color rgb="FF00FF00"/>
      </colorScale>
    </cfRule>
  </conditionalFormatting>
  <conditionalFormatting sqref="B33:Z33">
    <cfRule type="cellIs" dxfId="0" priority="2" operator="lessThan">
      <formula>0</formula>
    </cfRule>
  </conditionalFormatting>
  <conditionalFormatting sqref="C34:Z34">
    <cfRule type="containsBlanks" dxfId="1" priority="3">
      <formula>LEN(TRIM(C34))=0</formula>
    </cfRule>
  </conditionalFormatting>
  <conditionalFormatting sqref="A34:Z34">
    <cfRule type="colorScale" priority="4">
      <colorScale>
        <cfvo type="formula" val="0%"/>
        <cfvo type="formula" val="100%"/>
        <color rgb="FFFFFFFF"/>
        <color rgb="FF57BB8A"/>
      </colorScale>
    </cfRule>
  </conditionalFormatting>
  <drawing r:id="rId2"/>
  <legacyDrawing r:id="rId3"/>
</worksheet>
</file>