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5 - Identificando circuitos área adm\Aula 63\"/>
    </mc:Choice>
  </mc:AlternateContent>
  <bookViews>
    <workbookView xWindow="0" yWindow="0" windowWidth="11895" windowHeight="5595" tabRatio="597" activeTab="6"/>
  </bookViews>
  <sheets>
    <sheet name="Rca Xl" sheetId="4" r:id="rId1"/>
    <sheet name="FCA-FCT" sheetId="13" r:id="rId2"/>
    <sheet name="Tabela eletroduto" sheetId="209" r:id="rId3"/>
    <sheet name="Tabela Cabos" sheetId="233" r:id="rId4"/>
    <sheet name="QD-1" sheetId="232" r:id="rId5"/>
    <sheet name="QD-2" sheetId="234" r:id="rId6"/>
    <sheet name="QD-3" sheetId="235" r:id="rId7"/>
  </sheets>
  <definedNames>
    <definedName name="_xlnm._FilterDatabase" localSheetId="4" hidden="1">'QD-1'!$A$2:$AW$69</definedName>
    <definedName name="_xlnm._FilterDatabase" localSheetId="5" hidden="1">'QD-2'!$A$2:$AW$69</definedName>
    <definedName name="_xlnm._FilterDatabase" localSheetId="6" hidden="1">'QD-3'!$A$2:$AW$69</definedName>
  </definedNames>
  <calcPr calcId="162913" concurrentCalc="0"/>
</workbook>
</file>

<file path=xl/calcChain.xml><?xml version="1.0" encoding="utf-8"?>
<calcChain xmlns="http://schemas.openxmlformats.org/spreadsheetml/2006/main">
  <c r="AW23" i="235" l="1"/>
  <c r="AV23" i="235"/>
  <c r="AW22" i="235"/>
  <c r="AU22" i="235"/>
  <c r="AV21" i="235"/>
  <c r="AU21" i="235"/>
  <c r="AW20" i="235"/>
  <c r="AV20" i="235"/>
  <c r="AW19" i="235"/>
  <c r="AU19" i="235"/>
  <c r="AV18" i="235"/>
  <c r="AU18" i="235"/>
  <c r="AW17" i="235"/>
  <c r="AV17" i="235"/>
  <c r="AW16" i="235"/>
  <c r="AU16" i="235"/>
  <c r="AV15" i="235"/>
  <c r="AU15" i="235"/>
  <c r="AW14" i="235"/>
  <c r="AV14" i="235"/>
  <c r="AW13" i="235"/>
  <c r="AU13" i="235"/>
  <c r="AV12" i="235"/>
  <c r="AU12" i="235"/>
  <c r="AW11" i="235"/>
  <c r="AV11" i="235"/>
  <c r="AW10" i="235"/>
  <c r="AU10" i="235"/>
  <c r="AV9" i="235"/>
  <c r="AU9" i="235"/>
  <c r="AV36" i="234"/>
  <c r="AU35" i="234"/>
  <c r="AW34" i="234"/>
  <c r="AV33" i="234"/>
  <c r="AU32" i="234"/>
  <c r="AW31" i="234"/>
  <c r="AV30" i="234"/>
  <c r="AU29" i="234"/>
  <c r="L28" i="234"/>
  <c r="O28" i="234"/>
  <c r="AW28" i="234"/>
  <c r="L27" i="234"/>
  <c r="O27" i="234"/>
  <c r="AV27" i="234"/>
  <c r="L26" i="234"/>
  <c r="O26" i="234"/>
  <c r="AU26" i="234"/>
  <c r="L25" i="234"/>
  <c r="O25" i="234"/>
  <c r="AW25" i="234"/>
  <c r="L24" i="234"/>
  <c r="O24" i="234"/>
  <c r="AV24" i="234"/>
  <c r="L23" i="234"/>
  <c r="O23" i="234"/>
  <c r="AU23" i="234"/>
  <c r="L22" i="234"/>
  <c r="O22" i="234"/>
  <c r="AW22" i="234"/>
  <c r="L21" i="234"/>
  <c r="O21" i="234"/>
  <c r="AV21" i="234"/>
  <c r="L20" i="234"/>
  <c r="O20" i="234"/>
  <c r="AU20" i="234"/>
  <c r="L19" i="234"/>
  <c r="O19" i="234"/>
  <c r="AW19" i="234"/>
  <c r="L18" i="234"/>
  <c r="O18" i="234"/>
  <c r="AV18" i="234"/>
  <c r="L17" i="234"/>
  <c r="O17" i="234"/>
  <c r="AW17" i="234"/>
  <c r="AV17" i="234"/>
  <c r="L16" i="234"/>
  <c r="O16" i="234"/>
  <c r="AU16" i="234"/>
  <c r="L15" i="234"/>
  <c r="O15" i="234"/>
  <c r="AW15" i="234"/>
  <c r="AV15" i="234"/>
  <c r="L14" i="234"/>
  <c r="O14" i="234"/>
  <c r="AV14" i="234"/>
  <c r="AU14" i="234"/>
  <c r="L13" i="234"/>
  <c r="O13" i="234"/>
  <c r="AW13" i="234"/>
  <c r="AU13" i="234"/>
  <c r="L12" i="234"/>
  <c r="O12" i="234"/>
  <c r="AW12" i="234"/>
  <c r="AV12" i="234"/>
  <c r="L11" i="234"/>
  <c r="O11" i="234"/>
  <c r="AU11" i="234"/>
  <c r="AW11" i="234"/>
  <c r="L10" i="234"/>
  <c r="O10" i="234"/>
  <c r="AV10" i="234"/>
  <c r="L9" i="234"/>
  <c r="O9" i="234"/>
  <c r="AU9" i="234"/>
  <c r="L18" i="232"/>
  <c r="O18" i="232"/>
  <c r="AU18" i="232"/>
  <c r="L16" i="232"/>
  <c r="O16" i="232"/>
  <c r="AV16" i="232"/>
  <c r="L12" i="232"/>
  <c r="O12" i="232"/>
  <c r="AV12" i="232"/>
  <c r="L13" i="232"/>
  <c r="O13" i="232"/>
  <c r="AU13" i="232"/>
  <c r="L19" i="232"/>
  <c r="O19" i="232"/>
  <c r="AW19" i="232"/>
  <c r="L14" i="232"/>
  <c r="O14" i="232"/>
  <c r="AW14" i="232"/>
  <c r="L11" i="232"/>
  <c r="O11" i="232"/>
  <c r="AW11" i="232"/>
  <c r="L10" i="232"/>
  <c r="O10" i="232"/>
  <c r="AV10" i="232"/>
  <c r="L9" i="232"/>
  <c r="O9" i="232"/>
  <c r="AU9" i="232"/>
  <c r="S9" i="235"/>
  <c r="W9" i="235"/>
  <c r="AU61" i="235"/>
  <c r="AV61" i="235"/>
  <c r="AW61" i="235"/>
  <c r="AU63" i="235"/>
  <c r="I9" i="235"/>
  <c r="L9" i="235"/>
  <c r="I10" i="235"/>
  <c r="L10" i="235"/>
  <c r="I11" i="235"/>
  <c r="L11" i="235"/>
  <c r="I12" i="235"/>
  <c r="L12" i="235"/>
  <c r="I13" i="235"/>
  <c r="L13" i="235"/>
  <c r="I14" i="235"/>
  <c r="I15" i="235"/>
  <c r="L14" i="235"/>
  <c r="I16" i="235"/>
  <c r="I17" i="235"/>
  <c r="L15" i="235"/>
  <c r="I18" i="235"/>
  <c r="L16" i="235"/>
  <c r="I19" i="235"/>
  <c r="L17" i="235"/>
  <c r="I20" i="235"/>
  <c r="L18" i="235"/>
  <c r="I21" i="235"/>
  <c r="L19" i="235"/>
  <c r="I22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L61" i="235"/>
  <c r="AW62" i="235"/>
  <c r="AV62" i="235"/>
  <c r="AU62" i="235"/>
  <c r="O61" i="235"/>
  <c r="S61" i="235"/>
  <c r="W61" i="235"/>
  <c r="AT61" i="235"/>
  <c r="AR61" i="235"/>
  <c r="AL61" i="235"/>
  <c r="AN61" i="235"/>
  <c r="AM61" i="235"/>
  <c r="AD61" i="235"/>
  <c r="AE61" i="235"/>
  <c r="AF61" i="235"/>
  <c r="Z61" i="235"/>
  <c r="J9" i="235"/>
  <c r="M9" i="235"/>
  <c r="J10" i="235"/>
  <c r="M10" i="235"/>
  <c r="J11" i="235"/>
  <c r="M11" i="235"/>
  <c r="J12" i="235"/>
  <c r="M12" i="235"/>
  <c r="J13" i="235"/>
  <c r="M13" i="235"/>
  <c r="J14" i="235"/>
  <c r="J15" i="235"/>
  <c r="M14" i="235"/>
  <c r="J16" i="235"/>
  <c r="J17" i="235"/>
  <c r="M15" i="235"/>
  <c r="J18" i="235"/>
  <c r="M16" i="235"/>
  <c r="J19" i="235"/>
  <c r="M17" i="235"/>
  <c r="J20" i="235"/>
  <c r="M18" i="235"/>
  <c r="J21" i="235"/>
  <c r="M19" i="235"/>
  <c r="J22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T20" i="235"/>
  <c r="AR20" i="235"/>
  <c r="AL20" i="235"/>
  <c r="AN20" i="235"/>
  <c r="AM20" i="235"/>
  <c r="AD20" i="235"/>
  <c r="AE20" i="235"/>
  <c r="AF20" i="235"/>
  <c r="Z20" i="235"/>
  <c r="S20" i="235"/>
  <c r="W20" i="235"/>
  <c r="P20" i="235"/>
  <c r="O20" i="235"/>
  <c r="AT19" i="235"/>
  <c r="AR19" i="235"/>
  <c r="AL19" i="235"/>
  <c r="AN19" i="235"/>
  <c r="AM19" i="235"/>
  <c r="AD19" i="235"/>
  <c r="AE19" i="235"/>
  <c r="AF19" i="235"/>
  <c r="Z19" i="235"/>
  <c r="S19" i="235"/>
  <c r="W19" i="235"/>
  <c r="P19" i="235"/>
  <c r="O19" i="235"/>
  <c r="AT18" i="235"/>
  <c r="AR18" i="235"/>
  <c r="AL18" i="235"/>
  <c r="AN18" i="235"/>
  <c r="AM18" i="235"/>
  <c r="AD18" i="235"/>
  <c r="AE18" i="235"/>
  <c r="AF18" i="235"/>
  <c r="Z18" i="235"/>
  <c r="S18" i="235"/>
  <c r="W18" i="235"/>
  <c r="P18" i="235"/>
  <c r="O18" i="235"/>
  <c r="AT17" i="235"/>
  <c r="AR17" i="235"/>
  <c r="AL17" i="235"/>
  <c r="AN17" i="235"/>
  <c r="AM17" i="235"/>
  <c r="AD17" i="235"/>
  <c r="AE17" i="235"/>
  <c r="AF17" i="235"/>
  <c r="Z17" i="235"/>
  <c r="S17" i="235"/>
  <c r="W17" i="235"/>
  <c r="P17" i="235"/>
  <c r="O17" i="235"/>
  <c r="AT16" i="235"/>
  <c r="AR16" i="235"/>
  <c r="AL16" i="235"/>
  <c r="AN16" i="235"/>
  <c r="AM16" i="235"/>
  <c r="AD16" i="235"/>
  <c r="AE16" i="235"/>
  <c r="AF16" i="235"/>
  <c r="Z16" i="235"/>
  <c r="S16" i="235"/>
  <c r="W16" i="235"/>
  <c r="P16" i="235"/>
  <c r="O16" i="235"/>
  <c r="AT15" i="235"/>
  <c r="AR15" i="235"/>
  <c r="AL15" i="235"/>
  <c r="AN15" i="235"/>
  <c r="AM15" i="235"/>
  <c r="AD15" i="235"/>
  <c r="AE15" i="235"/>
  <c r="AF15" i="235"/>
  <c r="Z15" i="235"/>
  <c r="S15" i="235"/>
  <c r="W15" i="235"/>
  <c r="P15" i="235"/>
  <c r="O15" i="235"/>
  <c r="AT14" i="235"/>
  <c r="AL14" i="235"/>
  <c r="AN14" i="235"/>
  <c r="AM14" i="235"/>
  <c r="AD14" i="235"/>
  <c r="AE14" i="235"/>
  <c r="AF14" i="235"/>
  <c r="Z14" i="235"/>
  <c r="S14" i="235"/>
  <c r="W14" i="235"/>
  <c r="P14" i="235"/>
  <c r="O14" i="235"/>
  <c r="AT13" i="235"/>
  <c r="AR13" i="235"/>
  <c r="AL13" i="235"/>
  <c r="AN13" i="235"/>
  <c r="AM13" i="235"/>
  <c r="AD13" i="235"/>
  <c r="AE13" i="235"/>
  <c r="AF13" i="235"/>
  <c r="Z13" i="235"/>
  <c r="S13" i="235"/>
  <c r="W13" i="235"/>
  <c r="P13" i="235"/>
  <c r="O13" i="235"/>
  <c r="AT12" i="235"/>
  <c r="AR12" i="235"/>
  <c r="AL12" i="235"/>
  <c r="AN12" i="235"/>
  <c r="AM12" i="235"/>
  <c r="AD12" i="235"/>
  <c r="AE12" i="235"/>
  <c r="AF12" i="235"/>
  <c r="Z12" i="235"/>
  <c r="S12" i="235"/>
  <c r="W12" i="235"/>
  <c r="P12" i="235"/>
  <c r="O12" i="235"/>
  <c r="AT11" i="235"/>
  <c r="AR11" i="235"/>
  <c r="AL11" i="235"/>
  <c r="AN11" i="235"/>
  <c r="AM11" i="235"/>
  <c r="AD11" i="235"/>
  <c r="AE11" i="235"/>
  <c r="AF11" i="235"/>
  <c r="Z11" i="235"/>
  <c r="S11" i="235"/>
  <c r="W11" i="235"/>
  <c r="P11" i="235"/>
  <c r="O11" i="235"/>
  <c r="AT10" i="235"/>
  <c r="AR10" i="235"/>
  <c r="AL10" i="235"/>
  <c r="AN10" i="235"/>
  <c r="AM10" i="235"/>
  <c r="AD10" i="235"/>
  <c r="AE10" i="235"/>
  <c r="AF10" i="235"/>
  <c r="Z10" i="235"/>
  <c r="S10" i="235"/>
  <c r="W10" i="235"/>
  <c r="P10" i="235"/>
  <c r="O10" i="235"/>
  <c r="AT9" i="235"/>
  <c r="AR9" i="235"/>
  <c r="AL9" i="235"/>
  <c r="AN9" i="235"/>
  <c r="AM9" i="235"/>
  <c r="AD9" i="235"/>
  <c r="AE9" i="235"/>
  <c r="AF9" i="235"/>
  <c r="Z9" i="235"/>
  <c r="P9" i="235"/>
  <c r="O9" i="235"/>
  <c r="O34" i="234"/>
  <c r="S34" i="234"/>
  <c r="W34" i="234"/>
  <c r="Z34" i="234"/>
  <c r="AT34" i="234"/>
  <c r="P34" i="234"/>
  <c r="L34" i="234"/>
  <c r="M34" i="234"/>
  <c r="L35" i="234"/>
  <c r="M35" i="234"/>
  <c r="L36" i="234"/>
  <c r="M36" i="234"/>
  <c r="AU61" i="234"/>
  <c r="AV61" i="234"/>
  <c r="AW61" i="234"/>
  <c r="AU63" i="234"/>
  <c r="I9" i="234"/>
  <c r="I10" i="234"/>
  <c r="I11" i="234"/>
  <c r="I12" i="234"/>
  <c r="I13" i="234"/>
  <c r="I14" i="234"/>
  <c r="I15" i="234"/>
  <c r="I16" i="234"/>
  <c r="I17" i="234"/>
  <c r="I18" i="234"/>
  <c r="I19" i="234"/>
  <c r="I20" i="234"/>
  <c r="I21" i="234"/>
  <c r="I22" i="234"/>
  <c r="I27" i="234"/>
  <c r="I29" i="234"/>
  <c r="L29" i="234"/>
  <c r="L30" i="234"/>
  <c r="L31" i="234"/>
  <c r="L32" i="234"/>
  <c r="L33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L61" i="234"/>
  <c r="AW62" i="234"/>
  <c r="AV62" i="234"/>
  <c r="AU62" i="234"/>
  <c r="O61" i="234"/>
  <c r="S61" i="234"/>
  <c r="W61" i="234"/>
  <c r="AT61" i="234"/>
  <c r="AR61" i="234"/>
  <c r="AL61" i="234"/>
  <c r="AN61" i="234"/>
  <c r="AM61" i="234"/>
  <c r="AD61" i="234"/>
  <c r="AE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J15" i="234"/>
  <c r="M14" i="234"/>
  <c r="J16" i="234"/>
  <c r="J17" i="234"/>
  <c r="M15" i="234"/>
  <c r="J18" i="234"/>
  <c r="M16" i="234"/>
  <c r="J19" i="234"/>
  <c r="M17" i="234"/>
  <c r="J20" i="234"/>
  <c r="M18" i="234"/>
  <c r="J21" i="234"/>
  <c r="M19" i="234"/>
  <c r="J22" i="234"/>
  <c r="M20" i="234"/>
  <c r="M21" i="234"/>
  <c r="M22" i="234"/>
  <c r="M23" i="234"/>
  <c r="M24" i="234"/>
  <c r="M25" i="234"/>
  <c r="M26" i="234"/>
  <c r="J27" i="234"/>
  <c r="M27" i="234"/>
  <c r="M28" i="234"/>
  <c r="J29" i="234"/>
  <c r="M29" i="234"/>
  <c r="M30" i="234"/>
  <c r="M31" i="234"/>
  <c r="M32" i="234"/>
  <c r="M33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23" i="234"/>
  <c r="J23" i="234"/>
  <c r="I24" i="234"/>
  <c r="J24" i="234"/>
  <c r="I25" i="234"/>
  <c r="J25" i="234"/>
  <c r="I26" i="234"/>
  <c r="J26" i="234"/>
  <c r="I28" i="234"/>
  <c r="J28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L32" i="234"/>
  <c r="AN32" i="234"/>
  <c r="AM32" i="234"/>
  <c r="AD32" i="234"/>
  <c r="AE32" i="234"/>
  <c r="AF32" i="234"/>
  <c r="Z32" i="234"/>
  <c r="S32" i="234"/>
  <c r="W32" i="234"/>
  <c r="P32" i="234"/>
  <c r="O32" i="234"/>
  <c r="AT31" i="234"/>
  <c r="AR31" i="234"/>
  <c r="AL31" i="234"/>
  <c r="AN31" i="234"/>
  <c r="AM31" i="234"/>
  <c r="AD31" i="234"/>
  <c r="AE31" i="234"/>
  <c r="AF31" i="234"/>
  <c r="Z31" i="234"/>
  <c r="S31" i="234"/>
  <c r="W31" i="234"/>
  <c r="P31" i="234"/>
  <c r="O31" i="234"/>
  <c r="AT30" i="234"/>
  <c r="AR30" i="234"/>
  <c r="AL30" i="234"/>
  <c r="AN30" i="234"/>
  <c r="AM30" i="234"/>
  <c r="AD30" i="234"/>
  <c r="AE30" i="234"/>
  <c r="AF30" i="234"/>
  <c r="Z30" i="234"/>
  <c r="S30" i="234"/>
  <c r="W30" i="234"/>
  <c r="P30" i="234"/>
  <c r="O30" i="234"/>
  <c r="AT29" i="234"/>
  <c r="AR29" i="234"/>
  <c r="AL29" i="234"/>
  <c r="AN29" i="234"/>
  <c r="AM29" i="234"/>
  <c r="AD29" i="234"/>
  <c r="AE29" i="234"/>
  <c r="AF29" i="234"/>
  <c r="O29" i="234"/>
  <c r="S29" i="234"/>
  <c r="W29" i="234"/>
  <c r="Z29" i="234"/>
  <c r="P29" i="234"/>
  <c r="S28" i="234"/>
  <c r="W28" i="234"/>
  <c r="AT28" i="234"/>
  <c r="AR28" i="234"/>
  <c r="AL28" i="234"/>
  <c r="AN28" i="234"/>
  <c r="AM28" i="234"/>
  <c r="AD28" i="234"/>
  <c r="AE28" i="234"/>
  <c r="AF28" i="234"/>
  <c r="Z28" i="234"/>
  <c r="P28" i="234"/>
  <c r="S27" i="234"/>
  <c r="W27" i="234"/>
  <c r="AT27" i="234"/>
  <c r="AR27" i="234"/>
  <c r="AL27" i="234"/>
  <c r="AN27" i="234"/>
  <c r="AM27" i="234"/>
  <c r="AD27" i="234"/>
  <c r="AE27" i="234"/>
  <c r="AF27" i="234"/>
  <c r="Z27" i="234"/>
  <c r="P27" i="234"/>
  <c r="S26" i="234"/>
  <c r="W26" i="234"/>
  <c r="AT26" i="234"/>
  <c r="AR26" i="234"/>
  <c r="AL26" i="234"/>
  <c r="AN26" i="234"/>
  <c r="AM26" i="234"/>
  <c r="AD26" i="234"/>
  <c r="AE26" i="234"/>
  <c r="AF26" i="234"/>
  <c r="Z26" i="234"/>
  <c r="P26" i="234"/>
  <c r="S25" i="234"/>
  <c r="W25" i="234"/>
  <c r="AT25" i="234"/>
  <c r="AR25" i="234"/>
  <c r="AL25" i="234"/>
  <c r="AN25" i="234"/>
  <c r="AM25" i="234"/>
  <c r="AD25" i="234"/>
  <c r="AE25" i="234"/>
  <c r="AF25" i="234"/>
  <c r="Z25" i="234"/>
  <c r="P25" i="234"/>
  <c r="S24" i="234"/>
  <c r="W24" i="234"/>
  <c r="AT24" i="234"/>
  <c r="AR24" i="234"/>
  <c r="AL24" i="234"/>
  <c r="AN24" i="234"/>
  <c r="AM24" i="234"/>
  <c r="AD24" i="234"/>
  <c r="AE24" i="234"/>
  <c r="AF24" i="234"/>
  <c r="Z24" i="234"/>
  <c r="P24" i="234"/>
  <c r="S23" i="234"/>
  <c r="W23" i="234"/>
  <c r="AT23" i="234"/>
  <c r="AR23" i="234"/>
  <c r="AL23" i="234"/>
  <c r="AN23" i="234"/>
  <c r="AM23" i="234"/>
  <c r="AD23" i="234"/>
  <c r="AE23" i="234"/>
  <c r="AF23" i="234"/>
  <c r="Z23" i="234"/>
  <c r="P23" i="234"/>
  <c r="S22" i="234"/>
  <c r="W22" i="234"/>
  <c r="AT22" i="234"/>
  <c r="AR22" i="234"/>
  <c r="AL22" i="234"/>
  <c r="AN22" i="234"/>
  <c r="AM22" i="234"/>
  <c r="AD22" i="234"/>
  <c r="AE22" i="234"/>
  <c r="AF22" i="234"/>
  <c r="Z22" i="234"/>
  <c r="P22" i="234"/>
  <c r="S21" i="234"/>
  <c r="W21" i="234"/>
  <c r="AT21" i="234"/>
  <c r="AR21" i="234"/>
  <c r="AL21" i="234"/>
  <c r="AN21" i="234"/>
  <c r="AM21" i="234"/>
  <c r="AD21" i="234"/>
  <c r="AE21" i="234"/>
  <c r="AF21" i="234"/>
  <c r="Z21" i="234"/>
  <c r="P21" i="234"/>
  <c r="S20" i="234"/>
  <c r="W20" i="234"/>
  <c r="AT20" i="234"/>
  <c r="AR20" i="234"/>
  <c r="AL20" i="234"/>
  <c r="AN20" i="234"/>
  <c r="AM20" i="234"/>
  <c r="AD20" i="234"/>
  <c r="AE20" i="234"/>
  <c r="AF20" i="234"/>
  <c r="Z20" i="234"/>
  <c r="P20" i="234"/>
  <c r="S19" i="234"/>
  <c r="W19" i="234"/>
  <c r="AT19" i="234"/>
  <c r="AR19" i="234"/>
  <c r="AL19" i="234"/>
  <c r="AN19" i="234"/>
  <c r="AM19" i="234"/>
  <c r="AD19" i="234"/>
  <c r="AE19" i="234"/>
  <c r="AF19" i="234"/>
  <c r="Z19" i="234"/>
  <c r="P19" i="234"/>
  <c r="S18" i="234"/>
  <c r="W18" i="234"/>
  <c r="AT18" i="234"/>
  <c r="AR18" i="234"/>
  <c r="AL18" i="234"/>
  <c r="AN18" i="234"/>
  <c r="AM18" i="234"/>
  <c r="AD18" i="234"/>
  <c r="AE18" i="234"/>
  <c r="AF18" i="234"/>
  <c r="Z18" i="234"/>
  <c r="P18" i="234"/>
  <c r="S17" i="234"/>
  <c r="W17" i="234"/>
  <c r="AT17" i="234"/>
  <c r="AR17" i="234"/>
  <c r="AL17" i="234"/>
  <c r="AN17" i="234"/>
  <c r="AM17" i="234"/>
  <c r="AD17" i="234"/>
  <c r="AE17" i="234"/>
  <c r="AF17" i="234"/>
  <c r="Z17" i="234"/>
  <c r="P17" i="234"/>
  <c r="S16" i="234"/>
  <c r="W16" i="234"/>
  <c r="AT16" i="234"/>
  <c r="AR16" i="234"/>
  <c r="AL16" i="234"/>
  <c r="AN16" i="234"/>
  <c r="AM16" i="234"/>
  <c r="AD16" i="234"/>
  <c r="AE16" i="234"/>
  <c r="AF16" i="234"/>
  <c r="Z16" i="234"/>
  <c r="P16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I9" i="232"/>
  <c r="I10" i="232"/>
  <c r="I11" i="232"/>
  <c r="I12" i="232"/>
  <c r="I13" i="232"/>
  <c r="I14" i="232"/>
  <c r="I15" i="232"/>
  <c r="L15" i="232"/>
  <c r="I16" i="232"/>
  <c r="I17" i="232"/>
  <c r="L17" i="232"/>
  <c r="I18" i="232"/>
  <c r="I19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S12" i="232"/>
  <c r="W12" i="232"/>
  <c r="AE12" i="232"/>
  <c r="AD13" i="232"/>
  <c r="W13" i="232"/>
  <c r="AE13" i="232"/>
  <c r="AD14" i="232"/>
  <c r="W14" i="232"/>
  <c r="AE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L13" i="232"/>
  <c r="AN13" i="232"/>
  <c r="AM13" i="232"/>
  <c r="AF13" i="232"/>
  <c r="Z13" i="232"/>
  <c r="J13" i="232"/>
  <c r="M13" i="232"/>
  <c r="P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<sst xmlns="http://schemas.openxmlformats.org/spreadsheetml/2006/main" count="624" uniqueCount="245">
  <si>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</si>
  <si>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</si>
  <si>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</si>
  <si>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</si>
  <si>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</si>
  <si>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</si>
  <si>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</si>
  <si>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</si>
  <si>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</si>
  <si>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</si>
  <si>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</si>
  <si>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</si>
  <si>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</si>
  <si>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</si>
  <si>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</si>
  <si>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</si>
  <si>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</si>
  <si>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</si>
  <si>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</si>
  <si>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</si>
  <si>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</si>
  <si>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</si>
  <si>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</si>
  <si>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</si>
  <si>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</si>
  <si>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</si>
  <si>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</si>
  <si>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</si>
  <si>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</si>
  <si>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</si>
  <si>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</si>
  <si>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</si>
  <si>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</si>
  <si>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</si>
  <si>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</si>
  <si>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</si>
  <si>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</si>
  <si>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</si>
  <si>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</si>
  <si>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</si>
  <si>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</si>
  <si>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</si>
  <si>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</si>
  <si>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</si>
  <si>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</si>
  <si>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</si>
  <si>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</si>
  <si>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</si>
  <si>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</si>
  <si>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</si>
  <si>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</si>
  <si>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</si>
  <si>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</si>
  <si>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</si>
  <si>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</si>
  <si>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</si>
  <si>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</si>
  <si>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</si>
  <si>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</si>
  <si>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</si>
  <si>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</si>
  <si>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</si>
  <si>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</si>
  <si>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</si>
  <si>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</si>
  <si>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</si>
  <si>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</si>
  <si>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</si>
  <si>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</si>
  <si>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</si>
  <si>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</si>
  <si>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</si>
  <si>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</si>
  <si>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</si>
  <si>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</si>
  <si>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</si>
  <si>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</si>
  <si>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</si>
  <si>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</si>
  <si>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</si>
  <si>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</si>
  <si>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</si>
  <si>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</si>
  <si>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</si>
  <si>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</si>
  <si>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</si>
  <si>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</si>
  <si>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</si>
  <si>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</si>
  <si>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</si>
  <si>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</si>
  <si>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</si>
  <si>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</si>
  <si>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</si>
  <si>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</si>
  <si>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</si>
  <si>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</si>
  <si>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</si>
  <si>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</si>
  <si>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</si>
  <si>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</si>
  <si>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</si>
  <si>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</si>
  <si>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</si>
  <si>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</si>
  <si>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</si>
  <si>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</si>
  <si>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</si>
  <si>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</si>
  <si>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</si>
  <si>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</si>
  <si>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</si>
  <si>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</si>
  <si>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</si>
  <si>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</si>
  <si>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</si>
  <si>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</si>
  <si>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</si>
  <si>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</si>
  <si>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</si>
  <si>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</si>
  <si>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</si>
  <si>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</si>
  <si>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</si>
  <si>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</si>
  <si>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</si>
  <si>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</si>
  <si>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</si>
  <si>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</si>
  <si>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</si>
  <si>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</si>
  <si>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</si>
  <si>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</si>
  <si>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</si>
  <si>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</si>
  <si>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</si>
  <si>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</si>
  <si>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</si>
  <si>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</si>
  <si>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</si>
  <si>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</si>
  <si>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</si>
  <si>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</si>
  <si>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</si>
  <si>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</si>
  <si>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</si>
  <si>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</si>
  <si>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</si>
  <si>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</si>
  <si>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</si>
  <si>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</si>
  <si>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</si>
  <si>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</si>
  <si>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</si>
  <si>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</si>
  <si>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</si>
  <si>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</si>
  <si>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</si>
  <si>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</si>
  <si>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</si>
  <si>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</si>
  <si>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</si>
  <si>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</si>
  <si>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</si>
  <si>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</si>
  <si>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</si>
  <si>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</si>
  <si>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</si>
  <si>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</si>
  <si>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</si>
  <si>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</si>
  <si>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</si>
  <si>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</si>
  <si>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</si>
  <si>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</si>
  <si>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</si>
  <si>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</si>
  <si>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</si>
  <si>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</si>
  <si>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</si>
  <si>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</si>
  <si>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</si>
  <si>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</si>
  <si>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</si>
  <si>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</si>
  <si>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</si>
  <si>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</si>
  <si>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</si>
  <si>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</si>
  <si>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</si>
  <si>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</si>
  <si>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1 (220/127 V)</t>
  </si>
  <si>
    <t>QUADRO: QD-1 (ILUMINAÇÃO)</t>
  </si>
  <si>
    <t>Luminária de LED de 38W sobrepor / REFEITÓRIO</t>
  </si>
  <si>
    <t>Luminária de LED de 38W sobrepor com proteção IP66/ COZINHA</t>
  </si>
  <si>
    <t>Luminária de LED de 38W sobrepor / RECEPÇÃO E RH</t>
  </si>
  <si>
    <t>Luminária de LED de 38W sobrepor / CONTABILIDADE E ADM</t>
  </si>
  <si>
    <t>Luminária de LED de 38W sobrepor / CORREDORES DE ACESSO</t>
  </si>
  <si>
    <t>Luminária de LED de 38W sobrepor com proteção IP66/ TI</t>
  </si>
  <si>
    <t>Luminária de LED de 38W sobrepor /SESMT E MÉDICO</t>
  </si>
  <si>
    <t>Luminária de LED de 38W sobrepor /REUNIÃO E DIRETORIA</t>
  </si>
  <si>
    <t>Luminária de LED BULBO de 9W sobrepor /LAVABO DIRETORIA</t>
  </si>
  <si>
    <t>Luminária de LED de 38W sobrepor /SALA DE TREINAMENTO</t>
  </si>
  <si>
    <t>Luminária de LED de 38W sobrepor com proteção IP66/ BANHEIROS</t>
  </si>
  <si>
    <t>RESERVA</t>
  </si>
  <si>
    <t>QUADRO: QD-2 (TOMADAS)</t>
  </si>
  <si>
    <t>TOMADA DE SERVIÇO / REFEITÓRIO</t>
  </si>
  <si>
    <t>TOMADA PARA BEBEDOURO/REFEITÓRIO</t>
  </si>
  <si>
    <t>TOMADA STECK INDUSTRIAL 3 PINOS PARA  BALCÃO TRÉRMICO/ REFEITÓRIO</t>
  </si>
  <si>
    <t>TOMADA PARA MÁQUINA DE LAVAR LOUÇA /COZINHA</t>
  </si>
  <si>
    <t>TOMADA PARA MICROONDAS /COZINHA</t>
  </si>
  <si>
    <t>TOMADA PARALIQUIDIFICADOR INDUSTRIAL/COZINHA</t>
  </si>
  <si>
    <t>TOMADA PARA FREEZER E FOGÃO A GÁS/COZINHA</t>
  </si>
  <si>
    <t>TOMADA PARA GELADEIRA DUPLEX/COZINHA</t>
  </si>
  <si>
    <t>TOMADA  STECK INDUSTRIAL 3 PINOS PARA FORNO ELÉTRICO /COZINHA</t>
  </si>
  <si>
    <t>TOMADA PARA CAFETEIRA/RECEPÇÃO</t>
  </si>
  <si>
    <t>TOMADA DE SERVIÇO/RECEPÇÃO</t>
  </si>
  <si>
    <t>CAIXA DE PASSAGENS 4X4, PARA COMPUTADORES /ADM</t>
  </si>
  <si>
    <t>TOMADA DE SERVIÇO /ADM</t>
  </si>
  <si>
    <t>CAIXA DE PASSAGENS 4X4, PARA COMPUTADORES /CONTABILIDADE</t>
  </si>
  <si>
    <t>TOMADA DE SERVIÇO /CONTABILIDADE</t>
  </si>
  <si>
    <t>CAIXA DE PASSAGENS 4X4, PARA COMPUTADORES /ENGENHARIA</t>
  </si>
  <si>
    <t>TOMADA DE SERVIÇO /ENGENHARIA</t>
  </si>
  <si>
    <t xml:space="preserve">TOMADA DE SERVIÇO /CORREDOR ADMINISTRATIVO </t>
  </si>
  <si>
    <t>TOMADA DE SERVIÇO /TI</t>
  </si>
  <si>
    <t>TOMADA DE SERVIÇO /SESMT E MÉDICO</t>
  </si>
  <si>
    <t>TOMADA DE SERVIÇO /SALA DE REUNIÃO</t>
  </si>
  <si>
    <t>TOMADA DE SERVIÇO /DIRETORIA</t>
  </si>
  <si>
    <t>TOMADA DE SERVIÇO /SALAS DE TREINAMENTO</t>
  </si>
  <si>
    <t>TOMADA DE SERVIÇO /BANHEIROS</t>
  </si>
  <si>
    <t>CIRCUITO RESERVA</t>
  </si>
  <si>
    <t>QUADRO: QD-3 (AR CONDICIONADO)</t>
  </si>
  <si>
    <t>AR-COND</t>
  </si>
  <si>
    <t>EXAUSTOR INDUSTRIAL /COZINHA</t>
  </si>
  <si>
    <t>SPLIT 12.000 BTUS /RECEPÇÃO</t>
  </si>
  <si>
    <t>SPLIT 24.000 BTUS /ADM</t>
  </si>
  <si>
    <t>SPLIT 24.000 BTUS /CONTABILIDADE</t>
  </si>
  <si>
    <t>SPLIT 24.000 BTUS /ENGENHARIA</t>
  </si>
  <si>
    <t>SPLIT 24.000 BTUS /TI</t>
  </si>
  <si>
    <t>SPLIT 24.000 BTUS /SESMT E MÉDICO</t>
  </si>
  <si>
    <t>SPLIT 24.000 BTUS /SALA DE REUNIÃO</t>
  </si>
  <si>
    <t>SPLIT 24.000 BTUS /DIRETORIA</t>
  </si>
  <si>
    <t>SPLIT 24.000 BTUS /SALA DE TREINAMENTO</t>
  </si>
  <si>
    <t>EXAUSTOR INDUSTRIAL /BANHEIROS</t>
  </si>
  <si>
    <t>CÁLCULOS DA SEÇÃO DOS CABOS (QUEDA DE TENSÃO)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</si>
</sst>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7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9" fontId="42" fillId="5" borderId="1" xfId="2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37" fontId="42" fillId="5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" fontId="42" fillId="5" borderId="1" xfId="3" applyNumberFormat="1" applyFont="1" applyFill="1" applyBorder="1" applyAlignment="1">
      <alignment horizontal="center" vertical="center"/>
    </xf>
    <xf numFmtId="10" fontId="43" fillId="0" borderId="1" xfId="1" applyNumberFormat="1" applyFont="1" applyBorder="1" applyAlignment="1">
      <alignment horizontal="center" vertical="center"/>
    </xf>
    <xf numFmtId="3" fontId="42" fillId="5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18" t="s">
        <v>19</v>
      </c>
      <c r="C2" s="218"/>
      <c r="D2" s="218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zoomScale="115" zoomScaleNormal="115" workbookViewId="0">
      <selection activeCell="D5" sqref="D5:D6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60" t="s">
        <v>55</v>
      </c>
      <c r="B3" s="260" t="s">
        <v>62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13">
      <c r="A4" s="260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70">
        <v>1</v>
      </c>
      <c r="C5" s="270">
        <v>0.8</v>
      </c>
      <c r="D5" s="270">
        <v>0.7</v>
      </c>
      <c r="E5" s="270">
        <v>0.65</v>
      </c>
      <c r="F5" s="270">
        <v>0.6</v>
      </c>
      <c r="G5" s="270">
        <v>0.56999999999999995</v>
      </c>
      <c r="H5" s="270">
        <v>0.54</v>
      </c>
      <c r="I5" s="270">
        <v>0.52</v>
      </c>
      <c r="J5" s="270">
        <v>0.5</v>
      </c>
      <c r="K5" s="270">
        <v>0.45</v>
      </c>
      <c r="L5" s="270">
        <v>0.41</v>
      </c>
      <c r="M5" s="270">
        <v>0.38</v>
      </c>
    </row>
    <row r="6" spans="1:13">
      <c r="A6" s="28" t="s">
        <v>56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61" t="s">
        <v>67</v>
      </c>
      <c r="L7" s="262"/>
      <c r="M7" s="263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64"/>
      <c r="L8" s="265"/>
      <c r="M8" s="266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64"/>
      <c r="L9" s="265"/>
      <c r="M9" s="266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67"/>
      <c r="L10" s="268"/>
      <c r="M10" s="269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43" t="s">
        <v>154</v>
      </c>
      <c r="B14" s="244"/>
      <c r="C14" s="244"/>
      <c r="D14" s="245"/>
      <c r="E14" s="116"/>
      <c r="F14" s="246" t="s">
        <v>155</v>
      </c>
      <c r="G14" s="247"/>
      <c r="H14" s="247"/>
      <c r="I14" s="247"/>
      <c r="J14" s="248"/>
    </row>
    <row r="15" spans="1:13" ht="13.5" thickBot="1">
      <c r="A15" s="249" t="s">
        <v>156</v>
      </c>
      <c r="B15" s="251" t="s">
        <v>157</v>
      </c>
      <c r="C15" s="252"/>
      <c r="D15" s="253"/>
      <c r="E15" s="116"/>
      <c r="F15" s="254" t="s">
        <v>156</v>
      </c>
      <c r="G15" s="255"/>
      <c r="H15" s="251" t="s">
        <v>157</v>
      </c>
      <c r="I15" s="252"/>
      <c r="J15" s="253"/>
    </row>
    <row r="16" spans="1:13" ht="13.5" thickBot="1">
      <c r="A16" s="250"/>
      <c r="B16" s="117" t="s">
        <v>29</v>
      </c>
      <c r="C16" s="251" t="s">
        <v>158</v>
      </c>
      <c r="D16" s="253"/>
      <c r="E16" s="116"/>
      <c r="F16" s="256"/>
      <c r="G16" s="257"/>
      <c r="H16" s="118" t="s">
        <v>29</v>
      </c>
      <c r="I16" s="258" t="s">
        <v>158</v>
      </c>
      <c r="J16" s="259"/>
    </row>
    <row r="17" spans="1:10">
      <c r="A17" s="119">
        <v>10</v>
      </c>
      <c r="B17" s="120">
        <v>1.22</v>
      </c>
      <c r="C17" s="237">
        <v>1.1499999999999999</v>
      </c>
      <c r="D17" s="238"/>
      <c r="E17" s="116"/>
      <c r="F17" s="239">
        <v>10</v>
      </c>
      <c r="G17" s="240"/>
      <c r="H17" s="121">
        <v>1.1000000000000001</v>
      </c>
      <c r="I17" s="241">
        <v>1.07</v>
      </c>
      <c r="J17" s="242"/>
    </row>
    <row r="18" spans="1:10">
      <c r="A18" s="122">
        <v>15</v>
      </c>
      <c r="B18" s="123">
        <v>1.17</v>
      </c>
      <c r="C18" s="229">
        <v>1.1200000000000001</v>
      </c>
      <c r="D18" s="230"/>
      <c r="E18" s="116"/>
      <c r="F18" s="221">
        <v>15</v>
      </c>
      <c r="G18" s="222"/>
      <c r="H18" s="124">
        <v>1.05</v>
      </c>
      <c r="I18" s="219">
        <v>1.04</v>
      </c>
      <c r="J18" s="220"/>
    </row>
    <row r="19" spans="1:10">
      <c r="A19" s="125">
        <v>25</v>
      </c>
      <c r="B19" s="126">
        <v>1.1200000000000001</v>
      </c>
      <c r="C19" s="231">
        <v>1.08</v>
      </c>
      <c r="D19" s="232"/>
      <c r="E19" s="116"/>
      <c r="F19" s="233">
        <v>25</v>
      </c>
      <c r="G19" s="234"/>
      <c r="H19" s="127">
        <v>0.95</v>
      </c>
      <c r="I19" s="235">
        <v>0.96</v>
      </c>
      <c r="J19" s="236"/>
    </row>
    <row r="20" spans="1:10">
      <c r="A20" s="128">
        <v>30</v>
      </c>
      <c r="B20" s="126">
        <v>1.06</v>
      </c>
      <c r="C20" s="231">
        <v>1.04</v>
      </c>
      <c r="D20" s="232"/>
      <c r="E20" s="116"/>
      <c r="F20" s="233">
        <v>30</v>
      </c>
      <c r="G20" s="234"/>
      <c r="H20" s="127">
        <v>0.89</v>
      </c>
      <c r="I20" s="235">
        <v>0.93</v>
      </c>
      <c r="J20" s="236"/>
    </row>
    <row r="21" spans="1:10">
      <c r="A21" s="125">
        <v>35</v>
      </c>
      <c r="B21" s="126">
        <v>0.94</v>
      </c>
      <c r="C21" s="231">
        <v>0.96</v>
      </c>
      <c r="D21" s="232"/>
      <c r="E21" s="116"/>
      <c r="F21" s="233">
        <v>35</v>
      </c>
      <c r="G21" s="234"/>
      <c r="H21" s="127">
        <v>0.84</v>
      </c>
      <c r="I21" s="235">
        <v>0.89</v>
      </c>
      <c r="J21" s="236"/>
    </row>
    <row r="22" spans="1:10">
      <c r="A22" s="129">
        <v>40</v>
      </c>
      <c r="B22" s="123">
        <v>0.87</v>
      </c>
      <c r="C22" s="229">
        <v>0.91</v>
      </c>
      <c r="D22" s="230"/>
      <c r="E22" s="116"/>
      <c r="F22" s="221">
        <v>40</v>
      </c>
      <c r="G22" s="222"/>
      <c r="H22" s="124">
        <v>0.77</v>
      </c>
      <c r="I22" s="219">
        <v>0.85</v>
      </c>
      <c r="J22" s="220"/>
    </row>
    <row r="23" spans="1:10">
      <c r="A23" s="122">
        <v>45</v>
      </c>
      <c r="B23" s="123">
        <v>0.79</v>
      </c>
      <c r="C23" s="229">
        <v>0.87</v>
      </c>
      <c r="D23" s="230"/>
      <c r="E23" s="116"/>
      <c r="F23" s="221">
        <v>45</v>
      </c>
      <c r="G23" s="222"/>
      <c r="H23" s="124">
        <v>0.71</v>
      </c>
      <c r="I23" s="219">
        <v>0.8</v>
      </c>
      <c r="J23" s="220"/>
    </row>
    <row r="24" spans="1:10">
      <c r="A24" s="129">
        <v>50</v>
      </c>
      <c r="B24" s="123">
        <v>0.71</v>
      </c>
      <c r="C24" s="229">
        <v>0.82</v>
      </c>
      <c r="D24" s="230"/>
      <c r="E24" s="116"/>
      <c r="F24" s="221">
        <v>50</v>
      </c>
      <c r="G24" s="222"/>
      <c r="H24" s="124">
        <v>0.63</v>
      </c>
      <c r="I24" s="219">
        <v>0.76</v>
      </c>
      <c r="J24" s="220"/>
    </row>
    <row r="25" spans="1:10">
      <c r="A25" s="122">
        <v>55</v>
      </c>
      <c r="B25" s="123">
        <v>0.61</v>
      </c>
      <c r="C25" s="229">
        <v>0.76</v>
      </c>
      <c r="D25" s="230"/>
      <c r="E25" s="116"/>
      <c r="F25" s="221">
        <v>55</v>
      </c>
      <c r="G25" s="222"/>
      <c r="H25" s="124">
        <v>0.55000000000000004</v>
      </c>
      <c r="I25" s="219">
        <v>0.71</v>
      </c>
      <c r="J25" s="220"/>
    </row>
    <row r="26" spans="1:10">
      <c r="A26" s="129">
        <v>60</v>
      </c>
      <c r="B26" s="124">
        <v>0.5</v>
      </c>
      <c r="C26" s="229">
        <v>0.71</v>
      </c>
      <c r="D26" s="230"/>
      <c r="E26" s="116"/>
      <c r="F26" s="221">
        <v>60</v>
      </c>
      <c r="G26" s="222"/>
      <c r="H26" s="124">
        <v>0.45</v>
      </c>
      <c r="I26" s="219">
        <v>0.65</v>
      </c>
      <c r="J26" s="220"/>
    </row>
    <row r="27" spans="1:10">
      <c r="A27" s="122">
        <v>65</v>
      </c>
      <c r="B27" s="22" t="s">
        <v>82</v>
      </c>
      <c r="C27" s="229">
        <v>0.65</v>
      </c>
      <c r="D27" s="230"/>
      <c r="E27" s="116"/>
      <c r="F27" s="221">
        <v>65</v>
      </c>
      <c r="G27" s="222"/>
      <c r="H27" s="22" t="s">
        <v>82</v>
      </c>
      <c r="I27" s="219">
        <v>0.6</v>
      </c>
      <c r="J27" s="220"/>
    </row>
    <row r="28" spans="1:10">
      <c r="A28" s="129">
        <v>70</v>
      </c>
      <c r="B28" s="22" t="s">
        <v>82</v>
      </c>
      <c r="C28" s="229">
        <v>0.57999999999999996</v>
      </c>
      <c r="D28" s="230"/>
      <c r="E28" s="116"/>
      <c r="F28" s="221">
        <v>70</v>
      </c>
      <c r="G28" s="222"/>
      <c r="H28" s="22" t="s">
        <v>82</v>
      </c>
      <c r="I28" s="219">
        <v>0.53</v>
      </c>
      <c r="J28" s="220"/>
    </row>
    <row r="29" spans="1:10">
      <c r="A29" s="129">
        <v>75</v>
      </c>
      <c r="B29" s="22" t="s">
        <v>82</v>
      </c>
      <c r="C29" s="219">
        <v>0.5</v>
      </c>
      <c r="D29" s="220"/>
      <c r="E29" s="116"/>
      <c r="F29" s="221">
        <v>75</v>
      </c>
      <c r="G29" s="222"/>
      <c r="H29" s="22" t="s">
        <v>82</v>
      </c>
      <c r="I29" s="219">
        <v>0.46</v>
      </c>
      <c r="J29" s="220"/>
    </row>
    <row r="30" spans="1:10" ht="13.5" thickBot="1">
      <c r="A30" s="130">
        <v>80</v>
      </c>
      <c r="B30" s="131" t="s">
        <v>82</v>
      </c>
      <c r="C30" s="223">
        <v>0.41</v>
      </c>
      <c r="D30" s="224"/>
      <c r="E30" s="116"/>
      <c r="F30" s="225">
        <v>80</v>
      </c>
      <c r="G30" s="226"/>
      <c r="H30" s="131" t="s">
        <v>82</v>
      </c>
      <c r="I30" s="227">
        <v>0.38</v>
      </c>
      <c r="J30" s="228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  <mergeCell ref="A14:D14"/>
    <mergeCell ref="F14:J14"/>
    <mergeCell ref="A15:A16"/>
    <mergeCell ref="B15:D15"/>
    <mergeCell ref="F15:G16"/>
    <mergeCell ref="H15:J15"/>
    <mergeCell ref="C16:D16"/>
    <mergeCell ref="I16:J16"/>
    <mergeCell ref="C17:D17"/>
    <mergeCell ref="F17:G17"/>
    <mergeCell ref="I17:J17"/>
    <mergeCell ref="C18:D18"/>
    <mergeCell ref="F18:G18"/>
    <mergeCell ref="I18:J18"/>
    <mergeCell ref="C19:D19"/>
    <mergeCell ref="F19:G19"/>
    <mergeCell ref="I19:J19"/>
    <mergeCell ref="C20:D20"/>
    <mergeCell ref="F20:G20"/>
    <mergeCell ref="I20:J20"/>
    <mergeCell ref="C21:D21"/>
    <mergeCell ref="F21:G21"/>
    <mergeCell ref="I21:J21"/>
    <mergeCell ref="C22:D22"/>
    <mergeCell ref="F22:G22"/>
    <mergeCell ref="I22:J22"/>
    <mergeCell ref="C23:D23"/>
    <mergeCell ref="F23:G23"/>
    <mergeCell ref="I23:J23"/>
    <mergeCell ref="C24:D24"/>
    <mergeCell ref="F24:G24"/>
    <mergeCell ref="I24:J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8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84"/>
      <c r="C3" s="284"/>
      <c r="D3" s="284"/>
    </row>
    <row r="4" spans="1:11" s="68" customFormat="1" ht="29.25" customHeight="1">
      <c r="A4" s="274" t="s">
        <v>27</v>
      </c>
      <c r="B4" s="285" t="s">
        <v>28</v>
      </c>
      <c r="C4" s="285"/>
      <c r="D4" s="285"/>
      <c r="F4" s="260" t="s">
        <v>80</v>
      </c>
      <c r="G4" s="260"/>
      <c r="H4" s="260"/>
      <c r="I4" s="260"/>
      <c r="J4" s="260"/>
      <c r="K4" s="260"/>
    </row>
    <row r="5" spans="1:11" s="68" customFormat="1" ht="25.5" customHeight="1">
      <c r="A5" s="274"/>
      <c r="B5" s="285" t="s">
        <v>29</v>
      </c>
      <c r="C5" s="285"/>
      <c r="D5" s="286" t="s">
        <v>32</v>
      </c>
      <c r="F5" s="65" t="s">
        <v>43</v>
      </c>
      <c r="G5" s="65" t="s">
        <v>44</v>
      </c>
      <c r="H5" s="281" t="s">
        <v>47</v>
      </c>
      <c r="I5" s="282"/>
      <c r="J5" s="281" t="s">
        <v>48</v>
      </c>
      <c r="K5" s="282"/>
    </row>
    <row r="6" spans="1:11" s="68" customFormat="1" ht="38.25">
      <c r="A6" s="274"/>
      <c r="B6" s="67" t="s">
        <v>30</v>
      </c>
      <c r="C6" s="67" t="s">
        <v>31</v>
      </c>
      <c r="D6" s="286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78" t="s">
        <v>70</v>
      </c>
      <c r="C7" s="279"/>
      <c r="D7" s="280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60" t="s">
        <v>81</v>
      </c>
      <c r="G18" s="260"/>
      <c r="H18" s="260"/>
      <c r="I18" s="260"/>
      <c r="J18" s="260"/>
      <c r="K18" s="260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81" t="s">
        <v>83</v>
      </c>
      <c r="I19" s="282"/>
      <c r="J19" s="281" t="s">
        <v>84</v>
      </c>
      <c r="K19" s="282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60" t="s">
        <v>45</v>
      </c>
      <c r="G20" s="260" t="s">
        <v>46</v>
      </c>
      <c r="H20" s="283" t="s">
        <v>85</v>
      </c>
      <c r="I20" s="283" t="s">
        <v>50</v>
      </c>
      <c r="J20" s="283" t="s">
        <v>85</v>
      </c>
      <c r="K20" s="283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60"/>
      <c r="G21" s="260"/>
      <c r="H21" s="283"/>
      <c r="I21" s="283"/>
      <c r="J21" s="283"/>
      <c r="K21" s="283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60"/>
      <c r="G22" s="260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71" t="s">
        <v>86</v>
      </c>
      <c r="C27" s="272"/>
      <c r="D27" s="273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74" t="s">
        <v>27</v>
      </c>
      <c r="B28" s="275" t="s">
        <v>87</v>
      </c>
      <c r="C28" s="277"/>
      <c r="D28" s="276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74"/>
      <c r="B29" s="275"/>
      <c r="C29" s="277"/>
      <c r="D29" s="277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74"/>
      <c r="B30" s="275"/>
      <c r="C30" s="277"/>
      <c r="D30" s="277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74"/>
      <c r="B31" s="275"/>
      <c r="C31" s="277"/>
      <c r="D31" s="277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3:D3"/>
    <mergeCell ref="A4:A6"/>
    <mergeCell ref="B4:D4"/>
    <mergeCell ref="F4:K4"/>
    <mergeCell ref="B5:C5"/>
    <mergeCell ref="D5:D6"/>
    <mergeCell ref="H5:I5"/>
    <mergeCell ref="J5:K5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27:D27"/>
    <mergeCell ref="A28:A31"/>
    <mergeCell ref="B28:B31"/>
    <mergeCell ref="D28:D31"/>
    <mergeCell ref="C28:C31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zoomScaleNormal="100" workbookViewId="0">
      <selection activeCell="A9" sqref="A9:XFD9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297" t="s">
        <v>159</v>
      </c>
      <c r="B2" s="300" t="s">
        <v>160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2"/>
    </row>
    <row r="3" spans="1:16" ht="19.5" customHeight="1" thickBot="1">
      <c r="A3" s="298"/>
      <c r="B3" s="300" t="s">
        <v>161</v>
      </c>
      <c r="C3" s="302"/>
      <c r="D3" s="300" t="s">
        <v>162</v>
      </c>
      <c r="E3" s="302"/>
      <c r="F3" s="300" t="s">
        <v>163</v>
      </c>
      <c r="G3" s="302"/>
      <c r="H3" s="300" t="s">
        <v>164</v>
      </c>
      <c r="I3" s="302"/>
      <c r="J3" s="300" t="s">
        <v>16</v>
      </c>
      <c r="K3" s="302"/>
      <c r="L3" s="300" t="s">
        <v>165</v>
      </c>
      <c r="M3" s="302"/>
    </row>
    <row r="4" spans="1:16" ht="64.5" thickBot="1">
      <c r="A4" s="299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297" t="s">
        <v>159</v>
      </c>
      <c r="B31" s="300" t="s">
        <v>169</v>
      </c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2"/>
    </row>
    <row r="32" spans="1:13" ht="13.5" thickBot="1">
      <c r="A32" s="298"/>
      <c r="B32" s="300" t="s">
        <v>161</v>
      </c>
      <c r="C32" s="302"/>
      <c r="D32" s="300" t="s">
        <v>162</v>
      </c>
      <c r="E32" s="302"/>
      <c r="F32" s="300" t="s">
        <v>163</v>
      </c>
      <c r="G32" s="302"/>
      <c r="H32" s="300" t="s">
        <v>164</v>
      </c>
      <c r="I32" s="302"/>
      <c r="J32" s="300" t="s">
        <v>16</v>
      </c>
      <c r="K32" s="302"/>
      <c r="L32" s="300" t="s">
        <v>165</v>
      </c>
      <c r="M32" s="302"/>
    </row>
    <row r="33" spans="1:13" ht="64.5" thickBot="1">
      <c r="A33" s="299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287" t="s">
        <v>170</v>
      </c>
      <c r="D65" s="288"/>
      <c r="F65" s="289" t="s">
        <v>171</v>
      </c>
      <c r="G65" s="290"/>
    </row>
    <row r="66" spans="3:13" ht="36" customHeight="1" thickBot="1">
      <c r="C66" s="291" t="s">
        <v>172</v>
      </c>
      <c r="D66" s="292"/>
      <c r="F66" s="293" t="s">
        <v>173</v>
      </c>
      <c r="G66" s="294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295" t="s">
        <v>179</v>
      </c>
      <c r="M67" s="296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A2:A4"/>
    <mergeCell ref="B2:M2"/>
    <mergeCell ref="B3:C3"/>
    <mergeCell ref="D3:E3"/>
    <mergeCell ref="F3:G3"/>
    <mergeCell ref="H3:I3"/>
    <mergeCell ref="J3:K3"/>
    <mergeCell ref="L3:M3"/>
    <mergeCell ref="A31:A33"/>
    <mergeCell ref="B31:M31"/>
    <mergeCell ref="B32:C32"/>
    <mergeCell ref="D32:E32"/>
    <mergeCell ref="F32:G32"/>
    <mergeCell ref="H32:I32"/>
    <mergeCell ref="J32:K32"/>
    <mergeCell ref="L32:M32"/>
    <mergeCell ref="C65:D65"/>
    <mergeCell ref="F65:G65"/>
    <mergeCell ref="C66:D66"/>
    <mergeCell ref="F66:G66"/>
    <mergeCell ref="L67:M6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21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25" sqref="A25:XFD5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03" t="s">
        <v>0</v>
      </c>
      <c r="B1" s="304"/>
      <c r="C1" s="305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06" t="s">
        <v>191</v>
      </c>
      <c r="B2" s="307"/>
      <c r="C2" s="308"/>
      <c r="D2" s="309"/>
      <c r="E2" s="310"/>
      <c r="F2" s="310"/>
      <c r="G2" s="310"/>
      <c r="H2" s="310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1"/>
      <c r="AB2" s="311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03" t="s">
        <v>192</v>
      </c>
      <c r="B3" s="304"/>
      <c r="C3" s="305"/>
      <c r="D3" s="309"/>
      <c r="E3" s="310"/>
      <c r="F3" s="310"/>
      <c r="G3" s="310"/>
      <c r="H3" s="310"/>
      <c r="I3" s="310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2" t="s">
        <v>103</v>
      </c>
      <c r="AC3" s="313"/>
      <c r="AD3" s="313"/>
      <c r="AE3" s="313"/>
      <c r="AF3" s="313"/>
      <c r="AG3" s="313"/>
      <c r="AH3" s="313"/>
      <c r="AI3" s="313"/>
      <c r="AJ3" s="314"/>
      <c r="AK3" s="4"/>
      <c r="AL3" s="4"/>
      <c r="AM3" s="4"/>
      <c r="BP3"/>
      <c r="BQ3"/>
      <c r="BR3"/>
      <c r="BS3"/>
      <c r="BT3"/>
      <c r="BU3"/>
    </row>
    <row r="4" spans="1:73" ht="18" customHeight="1">
      <c r="A4" s="329" t="s">
        <v>137</v>
      </c>
      <c r="B4" s="329"/>
      <c r="C4" s="329"/>
      <c r="D4" s="329" t="s">
        <v>134</v>
      </c>
      <c r="E4" s="329"/>
      <c r="F4" s="329"/>
      <c r="G4" s="329"/>
      <c r="H4" s="329"/>
      <c r="I4" s="329"/>
      <c r="J4" s="329"/>
      <c r="K4" s="329"/>
      <c r="L4" s="329"/>
      <c r="M4" s="329"/>
      <c r="N4" s="329" t="s">
        <v>135</v>
      </c>
      <c r="O4" s="329"/>
      <c r="P4" s="329"/>
      <c r="Q4" s="330" t="s">
        <v>136</v>
      </c>
      <c r="R4" s="332"/>
      <c r="S4" s="329" t="s">
        <v>125</v>
      </c>
      <c r="T4" s="329" t="s">
        <v>101</v>
      </c>
      <c r="U4" s="329"/>
      <c r="V4" s="329"/>
      <c r="W4" s="329" t="s">
        <v>102</v>
      </c>
      <c r="X4" s="330" t="s">
        <v>138</v>
      </c>
      <c r="Y4" s="331"/>
      <c r="Z4" s="332"/>
      <c r="AA4" s="329" t="s">
        <v>99</v>
      </c>
      <c r="AB4" s="315" t="s">
        <v>93</v>
      </c>
      <c r="AC4" s="322"/>
      <c r="AD4" s="316"/>
      <c r="AE4" s="339" t="s">
        <v>100</v>
      </c>
      <c r="AF4" s="339"/>
      <c r="AG4" s="315" t="s">
        <v>94</v>
      </c>
      <c r="AH4" s="316"/>
      <c r="AI4" s="315" t="s">
        <v>95</v>
      </c>
      <c r="AJ4" s="316"/>
      <c r="AK4" s="315" t="s">
        <v>105</v>
      </c>
      <c r="AL4" s="321" t="s">
        <v>104</v>
      </c>
      <c r="AM4" s="321"/>
      <c r="AN4" s="321"/>
      <c r="AO4" s="315" t="s">
        <v>98</v>
      </c>
      <c r="AP4" s="322"/>
      <c r="AQ4" s="322"/>
      <c r="AR4" s="322"/>
      <c r="AS4" s="322"/>
      <c r="AT4" s="316"/>
      <c r="AU4" s="321" t="s">
        <v>152</v>
      </c>
      <c r="AV4" s="321"/>
      <c r="AW4" s="321"/>
      <c r="BP4"/>
      <c r="BQ4"/>
      <c r="BR4"/>
      <c r="BS4"/>
      <c r="BT4"/>
      <c r="BU4"/>
    </row>
    <row r="5" spans="1:73" ht="18" customHeight="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33"/>
      <c r="R5" s="335"/>
      <c r="S5" s="329"/>
      <c r="T5" s="329"/>
      <c r="U5" s="329"/>
      <c r="V5" s="329"/>
      <c r="W5" s="329"/>
      <c r="X5" s="333"/>
      <c r="Y5" s="334"/>
      <c r="Z5" s="335"/>
      <c r="AA5" s="329"/>
      <c r="AB5" s="317"/>
      <c r="AC5" s="323"/>
      <c r="AD5" s="318"/>
      <c r="AE5" s="339"/>
      <c r="AF5" s="339"/>
      <c r="AG5" s="317"/>
      <c r="AH5" s="318"/>
      <c r="AI5" s="317"/>
      <c r="AJ5" s="318"/>
      <c r="AK5" s="317"/>
      <c r="AL5" s="321"/>
      <c r="AM5" s="321"/>
      <c r="AN5" s="321"/>
      <c r="AO5" s="317"/>
      <c r="AP5" s="323"/>
      <c r="AQ5" s="323"/>
      <c r="AR5" s="323"/>
      <c r="AS5" s="323"/>
      <c r="AT5" s="318"/>
      <c r="AU5" s="321"/>
      <c r="AV5" s="321"/>
      <c r="AW5" s="321"/>
      <c r="BP5"/>
      <c r="BQ5"/>
      <c r="BR5"/>
      <c r="BS5"/>
      <c r="BT5"/>
      <c r="BU5"/>
    </row>
    <row r="6" spans="1:73" ht="18" customHeight="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36"/>
      <c r="R6" s="338"/>
      <c r="S6" s="329"/>
      <c r="T6" s="329"/>
      <c r="U6" s="329"/>
      <c r="V6" s="329"/>
      <c r="W6" s="329"/>
      <c r="X6" s="336"/>
      <c r="Y6" s="337"/>
      <c r="Z6" s="338"/>
      <c r="AA6" s="329"/>
      <c r="AB6" s="319"/>
      <c r="AC6" s="324"/>
      <c r="AD6" s="320"/>
      <c r="AE6" s="339"/>
      <c r="AF6" s="339"/>
      <c r="AG6" s="319"/>
      <c r="AH6" s="320"/>
      <c r="AI6" s="319"/>
      <c r="AJ6" s="320"/>
      <c r="AK6" s="319"/>
      <c r="AL6" s="321"/>
      <c r="AM6" s="321"/>
      <c r="AN6" s="321"/>
      <c r="AO6" s="319"/>
      <c r="AP6" s="324"/>
      <c r="AQ6" s="324"/>
      <c r="AR6" s="324"/>
      <c r="AS6" s="324"/>
      <c r="AT6" s="320"/>
      <c r="AU6" s="321"/>
      <c r="AV6" s="321"/>
      <c r="AW6" s="321"/>
      <c r="BP6"/>
      <c r="BQ6"/>
      <c r="BR6"/>
      <c r="BS6"/>
      <c r="BT6"/>
      <c r="BU6"/>
    </row>
    <row r="7" spans="1:73" ht="15.75" customHeight="1">
      <c r="A7" s="325" t="s">
        <v>23</v>
      </c>
      <c r="B7" s="325" t="s">
        <v>1</v>
      </c>
      <c r="C7" s="325" t="s">
        <v>133</v>
      </c>
      <c r="D7" s="326" t="s">
        <v>10</v>
      </c>
      <c r="E7" s="327" t="s">
        <v>33</v>
      </c>
      <c r="F7" s="326" t="s">
        <v>34</v>
      </c>
      <c r="G7" s="326" t="s">
        <v>24</v>
      </c>
      <c r="H7" s="344" t="s">
        <v>25</v>
      </c>
      <c r="I7" s="340" t="s">
        <v>39</v>
      </c>
      <c r="J7" s="340" t="s">
        <v>38</v>
      </c>
      <c r="K7" s="340" t="s">
        <v>41</v>
      </c>
      <c r="L7" s="340" t="s">
        <v>37</v>
      </c>
      <c r="M7" s="340" t="s">
        <v>40</v>
      </c>
      <c r="N7" s="341" t="s">
        <v>72</v>
      </c>
      <c r="O7" s="341" t="s">
        <v>75</v>
      </c>
      <c r="P7" s="341" t="s">
        <v>73</v>
      </c>
      <c r="Q7" s="342" t="s">
        <v>71</v>
      </c>
      <c r="R7" s="350" t="s">
        <v>2</v>
      </c>
      <c r="S7" s="350" t="s">
        <v>3</v>
      </c>
      <c r="T7" s="350" t="s">
        <v>92</v>
      </c>
      <c r="U7" s="350" t="s">
        <v>4</v>
      </c>
      <c r="V7" s="350" t="s">
        <v>35</v>
      </c>
      <c r="W7" s="346" t="s">
        <v>5</v>
      </c>
      <c r="X7" s="346" t="s">
        <v>6</v>
      </c>
      <c r="Y7" s="325" t="s">
        <v>7</v>
      </c>
      <c r="Z7" s="325" t="s">
        <v>42</v>
      </c>
      <c r="AA7" s="325" t="s">
        <v>139</v>
      </c>
      <c r="AB7" s="348" t="s">
        <v>153</v>
      </c>
      <c r="AC7" s="348" t="s">
        <v>68</v>
      </c>
      <c r="AD7" s="348" t="s">
        <v>69</v>
      </c>
      <c r="AE7" s="363" t="s">
        <v>8</v>
      </c>
      <c r="AF7" s="363" t="s">
        <v>9</v>
      </c>
      <c r="AG7" s="345" t="s">
        <v>96</v>
      </c>
      <c r="AH7" s="345" t="s">
        <v>68</v>
      </c>
      <c r="AI7" s="345" t="s">
        <v>96</v>
      </c>
      <c r="AJ7" s="345" t="s">
        <v>68</v>
      </c>
      <c r="AK7" s="348" t="s">
        <v>97</v>
      </c>
      <c r="AL7" s="348" t="s">
        <v>140</v>
      </c>
      <c r="AM7" s="348" t="s">
        <v>141</v>
      </c>
      <c r="AN7" s="348" t="s">
        <v>36</v>
      </c>
      <c r="AO7" s="326" t="s">
        <v>1</v>
      </c>
      <c r="AP7" s="362" t="s">
        <v>142</v>
      </c>
      <c r="AQ7" s="363" t="s">
        <v>143</v>
      </c>
      <c r="AR7" s="362" t="s">
        <v>12</v>
      </c>
      <c r="AS7" s="362" t="s">
        <v>13</v>
      </c>
      <c r="AT7" s="362" t="s">
        <v>76</v>
      </c>
      <c r="AU7" s="352" t="s">
        <v>14</v>
      </c>
      <c r="AV7" s="352" t="s">
        <v>15</v>
      </c>
      <c r="AW7" s="352" t="s">
        <v>16</v>
      </c>
    </row>
    <row r="8" spans="1:73" ht="53.25" customHeight="1">
      <c r="A8" s="325"/>
      <c r="B8" s="325"/>
      <c r="C8" s="325"/>
      <c r="D8" s="326"/>
      <c r="E8" s="328"/>
      <c r="F8" s="326"/>
      <c r="G8" s="326"/>
      <c r="H8" s="344"/>
      <c r="I8" s="340"/>
      <c r="J8" s="340"/>
      <c r="K8" s="340"/>
      <c r="L8" s="340"/>
      <c r="M8" s="340"/>
      <c r="N8" s="341"/>
      <c r="O8" s="341"/>
      <c r="P8" s="341"/>
      <c r="Q8" s="343"/>
      <c r="R8" s="351"/>
      <c r="S8" s="351"/>
      <c r="T8" s="351"/>
      <c r="U8" s="351"/>
      <c r="V8" s="351"/>
      <c r="W8" s="347"/>
      <c r="X8" s="347"/>
      <c r="Y8" s="325"/>
      <c r="Z8" s="325"/>
      <c r="AA8" s="325"/>
      <c r="AB8" s="349"/>
      <c r="AC8" s="349"/>
      <c r="AD8" s="349"/>
      <c r="AE8" s="364"/>
      <c r="AF8" s="364"/>
      <c r="AG8" s="326"/>
      <c r="AH8" s="326"/>
      <c r="AI8" s="326"/>
      <c r="AJ8" s="326"/>
      <c r="AK8" s="349"/>
      <c r="AL8" s="349"/>
      <c r="AM8" s="349"/>
      <c r="AN8" s="349"/>
      <c r="AO8" s="326"/>
      <c r="AP8" s="326"/>
      <c r="AQ8" s="364"/>
      <c r="AR8" s="362"/>
      <c r="AS8" s="362"/>
      <c r="AT8" s="362"/>
      <c r="AU8" s="352"/>
      <c r="AV8" s="352"/>
      <c r="AW8" s="352"/>
    </row>
    <row r="9" spans="1:73" s="33" customFormat="1" ht="23.25" customHeight="1">
      <c r="A9" s="36">
        <v>1</v>
      </c>
      <c r="B9" s="35" t="s">
        <v>78</v>
      </c>
      <c r="C9" s="37" t="s">
        <v>193</v>
      </c>
      <c r="D9" s="38">
        <v>15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619.56521739130437</v>
      </c>
      <c r="J9" s="41">
        <f t="shared" ref="J9:J60" si="1">I9*SIN(ACOS(G9))</f>
        <v>242.81898319763664</v>
      </c>
      <c r="K9" s="38">
        <v>1</v>
      </c>
      <c r="L9" s="41">
        <f>IF(K9=K7,0,SUMIF(K9:K58,K9,I9:I58))</f>
        <v>619.56521739130437</v>
      </c>
      <c r="M9" s="41">
        <f>IF(K9=K7,0,SUMIF(K9:K58,K9,J9:J58))</f>
        <v>242.81898319763664</v>
      </c>
      <c r="N9" s="40">
        <v>1</v>
      </c>
      <c r="O9" s="41">
        <f>L9*N9</f>
        <v>619.56521739130437</v>
      </c>
      <c r="P9" s="41">
        <f>M9*N9</f>
        <v>242.81898319763664</v>
      </c>
      <c r="Q9" s="78">
        <v>1</v>
      </c>
      <c r="R9" s="80">
        <v>127</v>
      </c>
      <c r="S9" s="79">
        <f>IF(V9=0,"-",IF(Q9=0,0,IF(Q9&lt;3,O9/R9,O9/(R9*SQRT(3)))))</f>
        <v>4.8784662786716879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7.0805025815263969</v>
      </c>
      <c r="X9" s="45">
        <v>30</v>
      </c>
      <c r="Y9" s="45">
        <v>3</v>
      </c>
      <c r="Z9" s="46">
        <f>IF(Y9=0,"-",IF(Q9&lt;3,(200*(1/56)*X9*W9)/(Y9*R9),(100*SQRT(3)*(1/56)*X9*W9)/(Y9*R9)))</f>
        <v>1.9911424582470181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2.389370949896422</v>
      </c>
      <c r="AF9" s="48">
        <f t="shared" ref="AF9:AF16" si="2">IF(AB9=0,"-",IF(AC9=0,0,AE9+$AE$61))</f>
        <v>4.0883253531183641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7">
        <f>O9</f>
        <v>619.56521739130437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194</v>
      </c>
      <c r="D10" s="38">
        <v>9</v>
      </c>
      <c r="E10" s="39">
        <v>38</v>
      </c>
      <c r="F10" s="63"/>
      <c r="G10" s="40">
        <v>0.92</v>
      </c>
      <c r="H10" s="40"/>
      <c r="I10" s="41">
        <f t="shared" si="0"/>
        <v>371.73913043478257</v>
      </c>
      <c r="J10" s="41">
        <f t="shared" si="1"/>
        <v>145.69138991858196</v>
      </c>
      <c r="K10" s="38">
        <v>2</v>
      </c>
      <c r="L10" s="41">
        <f>IF(K10=K9,0,SUMIF(K10:$K$60,K10,I10:$I$60))</f>
        <v>371.73913043478257</v>
      </c>
      <c r="M10" s="41">
        <f>IF(K10=K9,0,SUMIF(K10:$K$60,K10,J10:$J$60))</f>
        <v>145.69138991858196</v>
      </c>
      <c r="N10" s="40">
        <v>1</v>
      </c>
      <c r="O10" s="41">
        <f t="shared" ref="O10:O60" si="3">L10*N10</f>
        <v>371.73913043478257</v>
      </c>
      <c r="P10" s="41">
        <f t="shared" ref="P10:P60" si="4">M10*N10</f>
        <v>145.69138991858196</v>
      </c>
      <c r="Q10" s="78">
        <v>1</v>
      </c>
      <c r="R10" s="80">
        <v>127</v>
      </c>
      <c r="S10" s="79">
        <f t="shared" ref="S10:S60" si="5">IF(V10=0,"-",IF(Q10=0,0,IF(Q10&lt;3,O10/R10,O10/(R10*SQRT(3)))))</f>
        <v>2.9270797672030122</v>
      </c>
      <c r="T10" s="43">
        <v>1.06</v>
      </c>
      <c r="U10" s="43">
        <v>0.65</v>
      </c>
      <c r="V10" s="42">
        <v>10</v>
      </c>
      <c r="W10" s="110">
        <f t="shared" ref="W10:W60" si="6">IF(V10=0,"-",IF(V10&lt;15,S10/(T10*U10),(S10/(T10*U10)/0.86)))</f>
        <v>4.2483015489158378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0.7964569832988071</v>
      </c>
      <c r="AA10" s="47">
        <v>1</v>
      </c>
      <c r="AB10" s="47">
        <v>1</v>
      </c>
      <c r="AC10" s="102">
        <v>1.5</v>
      </c>
      <c r="AD10" s="46">
        <f t="shared" ref="AD10:AD61" si="8">IF(AB10=0,"-",AB10*AC10)</f>
        <v>1.5</v>
      </c>
      <c r="AE10" s="46">
        <f t="shared" ref="AE10:AE61" si="9">IF(AB10=0,"-",IF(AC10=0,0,IF(Q10&lt;3,(200*(1/56)*W10*X10)/(AD10*R10),(100*SQRT(3)*(1/56)*W10*X10)/(AD10*R10))))</f>
        <v>1.5929139665976142</v>
      </c>
      <c r="AF10" s="48">
        <f t="shared" si="2"/>
        <v>3.2918683698195568</v>
      </c>
      <c r="AG10" s="47">
        <v>1</v>
      </c>
      <c r="AH10" s="102">
        <v>1.5</v>
      </c>
      <c r="AI10" s="47">
        <v>1</v>
      </c>
      <c r="AJ10" s="102">
        <v>1.5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21</v>
      </c>
      <c r="AO10" s="35"/>
      <c r="AP10" s="35"/>
      <c r="AQ10" s="35"/>
      <c r="AR10" s="49">
        <f t="shared" ref="AR10:AR60" si="11">IF(Q10=0,"-",Q10)</f>
        <v>1</v>
      </c>
      <c r="AS10" s="47">
        <v>16</v>
      </c>
      <c r="AT10" s="49" t="str">
        <f t="shared" ref="AT10:AT61" si="12">IF(AS10=0,"-",IF(AS10&gt;W10,"SIM","NÃO"))</f>
        <v>SIM</v>
      </c>
      <c r="AU10" s="50"/>
      <c r="AV10" s="50">
        <f>O10</f>
        <v>371.73913043478257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195</v>
      </c>
      <c r="D11" s="38">
        <v>10</v>
      </c>
      <c r="E11" s="39">
        <v>38</v>
      </c>
      <c r="F11" s="63"/>
      <c r="G11" s="40">
        <v>0.92</v>
      </c>
      <c r="H11" s="40"/>
      <c r="I11" s="41">
        <f t="shared" si="0"/>
        <v>413.04347826086956</v>
      </c>
      <c r="J11" s="41">
        <f t="shared" si="1"/>
        <v>161.87932213175776</v>
      </c>
      <c r="K11" s="38">
        <v>3</v>
      </c>
      <c r="L11" s="41">
        <f>IF(K11=K10,0,SUMIF(K11:$K$60,K11,I11:$I$60))</f>
        <v>413.04347826086956</v>
      </c>
      <c r="M11" s="41">
        <f>IF(K11=K10,0,SUMIF(K11:$K$60,K11,J11:$J$60))</f>
        <v>161.87932213175776</v>
      </c>
      <c r="N11" s="40">
        <v>1</v>
      </c>
      <c r="O11" s="41">
        <f t="shared" si="3"/>
        <v>413.04347826086956</v>
      </c>
      <c r="P11" s="41">
        <f t="shared" si="4"/>
        <v>161.87932213175776</v>
      </c>
      <c r="Q11" s="78">
        <v>1</v>
      </c>
      <c r="R11" s="80">
        <v>127</v>
      </c>
      <c r="S11" s="79">
        <f t="shared" si="5"/>
        <v>3.2523108524477919</v>
      </c>
      <c r="T11" s="43">
        <v>1.06</v>
      </c>
      <c r="U11" s="43">
        <v>0.7</v>
      </c>
      <c r="V11" s="42">
        <v>10</v>
      </c>
      <c r="W11" s="110">
        <f t="shared" si="6"/>
        <v>4.3831682647544365</v>
      </c>
      <c r="X11" s="45">
        <v>22</v>
      </c>
      <c r="Y11" s="45">
        <v>3</v>
      </c>
      <c r="Z11" s="46">
        <f t="shared" si="7"/>
        <v>0.90391546517245602</v>
      </c>
      <c r="AA11" s="47">
        <v>1</v>
      </c>
      <c r="AB11" s="47">
        <v>1</v>
      </c>
      <c r="AC11" s="102">
        <v>1.5</v>
      </c>
      <c r="AD11" s="46">
        <f t="shared" si="8"/>
        <v>1.5</v>
      </c>
      <c r="AE11" s="46">
        <f t="shared" si="9"/>
        <v>1.8078309303449116</v>
      </c>
      <c r="AF11" s="48">
        <f t="shared" si="2"/>
        <v>3.506785333566854</v>
      </c>
      <c r="AG11" s="47">
        <v>1</v>
      </c>
      <c r="AH11" s="102">
        <v>1.5</v>
      </c>
      <c r="AI11" s="47">
        <v>1</v>
      </c>
      <c r="AJ11" s="102">
        <v>1.5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</v>
      </c>
      <c r="AM11" s="44" t="str">
        <f>IF(AA11=2,IF(AC11&gt;=25,LOOKUP(AC11,'Tabela eletroduto'!$A$32:$A$43,'Tabela eletroduto'!$D$32:$D$43)),"-")</f>
        <v>-</v>
      </c>
      <c r="AN11" s="44">
        <f t="shared" si="10"/>
        <v>21</v>
      </c>
      <c r="AO11" s="35"/>
      <c r="AP11" s="35"/>
      <c r="AQ11" s="35"/>
      <c r="AR11" s="49">
        <f t="shared" si="11"/>
        <v>1</v>
      </c>
      <c r="AS11" s="47">
        <v>16</v>
      </c>
      <c r="AT11" s="49" t="str">
        <f t="shared" si="12"/>
        <v>SIM</v>
      </c>
      <c r="AU11" s="50"/>
      <c r="AV11" s="50"/>
      <c r="AW11" s="50">
        <f>O11</f>
        <v>413.04347826086956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196</v>
      </c>
      <c r="D12" s="38">
        <v>12</v>
      </c>
      <c r="E12" s="39">
        <v>38</v>
      </c>
      <c r="F12" s="63"/>
      <c r="G12" s="40">
        <v>0.92</v>
      </c>
      <c r="H12" s="40"/>
      <c r="I12" s="41">
        <f t="shared" si="0"/>
        <v>495.65217391304344</v>
      </c>
      <c r="J12" s="41">
        <f t="shared" si="1"/>
        <v>194.25518655810927</v>
      </c>
      <c r="K12" s="38">
        <v>4</v>
      </c>
      <c r="L12" s="41">
        <f>IF(K12=K11,0,SUMIF(K12:$K$60,K12,I12:$I$60))</f>
        <v>495.65217391304344</v>
      </c>
      <c r="M12" s="41">
        <f>IF(K12=K11,0,SUMIF(K12:$K$60,K12,J12:$J$60))</f>
        <v>194.25518655810927</v>
      </c>
      <c r="N12" s="40">
        <v>1</v>
      </c>
      <c r="O12" s="41">
        <f t="shared" si="3"/>
        <v>495.65217391304344</v>
      </c>
      <c r="P12" s="41">
        <f t="shared" si="4"/>
        <v>194.25518655810927</v>
      </c>
      <c r="Q12" s="78">
        <v>1</v>
      </c>
      <c r="R12" s="80">
        <v>127</v>
      </c>
      <c r="S12" s="79">
        <f t="shared" si="5"/>
        <v>3.9027730229373501</v>
      </c>
      <c r="T12" s="43">
        <v>1.06</v>
      </c>
      <c r="U12" s="43">
        <v>0.65</v>
      </c>
      <c r="V12" s="42">
        <v>10</v>
      </c>
      <c r="W12" s="110">
        <f t="shared" si="6"/>
        <v>5.6644020652211173</v>
      </c>
      <c r="X12" s="45">
        <v>10</v>
      </c>
      <c r="Y12" s="45">
        <v>3</v>
      </c>
      <c r="Z12" s="46">
        <f t="shared" si="7"/>
        <v>0.53097132219920484</v>
      </c>
      <c r="AA12" s="47">
        <v>1</v>
      </c>
      <c r="AB12" s="47">
        <v>1</v>
      </c>
      <c r="AC12" s="102">
        <v>1.5</v>
      </c>
      <c r="AD12" s="46">
        <f t="shared" si="8"/>
        <v>1.5</v>
      </c>
      <c r="AE12" s="46">
        <f t="shared" si="9"/>
        <v>1.0619426443984097</v>
      </c>
      <c r="AF12" s="48">
        <f t="shared" si="2"/>
        <v>2.760897047620352</v>
      </c>
      <c r="AG12" s="47">
        <v>1</v>
      </c>
      <c r="AH12" s="102">
        <v>1.5</v>
      </c>
      <c r="AI12" s="47">
        <v>1</v>
      </c>
      <c r="AJ12" s="102">
        <v>1.5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7</v>
      </c>
      <c r="AM12" s="44" t="str">
        <f>IF(AA12=2,IF(AC12&gt;=25,LOOKUP(AC12,'Tabela eletroduto'!$A$32:$A$43,'Tabela eletroduto'!$D$32:$D$43)),"-")</f>
        <v>-</v>
      </c>
      <c r="AN12" s="44">
        <f t="shared" si="10"/>
        <v>21</v>
      </c>
      <c r="AO12" s="35"/>
      <c r="AP12" s="35"/>
      <c r="AQ12" s="35"/>
      <c r="AR12" s="49">
        <f t="shared" si="11"/>
        <v>1</v>
      </c>
      <c r="AS12" s="47">
        <v>16</v>
      </c>
      <c r="AT12" s="49" t="str">
        <f t="shared" si="12"/>
        <v>SIM</v>
      </c>
      <c r="AU12" s="50"/>
      <c r="AV12" s="50">
        <f>O12</f>
        <v>495.65217391304344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197</v>
      </c>
      <c r="D13" s="38">
        <v>9</v>
      </c>
      <c r="E13" s="39">
        <v>38</v>
      </c>
      <c r="F13" s="63"/>
      <c r="G13" s="40">
        <v>0.92</v>
      </c>
      <c r="H13" s="40"/>
      <c r="I13" s="41">
        <f t="shared" si="0"/>
        <v>371.73913043478257</v>
      </c>
      <c r="J13" s="41">
        <f t="shared" si="1"/>
        <v>145.69138991858196</v>
      </c>
      <c r="K13" s="38">
        <v>5</v>
      </c>
      <c r="L13" s="41">
        <f>IF(K13=K12,0,SUMIF(K13:$K$60,K13,I13:$I$60))</f>
        <v>371.73913043478257</v>
      </c>
      <c r="M13" s="41">
        <f>IF(K13=K12,0,SUMIF(K13:$K$60,K13,J13:$J$60))</f>
        <v>145.69138991858196</v>
      </c>
      <c r="N13" s="40">
        <v>1</v>
      </c>
      <c r="O13" s="41">
        <f t="shared" si="3"/>
        <v>371.73913043478257</v>
      </c>
      <c r="P13" s="41">
        <f t="shared" si="4"/>
        <v>145.69138991858196</v>
      </c>
      <c r="Q13" s="78">
        <v>1</v>
      </c>
      <c r="R13" s="80">
        <v>127</v>
      </c>
      <c r="S13" s="79">
        <f t="shared" si="5"/>
        <v>2.9270797672030122</v>
      </c>
      <c r="T13" s="43">
        <v>1.06</v>
      </c>
      <c r="U13" s="43">
        <v>0.65</v>
      </c>
      <c r="V13" s="42">
        <v>10</v>
      </c>
      <c r="W13" s="110">
        <f t="shared" si="6"/>
        <v>4.2483015489158378</v>
      </c>
      <c r="X13" s="45">
        <v>25</v>
      </c>
      <c r="Y13" s="45">
        <v>3</v>
      </c>
      <c r="Z13" s="46">
        <f t="shared" si="7"/>
        <v>0.99557122912350893</v>
      </c>
      <c r="AA13" s="47">
        <v>1</v>
      </c>
      <c r="AB13" s="47">
        <v>1</v>
      </c>
      <c r="AC13" s="102">
        <v>1.5</v>
      </c>
      <c r="AD13" s="46">
        <f t="shared" si="8"/>
        <v>1.5</v>
      </c>
      <c r="AE13" s="46">
        <f t="shared" si="9"/>
        <v>1.9911424582470179</v>
      </c>
      <c r="AF13" s="48">
        <f t="shared" si="2"/>
        <v>3.6900968614689607</v>
      </c>
      <c r="AG13" s="47">
        <v>1</v>
      </c>
      <c r="AH13" s="102">
        <v>1.5</v>
      </c>
      <c r="AI13" s="47">
        <v>1</v>
      </c>
      <c r="AJ13" s="102">
        <v>1.5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7</v>
      </c>
      <c r="AM13" s="44" t="str">
        <f>IF(AA13=2,IF(AC13&gt;=25,LOOKUP(AC13,'Tabela eletroduto'!$A$32:$A$43,'Tabela eletroduto'!$D$32:$D$43)),"-")</f>
        <v>-</v>
      </c>
      <c r="AN13" s="44">
        <f t="shared" si="10"/>
        <v>21</v>
      </c>
      <c r="AO13" s="35"/>
      <c r="AP13" s="35"/>
      <c r="AQ13" s="35"/>
      <c r="AR13" s="49">
        <f t="shared" si="11"/>
        <v>1</v>
      </c>
      <c r="AS13" s="47">
        <v>16</v>
      </c>
      <c r="AT13" s="49" t="str">
        <f t="shared" si="12"/>
        <v>SIM</v>
      </c>
      <c r="AU13" s="50">
        <f>O13</f>
        <v>371.73913043478257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78</v>
      </c>
      <c r="C14" s="37" t="s">
        <v>198</v>
      </c>
      <c r="D14" s="38">
        <v>6</v>
      </c>
      <c r="E14" s="39">
        <v>38</v>
      </c>
      <c r="F14" s="63"/>
      <c r="G14" s="40">
        <v>0.92</v>
      </c>
      <c r="H14" s="40"/>
      <c r="I14" s="41">
        <f t="shared" si="0"/>
        <v>247.82608695652172</v>
      </c>
      <c r="J14" s="41">
        <f t="shared" si="1"/>
        <v>97.127593279054636</v>
      </c>
      <c r="K14" s="38">
        <v>6</v>
      </c>
      <c r="L14" s="41">
        <f>IF(K14=K13,0,SUMIF(K14:$K$60,K14,I14:$I$60))</f>
        <v>413.04347826086951</v>
      </c>
      <c r="M14" s="41">
        <f>IF(K14=K13,0,SUMIF(K14:$K$60,K14,J14:$J$60))</f>
        <v>161.87932213175773</v>
      </c>
      <c r="N14" s="40">
        <v>1</v>
      </c>
      <c r="O14" s="41">
        <f t="shared" si="3"/>
        <v>413.04347826086951</v>
      </c>
      <c r="P14" s="41">
        <f t="shared" si="4"/>
        <v>161.87932213175773</v>
      </c>
      <c r="Q14" s="78">
        <v>1</v>
      </c>
      <c r="R14" s="80">
        <v>127</v>
      </c>
      <c r="S14" s="79">
        <f t="shared" si="5"/>
        <v>3.2523108524477915</v>
      </c>
      <c r="T14" s="43">
        <v>1.06</v>
      </c>
      <c r="U14" s="43">
        <v>0.72</v>
      </c>
      <c r="V14" s="42">
        <v>10</v>
      </c>
      <c r="W14" s="110">
        <f t="shared" si="6"/>
        <v>4.2614135907334791</v>
      </c>
      <c r="X14" s="45">
        <v>25</v>
      </c>
      <c r="Y14" s="45">
        <v>3</v>
      </c>
      <c r="Z14" s="46">
        <f t="shared" si="7"/>
        <v>0.99864397983068021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1.9972879596613604</v>
      </c>
      <c r="AF14" s="48">
        <f t="shared" si="2"/>
        <v>3.6962423628833028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/>
      <c r="AP14" s="35"/>
      <c r="AQ14" s="35"/>
      <c r="AR14" s="49">
        <v>1</v>
      </c>
      <c r="AS14" s="47">
        <v>16</v>
      </c>
      <c r="AT14" s="49" t="str">
        <f t="shared" si="12"/>
        <v>SIM</v>
      </c>
      <c r="AU14" s="50"/>
      <c r="AV14" s="50"/>
      <c r="AW14" s="50">
        <f>O14</f>
        <v>413.04347826086951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78</v>
      </c>
      <c r="C15" s="37" t="s">
        <v>199</v>
      </c>
      <c r="D15" s="38">
        <v>4</v>
      </c>
      <c r="E15" s="39">
        <v>38</v>
      </c>
      <c r="F15" s="63"/>
      <c r="G15" s="40">
        <v>0.92</v>
      </c>
      <c r="H15" s="40"/>
      <c r="I15" s="41">
        <f t="shared" si="0"/>
        <v>165.21739130434781</v>
      </c>
      <c r="J15" s="41">
        <f t="shared" si="1"/>
        <v>64.751728852703096</v>
      </c>
      <c r="K15" s="38">
        <v>6</v>
      </c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78</v>
      </c>
      <c r="C16" s="37" t="s">
        <v>200</v>
      </c>
      <c r="D16" s="38">
        <v>11</v>
      </c>
      <c r="E16" s="39">
        <v>38</v>
      </c>
      <c r="F16" s="63"/>
      <c r="G16" s="40">
        <v>0.92</v>
      </c>
      <c r="H16" s="40"/>
      <c r="I16" s="41">
        <f t="shared" si="0"/>
        <v>454.3478260869565</v>
      </c>
      <c r="J16" s="41">
        <f t="shared" si="1"/>
        <v>178.0672543449335</v>
      </c>
      <c r="K16" s="38">
        <v>7</v>
      </c>
      <c r="L16" s="41">
        <f>IF(K16=K15,0,SUMIF(K16:$K$60,K16,I16:$I$60))</f>
        <v>464.13043478260869</v>
      </c>
      <c r="M16" s="41">
        <f>IF(K16=K15,0,SUMIF(K16:$K$60,K16,J16:$J$60))</f>
        <v>181.90123829015934</v>
      </c>
      <c r="N16" s="40">
        <v>1</v>
      </c>
      <c r="O16" s="41">
        <f t="shared" si="3"/>
        <v>464.13043478260869</v>
      </c>
      <c r="P16" s="41">
        <f t="shared" si="4"/>
        <v>181.90123829015934</v>
      </c>
      <c r="Q16" s="78">
        <v>1</v>
      </c>
      <c r="R16" s="80">
        <v>127</v>
      </c>
      <c r="S16" s="79">
        <f t="shared" si="5"/>
        <v>3.6545703526189661</v>
      </c>
      <c r="T16" s="43">
        <v>1.06</v>
      </c>
      <c r="U16" s="43">
        <v>0.72</v>
      </c>
      <c r="V16" s="42">
        <v>10</v>
      </c>
      <c r="W16" s="110">
        <f t="shared" si="6"/>
        <v>4.7884831664294634</v>
      </c>
      <c r="X16" s="45">
        <v>15</v>
      </c>
      <c r="Y16" s="45">
        <v>3</v>
      </c>
      <c r="Z16" s="46">
        <f t="shared" si="7"/>
        <v>0.6732962832437378</v>
      </c>
      <c r="AA16" s="47">
        <v>1</v>
      </c>
      <c r="AB16" s="47">
        <v>1</v>
      </c>
      <c r="AC16" s="102">
        <v>1.5</v>
      </c>
      <c r="AD16" s="46">
        <f t="shared" si="8"/>
        <v>1.5</v>
      </c>
      <c r="AE16" s="46">
        <f t="shared" si="9"/>
        <v>1.3465925664874756</v>
      </c>
      <c r="AF16" s="48">
        <f t="shared" si="2"/>
        <v>3.0455469697094184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10"/>
        <v>21</v>
      </c>
      <c r="AO16" s="35" t="s">
        <v>148</v>
      </c>
      <c r="AP16" s="35"/>
      <c r="AQ16" s="35"/>
      <c r="AR16" s="49">
        <f t="shared" si="11"/>
        <v>1</v>
      </c>
      <c r="AS16" s="47">
        <v>16</v>
      </c>
      <c r="AT16" s="49" t="str">
        <f t="shared" si="12"/>
        <v>SIM</v>
      </c>
      <c r="AU16" s="50"/>
      <c r="AV16" s="50">
        <f>O16</f>
        <v>464.13043478260869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31.5">
      <c r="A17" s="36">
        <v>9</v>
      </c>
      <c r="B17" s="35" t="s">
        <v>78</v>
      </c>
      <c r="C17" s="37" t="s">
        <v>201</v>
      </c>
      <c r="D17" s="38">
        <v>1</v>
      </c>
      <c r="E17" s="39">
        <v>9</v>
      </c>
      <c r="F17" s="63"/>
      <c r="G17" s="40">
        <v>0.92</v>
      </c>
      <c r="H17" s="40"/>
      <c r="I17" s="41">
        <f t="shared" si="0"/>
        <v>9.7826086956521738</v>
      </c>
      <c r="J17" s="41">
        <f t="shared" ref="J17" si="13">I17*SIN(ACOS(G17))</f>
        <v>3.8339839452258415</v>
      </c>
      <c r="K17" s="38">
        <v>7</v>
      </c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31.5">
      <c r="A18" s="36">
        <v>10</v>
      </c>
      <c r="B18" s="35" t="s">
        <v>78</v>
      </c>
      <c r="C18" s="37" t="s">
        <v>202</v>
      </c>
      <c r="D18" s="38">
        <v>6</v>
      </c>
      <c r="E18" s="39">
        <v>38</v>
      </c>
      <c r="F18" s="63"/>
      <c r="G18" s="40">
        <v>0.92</v>
      </c>
      <c r="H18" s="40"/>
      <c r="I18" s="41">
        <f t="shared" si="0"/>
        <v>247.82608695652172</v>
      </c>
      <c r="J18" s="41">
        <f t="shared" si="1"/>
        <v>97.127593279054636</v>
      </c>
      <c r="K18" s="38">
        <v>8</v>
      </c>
      <c r="L18" s="41">
        <f>IF(K18=K17,0,SUMIF(K18:$K$60,K18,I18:$I$60))</f>
        <v>247.82608695652172</v>
      </c>
      <c r="M18" s="41">
        <f>IF(K18=K17,0,SUMIF(K18:$K$60,K18,J18:$J$60))</f>
        <v>97.127593279054636</v>
      </c>
      <c r="N18" s="40">
        <v>1</v>
      </c>
      <c r="O18" s="41">
        <f t="shared" si="3"/>
        <v>247.82608695652172</v>
      </c>
      <c r="P18" s="41">
        <f t="shared" si="4"/>
        <v>97.127593279054636</v>
      </c>
      <c r="Q18" s="78">
        <v>1</v>
      </c>
      <c r="R18" s="80">
        <v>127</v>
      </c>
      <c r="S18" s="79">
        <f t="shared" si="5"/>
        <v>1.951386511468675</v>
      </c>
      <c r="T18" s="43">
        <v>1.06</v>
      </c>
      <c r="U18" s="43">
        <v>0.72</v>
      </c>
      <c r="V18" s="42">
        <v>10</v>
      </c>
      <c r="W18" s="110">
        <f t="shared" si="6"/>
        <v>2.5568481544400878</v>
      </c>
      <c r="X18" s="45">
        <v>35</v>
      </c>
      <c r="Y18" s="45">
        <v>3</v>
      </c>
      <c r="Z18" s="46">
        <f t="shared" si="7"/>
        <v>0.83886094305777148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>
        <f t="shared" si="9"/>
        <v>1.6777218861155432</v>
      </c>
      <c r="AF18" s="48">
        <f t="shared" ref="AF18:AF25" si="25">IF(AB18=0,"-",IF(AC18=0,0,AE18+$AE$61))</f>
        <v>3.3766762893374858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21</v>
      </c>
      <c r="AO18" s="35"/>
      <c r="AP18" s="35"/>
      <c r="AQ18" s="35"/>
      <c r="AR18" s="49">
        <f t="shared" si="11"/>
        <v>1</v>
      </c>
      <c r="AS18" s="47">
        <v>16</v>
      </c>
      <c r="AT18" s="49" t="str">
        <f t="shared" si="12"/>
        <v>SIM</v>
      </c>
      <c r="AU18" s="50">
        <f>O18</f>
        <v>247.82608695652172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31.5">
      <c r="A19" s="36">
        <v>11</v>
      </c>
      <c r="B19" s="35" t="s">
        <v>78</v>
      </c>
      <c r="C19" s="37" t="s">
        <v>203</v>
      </c>
      <c r="D19" s="38">
        <v>9</v>
      </c>
      <c r="E19" s="39">
        <v>38</v>
      </c>
      <c r="F19" s="63"/>
      <c r="G19" s="40">
        <v>0.92</v>
      </c>
      <c r="H19" s="40"/>
      <c r="I19" s="41">
        <f t="shared" si="0"/>
        <v>371.73913043478257</v>
      </c>
      <c r="J19" s="41">
        <f t="shared" si="1"/>
        <v>145.69138991858196</v>
      </c>
      <c r="K19" s="38">
        <v>9</v>
      </c>
      <c r="L19" s="41">
        <f>IF(K19=K18,0,SUMIF(K19:$K$60,K19,I19:$I$60))</f>
        <v>371.73913043478257</v>
      </c>
      <c r="M19" s="41">
        <f>IF(K19=K18,0,SUMIF(K19:$K$60,K19,J19:$J$60))</f>
        <v>145.69138991858196</v>
      </c>
      <c r="N19" s="40">
        <v>1</v>
      </c>
      <c r="O19" s="41">
        <f t="shared" si="3"/>
        <v>371.73913043478257</v>
      </c>
      <c r="P19" s="41">
        <f t="shared" si="4"/>
        <v>145.69138991858196</v>
      </c>
      <c r="Q19" s="78">
        <v>1</v>
      </c>
      <c r="R19" s="80">
        <v>127</v>
      </c>
      <c r="S19" s="79">
        <f t="shared" si="5"/>
        <v>2.9270797672030122</v>
      </c>
      <c r="T19" s="43">
        <v>1.06</v>
      </c>
      <c r="U19" s="43">
        <v>0.65</v>
      </c>
      <c r="V19" s="42">
        <v>10</v>
      </c>
      <c r="W19" s="110">
        <f t="shared" si="6"/>
        <v>4.2483015489158378</v>
      </c>
      <c r="X19" s="45">
        <v>25</v>
      </c>
      <c r="Y19" s="45">
        <v>3</v>
      </c>
      <c r="Z19" s="46">
        <f t="shared" si="7"/>
        <v>0.99557122912350893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>
        <f t="shared" si="9"/>
        <v>1.9911424582470179</v>
      </c>
      <c r="AF19" s="48">
        <f t="shared" si="25"/>
        <v>3.6900968614689607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21</v>
      </c>
      <c r="AO19" s="35"/>
      <c r="AP19" s="35"/>
      <c r="AQ19" s="35"/>
      <c r="AR19" s="49">
        <f t="shared" si="11"/>
        <v>1</v>
      </c>
      <c r="AS19" s="47">
        <v>16</v>
      </c>
      <c r="AT19" s="49" t="str">
        <f t="shared" si="12"/>
        <v>SIM</v>
      </c>
      <c r="AU19" s="50"/>
      <c r="AV19" s="50"/>
      <c r="AW19" s="50">
        <f>O19</f>
        <v>371.73913043478257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 t="s">
        <v>204</v>
      </c>
      <c r="C20" s="37" t="s">
        <v>204</v>
      </c>
      <c r="D20" s="38">
        <v>1</v>
      </c>
      <c r="E20" s="39">
        <v>200</v>
      </c>
      <c r="F20" s="63"/>
      <c r="G20" s="40">
        <v>0.92</v>
      </c>
      <c r="H20" s="40"/>
      <c r="I20" s="41">
        <f t="shared" si="0"/>
        <v>217.39130434782606</v>
      </c>
      <c r="J20" s="41">
        <f t="shared" si="1"/>
        <v>85.199643227240912</v>
      </c>
      <c r="K20" s="38">
        <v>10</v>
      </c>
      <c r="L20" s="41">
        <f>IF(K20=K19,0,SUMIF(K20:$K$60,K20,I20:$I$60))</f>
        <v>217.39130434782606</v>
      </c>
      <c r="M20" s="41">
        <f>IF(K20=K19,0,SUMIF(K20:$K$60,K20,J20:$J$60))</f>
        <v>85.199643227240912</v>
      </c>
      <c r="N20" s="40">
        <v>1</v>
      </c>
      <c r="O20" s="41">
        <f t="shared" si="3"/>
        <v>217.39130434782606</v>
      </c>
      <c r="P20" s="41">
        <f t="shared" si="4"/>
        <v>85.199643227240912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200</v>
      </c>
      <c r="F21" s="63"/>
      <c r="G21" s="40">
        <v>0.92</v>
      </c>
      <c r="H21" s="40"/>
      <c r="I21" s="41">
        <f t="shared" si="0"/>
        <v>217.39130434782606</v>
      </c>
      <c r="J21" s="41">
        <f t="shared" si="1"/>
        <v>85.199643227240912</v>
      </c>
      <c r="K21" s="38">
        <v>11</v>
      </c>
      <c r="L21" s="41">
        <f>IF(K21=K20,0,SUMIF(K21:$K$60,K21,I21:$I$60))</f>
        <v>217.39130434782606</v>
      </c>
      <c r="M21" s="41">
        <f>IF(K21=K20,0,SUMIF(K21:$K$60,K21,J21:$J$60))</f>
        <v>85.199643227240912</v>
      </c>
      <c r="N21" s="40">
        <v>1</v>
      </c>
      <c r="O21" s="41">
        <f t="shared" si="3"/>
        <v>217.39130434782606</v>
      </c>
      <c r="P21" s="41">
        <f t="shared" si="4"/>
        <v>85.199643227240912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200</v>
      </c>
      <c r="F22" s="63"/>
      <c r="G22" s="40">
        <v>0.92</v>
      </c>
      <c r="H22" s="40"/>
      <c r="I22" s="41">
        <f t="shared" si="0"/>
        <v>217.39130434782606</v>
      </c>
      <c r="J22" s="41">
        <f t="shared" si="1"/>
        <v>85.199643227240912</v>
      </c>
      <c r="K22" s="38">
        <v>12</v>
      </c>
      <c r="L22" s="41">
        <f>IF(K22=K21,0,SUMIF(K22:$K$60,K22,I22:$I$60))</f>
        <v>217.39130434782606</v>
      </c>
      <c r="M22" s="41">
        <f>IF(K22=K21,0,SUMIF(K22:$K$60,K22,J22:$J$60))</f>
        <v>85.199643227240912</v>
      </c>
      <c r="N22" s="40">
        <v>1</v>
      </c>
      <c r="O22" s="41">
        <f t="shared" si="3"/>
        <v>217.39130434782606</v>
      </c>
      <c r="P22" s="41">
        <f t="shared" si="4"/>
        <v>85.199643227240912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53" t="s">
        <v>74</v>
      </c>
      <c r="B61" s="354"/>
      <c r="C61" s="354"/>
      <c r="D61" s="355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4420.652173913043</v>
      </c>
      <c r="J61" s="77">
        <f>SUM(J9:J60)</f>
        <v>1732.5347450259437</v>
      </c>
      <c r="K61" s="77">
        <v>1</v>
      </c>
      <c r="L61" s="77">
        <f>SUM(L9:L60)</f>
        <v>4420.652173913043</v>
      </c>
      <c r="M61" s="77">
        <f>SUM(M9:M60)</f>
        <v>1732.5347450259439</v>
      </c>
      <c r="N61" s="56">
        <v>1</v>
      </c>
      <c r="O61" s="77">
        <f>L61*N61</f>
        <v>4420.652173913043</v>
      </c>
      <c r="P61" s="77">
        <f>M61*N61</f>
        <v>1732.5347450259439</v>
      </c>
      <c r="Q61" s="74">
        <v>3</v>
      </c>
      <c r="R61" s="75">
        <v>220</v>
      </c>
      <c r="S61" s="76">
        <f>IF(Q61=0,0,IF(Q61&lt;3,O61/R61,O61/(R61*SQRT(3))))</f>
        <v>11.601203284556362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16.112782339661614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2.2652725376292566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1.6989544032219426</v>
      </c>
      <c r="AF61" s="48">
        <f>IF(AB61=0,"-",IF(AC61=0,0,AE61))</f>
        <v>1.6989544032219426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SIM</v>
      </c>
      <c r="AU61" s="55">
        <f>SUM(AU9:AU60)</f>
        <v>1239.1304347826087</v>
      </c>
      <c r="AV61" s="55">
        <f t="shared" ref="AV61:AW61" si="44">SUM(AV9:AV60)</f>
        <v>1331.5217391304348</v>
      </c>
      <c r="AW61" s="55">
        <f t="shared" si="44"/>
        <v>1197.8260869565215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0.28030489304155404</v>
      </c>
      <c r="AV62" s="61">
        <f>AV61/L61</f>
        <v>0.30120481927710846</v>
      </c>
      <c r="AW62" s="61">
        <f>AW61/L61</f>
        <v>0.27096139660683549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56" t="s">
        <v>18</v>
      </c>
      <c r="AP63" s="356"/>
      <c r="AQ63" s="356"/>
      <c r="AR63" s="356"/>
      <c r="AS63" s="356"/>
      <c r="AT63" s="113"/>
      <c r="AU63" s="357">
        <f>(MAX(AU61:AW61)-(AU61+AV61+AW61)/3)/((AU61+AV61+AW61)/3)</f>
        <v>5.9994231323911192E-2</v>
      </c>
      <c r="AV63" s="357"/>
      <c r="AW63" s="357"/>
    </row>
    <row r="64" spans="1:73" s="10" customFormat="1">
      <c r="A64" s="95"/>
      <c r="B64" s="358" t="s">
        <v>124</v>
      </c>
      <c r="C64" s="359"/>
      <c r="D64" s="359"/>
      <c r="E64" s="36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1"/>
      <c r="AP64" s="361"/>
      <c r="AQ64" s="361"/>
      <c r="AR64" s="361"/>
      <c r="AS64" s="361"/>
      <c r="AT64" s="361"/>
      <c r="AU64" s="361"/>
      <c r="AV64" s="361"/>
      <c r="AW64" s="361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68" t="s">
        <v>123</v>
      </c>
      <c r="D65" s="369"/>
      <c r="E65" s="370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1"/>
      <c r="AP65" s="361"/>
      <c r="AQ65" s="361"/>
      <c r="AR65" s="361"/>
      <c r="AS65" s="361"/>
      <c r="AT65" s="361"/>
      <c r="AU65" s="361"/>
      <c r="AV65" s="361"/>
      <c r="AW65" s="361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65" t="s">
        <v>107</v>
      </c>
      <c r="D66" s="366"/>
      <c r="E66" s="36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1"/>
      <c r="AP66" s="361"/>
      <c r="AQ66" s="361"/>
      <c r="AR66" s="361"/>
      <c r="AS66" s="361"/>
      <c r="AT66" s="361"/>
      <c r="AU66" s="361"/>
      <c r="AV66" s="361"/>
      <c r="AW66" s="361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65" t="s">
        <v>108</v>
      </c>
      <c r="D67" s="366"/>
      <c r="E67" s="36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1"/>
      <c r="AP67" s="361"/>
      <c r="AQ67" s="361"/>
      <c r="AR67" s="361"/>
      <c r="AS67" s="361"/>
      <c r="AT67" s="361"/>
      <c r="AU67" s="361"/>
      <c r="AV67" s="361"/>
      <c r="AW67" s="361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65" t="s">
        <v>109</v>
      </c>
      <c r="D68" s="366"/>
      <c r="E68" s="36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1"/>
      <c r="AP68" s="361"/>
      <c r="AQ68" s="361"/>
      <c r="AR68" s="361"/>
      <c r="AS68" s="361"/>
      <c r="AT68" s="361"/>
      <c r="AU68" s="361"/>
      <c r="AV68" s="361"/>
      <c r="AW68" s="361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65" t="s">
        <v>110</v>
      </c>
      <c r="D69" s="366"/>
      <c r="E69" s="367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65" t="s">
        <v>112</v>
      </c>
      <c r="D70" s="366"/>
      <c r="E70" s="367"/>
      <c r="L70" s="114"/>
      <c r="AA70" s="90"/>
    </row>
    <row r="71" spans="1:73" s="1" customFormat="1">
      <c r="B71" s="22" t="s">
        <v>113</v>
      </c>
      <c r="C71" s="365" t="s">
        <v>114</v>
      </c>
      <c r="D71" s="366"/>
      <c r="E71" s="367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65" t="s">
        <v>116</v>
      </c>
      <c r="D72" s="366"/>
      <c r="E72" s="367"/>
      <c r="I72" s="11"/>
      <c r="J72" s="11"/>
      <c r="K72" s="11"/>
      <c r="AA72" s="90"/>
    </row>
    <row r="73" spans="1:73" s="1" customFormat="1">
      <c r="B73" s="22" t="s">
        <v>117</v>
      </c>
      <c r="C73" s="365" t="s">
        <v>118</v>
      </c>
      <c r="D73" s="366"/>
      <c r="E73" s="367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65" t="s">
        <v>120</v>
      </c>
      <c r="D74" s="366"/>
      <c r="E74" s="367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65" t="s">
        <v>122</v>
      </c>
      <c r="D75" s="366"/>
      <c r="E75" s="367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65" t="s">
        <v>127</v>
      </c>
      <c r="D76" s="366"/>
      <c r="E76" s="367"/>
      <c r="I76" s="11"/>
      <c r="J76" s="11"/>
      <c r="K76" s="11"/>
      <c r="AA76" s="90"/>
    </row>
    <row r="77" spans="1:73" s="1" customFormat="1">
      <c r="B77" s="22" t="s">
        <v>128</v>
      </c>
      <c r="C77" s="365" t="s">
        <v>129</v>
      </c>
      <c r="D77" s="366"/>
      <c r="E77" s="367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65" t="s">
        <v>131</v>
      </c>
      <c r="D78" s="366"/>
      <c r="E78" s="367"/>
      <c r="I78" s="11"/>
      <c r="J78" s="11"/>
      <c r="K78" s="11"/>
      <c r="AA78" s="90"/>
    </row>
    <row r="79" spans="1:73" s="1" customFormat="1">
      <c r="B79" s="22" t="s">
        <v>14</v>
      </c>
      <c r="C79" s="365" t="s">
        <v>132</v>
      </c>
      <c r="D79" s="366"/>
      <c r="E79" s="367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65" t="s">
        <v>145</v>
      </c>
      <c r="D80" s="366"/>
      <c r="E80" s="367"/>
      <c r="I80" s="11"/>
      <c r="J80" s="11"/>
      <c r="K80" s="11"/>
      <c r="AA80" s="90"/>
    </row>
    <row r="81" spans="2:27" s="1" customFormat="1">
      <c r="B81" s="22" t="s">
        <v>89</v>
      </c>
      <c r="C81" s="365" t="s">
        <v>146</v>
      </c>
      <c r="D81" s="366"/>
      <c r="E81" s="367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65" t="s">
        <v>147</v>
      </c>
      <c r="D82" s="366"/>
      <c r="E82" s="367"/>
      <c r="I82" s="11"/>
      <c r="J82" s="11"/>
      <c r="K82" s="11"/>
      <c r="AA82" s="90"/>
    </row>
    <row r="83" spans="2:27" s="1" customFormat="1">
      <c r="B83" s="22" t="s">
        <v>148</v>
      </c>
      <c r="C83" s="365" t="s">
        <v>149</v>
      </c>
      <c r="D83" s="366"/>
      <c r="E83" s="367"/>
      <c r="I83" s="11"/>
      <c r="J83" s="11"/>
      <c r="K83" s="11"/>
      <c r="AA83" s="90"/>
    </row>
    <row r="84" spans="2:27" s="1" customFormat="1">
      <c r="B84" s="22" t="s">
        <v>150</v>
      </c>
      <c r="C84" s="365" t="s">
        <v>151</v>
      </c>
      <c r="D84" s="366"/>
      <c r="E84" s="36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Q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U63" sqref="AO15:AW63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03" t="s">
        <v>0</v>
      </c>
      <c r="B1" s="304"/>
      <c r="C1" s="305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06" t="s">
        <v>191</v>
      </c>
      <c r="B2" s="307"/>
      <c r="C2" s="308"/>
      <c r="D2" s="309"/>
      <c r="E2" s="310"/>
      <c r="F2" s="310"/>
      <c r="G2" s="310"/>
      <c r="H2" s="310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1"/>
      <c r="AB2" s="311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03" t="s">
        <v>205</v>
      </c>
      <c r="B3" s="304"/>
      <c r="C3" s="305"/>
      <c r="D3" s="309"/>
      <c r="E3" s="310"/>
      <c r="F3" s="310"/>
      <c r="G3" s="310"/>
      <c r="H3" s="310"/>
      <c r="I3" s="310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2" t="s">
        <v>103</v>
      </c>
      <c r="AC3" s="313"/>
      <c r="AD3" s="313"/>
      <c r="AE3" s="313"/>
      <c r="AF3" s="313"/>
      <c r="AG3" s="313"/>
      <c r="AH3" s="313"/>
      <c r="AI3" s="313"/>
      <c r="AJ3" s="314"/>
      <c r="AK3" s="4"/>
      <c r="AL3" s="4"/>
      <c r="AM3" s="4"/>
      <c r="BP3"/>
      <c r="BQ3"/>
      <c r="BR3"/>
      <c r="BS3"/>
      <c r="BT3"/>
      <c r="BU3"/>
    </row>
    <row r="4" spans="1:73" ht="18" customHeight="1">
      <c r="A4" s="329" t="s">
        <v>137</v>
      </c>
      <c r="B4" s="329"/>
      <c r="C4" s="329"/>
      <c r="D4" s="329" t="s">
        <v>134</v>
      </c>
      <c r="E4" s="329"/>
      <c r="F4" s="329"/>
      <c r="G4" s="329"/>
      <c r="H4" s="329"/>
      <c r="I4" s="329"/>
      <c r="J4" s="329"/>
      <c r="K4" s="329"/>
      <c r="L4" s="329"/>
      <c r="M4" s="329"/>
      <c r="N4" s="329" t="s">
        <v>135</v>
      </c>
      <c r="O4" s="329"/>
      <c r="P4" s="329"/>
      <c r="Q4" s="330" t="s">
        <v>136</v>
      </c>
      <c r="R4" s="332"/>
      <c r="S4" s="329" t="s">
        <v>125</v>
      </c>
      <c r="T4" s="329" t="s">
        <v>101</v>
      </c>
      <c r="U4" s="329"/>
      <c r="V4" s="329"/>
      <c r="W4" s="329" t="s">
        <v>102</v>
      </c>
      <c r="X4" s="330" t="s">
        <v>244</v>
      </c>
      <c r="Y4" s="331"/>
      <c r="Z4" s="332"/>
      <c r="AA4" s="329" t="s">
        <v>99</v>
      </c>
      <c r="AB4" s="315" t="s">
        <v>93</v>
      </c>
      <c r="AC4" s="322"/>
      <c r="AD4" s="316"/>
      <c r="AE4" s="339" t="s">
        <v>100</v>
      </c>
      <c r="AF4" s="339"/>
      <c r="AG4" s="315" t="s">
        <v>94</v>
      </c>
      <c r="AH4" s="316"/>
      <c r="AI4" s="315" t="s">
        <v>95</v>
      </c>
      <c r="AJ4" s="316"/>
      <c r="AK4" s="315" t="s">
        <v>105</v>
      </c>
      <c r="AL4" s="321" t="s">
        <v>104</v>
      </c>
      <c r="AM4" s="321"/>
      <c r="AN4" s="321"/>
      <c r="AO4" s="315" t="s">
        <v>98</v>
      </c>
      <c r="AP4" s="322"/>
      <c r="AQ4" s="322"/>
      <c r="AR4" s="322"/>
      <c r="AS4" s="322"/>
      <c r="AT4" s="316"/>
      <c r="AU4" s="321" t="s">
        <v>152</v>
      </c>
      <c r="AV4" s="321"/>
      <c r="AW4" s="321"/>
      <c r="BP4"/>
      <c r="BQ4"/>
      <c r="BR4"/>
      <c r="BS4"/>
      <c r="BT4"/>
      <c r="BU4"/>
    </row>
    <row r="5" spans="1:73" ht="18" customHeight="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33"/>
      <c r="R5" s="335"/>
      <c r="S5" s="329"/>
      <c r="T5" s="329"/>
      <c r="U5" s="329"/>
      <c r="V5" s="329"/>
      <c r="W5" s="329"/>
      <c r="X5" s="333"/>
      <c r="Y5" s="334"/>
      <c r="Z5" s="335"/>
      <c r="AA5" s="329"/>
      <c r="AB5" s="317"/>
      <c r="AC5" s="323"/>
      <c r="AD5" s="318"/>
      <c r="AE5" s="339"/>
      <c r="AF5" s="339"/>
      <c r="AG5" s="317"/>
      <c r="AH5" s="318"/>
      <c r="AI5" s="317"/>
      <c r="AJ5" s="318"/>
      <c r="AK5" s="317"/>
      <c r="AL5" s="321"/>
      <c r="AM5" s="321"/>
      <c r="AN5" s="321"/>
      <c r="AO5" s="317"/>
      <c r="AP5" s="323"/>
      <c r="AQ5" s="323"/>
      <c r="AR5" s="323"/>
      <c r="AS5" s="323"/>
      <c r="AT5" s="318"/>
      <c r="AU5" s="321"/>
      <c r="AV5" s="321"/>
      <c r="AW5" s="321"/>
      <c r="BP5"/>
      <c r="BQ5"/>
      <c r="BR5"/>
      <c r="BS5"/>
      <c r="BT5"/>
      <c r="BU5"/>
    </row>
    <row r="6" spans="1:73" ht="18" customHeight="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36"/>
      <c r="R6" s="338"/>
      <c r="S6" s="329"/>
      <c r="T6" s="329"/>
      <c r="U6" s="329"/>
      <c r="V6" s="329"/>
      <c r="W6" s="329"/>
      <c r="X6" s="336"/>
      <c r="Y6" s="337"/>
      <c r="Z6" s="338"/>
      <c r="AA6" s="329"/>
      <c r="AB6" s="319"/>
      <c r="AC6" s="324"/>
      <c r="AD6" s="320"/>
      <c r="AE6" s="339"/>
      <c r="AF6" s="339"/>
      <c r="AG6" s="319"/>
      <c r="AH6" s="320"/>
      <c r="AI6" s="319"/>
      <c r="AJ6" s="320"/>
      <c r="AK6" s="319"/>
      <c r="AL6" s="321"/>
      <c r="AM6" s="321"/>
      <c r="AN6" s="321"/>
      <c r="AO6" s="319"/>
      <c r="AP6" s="324"/>
      <c r="AQ6" s="324"/>
      <c r="AR6" s="324"/>
      <c r="AS6" s="324"/>
      <c r="AT6" s="320"/>
      <c r="AU6" s="321"/>
      <c r="AV6" s="321"/>
      <c r="AW6" s="321"/>
      <c r="BP6"/>
      <c r="BQ6"/>
      <c r="BR6"/>
      <c r="BS6"/>
      <c r="BT6"/>
      <c r="BU6"/>
    </row>
    <row r="7" spans="1:73" ht="15.75" customHeight="1">
      <c r="A7" s="325" t="s">
        <v>23</v>
      </c>
      <c r="B7" s="325" t="s">
        <v>1</v>
      </c>
      <c r="C7" s="325" t="s">
        <v>133</v>
      </c>
      <c r="D7" s="326" t="s">
        <v>10</v>
      </c>
      <c r="E7" s="327" t="s">
        <v>33</v>
      </c>
      <c r="F7" s="326" t="s">
        <v>34</v>
      </c>
      <c r="G7" s="326" t="s">
        <v>24</v>
      </c>
      <c r="H7" s="344" t="s">
        <v>25</v>
      </c>
      <c r="I7" s="340" t="s">
        <v>39</v>
      </c>
      <c r="J7" s="340" t="s">
        <v>38</v>
      </c>
      <c r="K7" s="340" t="s">
        <v>41</v>
      </c>
      <c r="L7" s="340" t="s">
        <v>37</v>
      </c>
      <c r="M7" s="340" t="s">
        <v>40</v>
      </c>
      <c r="N7" s="341" t="s">
        <v>72</v>
      </c>
      <c r="O7" s="341" t="s">
        <v>75</v>
      </c>
      <c r="P7" s="341" t="s">
        <v>73</v>
      </c>
      <c r="Q7" s="342" t="s">
        <v>71</v>
      </c>
      <c r="R7" s="350" t="s">
        <v>2</v>
      </c>
      <c r="S7" s="350" t="s">
        <v>3</v>
      </c>
      <c r="T7" s="350" t="s">
        <v>92</v>
      </c>
      <c r="U7" s="350" t="s">
        <v>4</v>
      </c>
      <c r="V7" s="350" t="s">
        <v>35</v>
      </c>
      <c r="W7" s="346" t="s">
        <v>5</v>
      </c>
      <c r="X7" s="346" t="s">
        <v>6</v>
      </c>
      <c r="Y7" s="325" t="s">
        <v>7</v>
      </c>
      <c r="Z7" s="325" t="s">
        <v>42</v>
      </c>
      <c r="AA7" s="325" t="s">
        <v>139</v>
      </c>
      <c r="AB7" s="348" t="s">
        <v>153</v>
      </c>
      <c r="AC7" s="348" t="s">
        <v>68</v>
      </c>
      <c r="AD7" s="348" t="s">
        <v>69</v>
      </c>
      <c r="AE7" s="363" t="s">
        <v>8</v>
      </c>
      <c r="AF7" s="363" t="s">
        <v>9</v>
      </c>
      <c r="AG7" s="345" t="s">
        <v>96</v>
      </c>
      <c r="AH7" s="345" t="s">
        <v>68</v>
      </c>
      <c r="AI7" s="345" t="s">
        <v>96</v>
      </c>
      <c r="AJ7" s="345" t="s">
        <v>68</v>
      </c>
      <c r="AK7" s="348" t="s">
        <v>97</v>
      </c>
      <c r="AL7" s="348" t="s">
        <v>140</v>
      </c>
      <c r="AM7" s="348" t="s">
        <v>141</v>
      </c>
      <c r="AN7" s="348" t="s">
        <v>36</v>
      </c>
      <c r="AO7" s="326" t="s">
        <v>1</v>
      </c>
      <c r="AP7" s="362" t="s">
        <v>142</v>
      </c>
      <c r="AQ7" s="363" t="s">
        <v>143</v>
      </c>
      <c r="AR7" s="362" t="s">
        <v>12</v>
      </c>
      <c r="AS7" s="362" t="s">
        <v>13</v>
      </c>
      <c r="AT7" s="362" t="s">
        <v>76</v>
      </c>
      <c r="AU7" s="352" t="s">
        <v>14</v>
      </c>
      <c r="AV7" s="352" t="s">
        <v>15</v>
      </c>
      <c r="AW7" s="352" t="s">
        <v>16</v>
      </c>
    </row>
    <row r="8" spans="1:73" ht="53.25" customHeight="1">
      <c r="A8" s="325"/>
      <c r="B8" s="325"/>
      <c r="C8" s="325"/>
      <c r="D8" s="326"/>
      <c r="E8" s="328"/>
      <c r="F8" s="326"/>
      <c r="G8" s="326"/>
      <c r="H8" s="344"/>
      <c r="I8" s="340"/>
      <c r="J8" s="340"/>
      <c r="K8" s="340"/>
      <c r="L8" s="340"/>
      <c r="M8" s="340"/>
      <c r="N8" s="341"/>
      <c r="O8" s="341"/>
      <c r="P8" s="341"/>
      <c r="Q8" s="343"/>
      <c r="R8" s="351"/>
      <c r="S8" s="351"/>
      <c r="T8" s="351"/>
      <c r="U8" s="351"/>
      <c r="V8" s="351"/>
      <c r="W8" s="347"/>
      <c r="X8" s="347"/>
      <c r="Y8" s="325"/>
      <c r="Z8" s="325"/>
      <c r="AA8" s="325"/>
      <c r="AB8" s="349"/>
      <c r="AC8" s="349"/>
      <c r="AD8" s="349"/>
      <c r="AE8" s="364"/>
      <c r="AF8" s="364"/>
      <c r="AG8" s="326"/>
      <c r="AH8" s="326"/>
      <c r="AI8" s="326"/>
      <c r="AJ8" s="326"/>
      <c r="AK8" s="349"/>
      <c r="AL8" s="349"/>
      <c r="AM8" s="349"/>
      <c r="AN8" s="349"/>
      <c r="AO8" s="326"/>
      <c r="AP8" s="326"/>
      <c r="AQ8" s="364"/>
      <c r="AR8" s="362"/>
      <c r="AS8" s="362"/>
      <c r="AT8" s="362"/>
      <c r="AU8" s="352"/>
      <c r="AV8" s="352"/>
      <c r="AW8" s="352"/>
    </row>
    <row r="9" spans="1:73" s="33" customFormat="1" ht="23.25" customHeight="1">
      <c r="A9" s="36">
        <v>1</v>
      </c>
      <c r="B9" s="35" t="s">
        <v>79</v>
      </c>
      <c r="C9" s="37" t="s">
        <v>206</v>
      </c>
      <c r="D9" s="38">
        <v>6</v>
      </c>
      <c r="E9" s="39">
        <v>300</v>
      </c>
      <c r="F9" s="63"/>
      <c r="G9" s="40">
        <v>0.85</v>
      </c>
      <c r="H9" s="40"/>
      <c r="I9" s="41">
        <f t="shared" ref="I9:I60" si="0">IF(D9=0,0,IF(F9=0,D9*E9/G9,D9*F9*750/(G9*H9)))</f>
        <v>2117.6470588235293</v>
      </c>
      <c r="J9" s="41">
        <f t="shared" ref="J9:J60" si="1">I9*SIN(ACOS(G9))</f>
        <v>1115.539809125584</v>
      </c>
      <c r="K9" s="38">
        <v>1</v>
      </c>
      <c r="L9" s="41">
        <f>IF(K9=K7,0,SUMIF(K9:K58,K9,I9:I58))</f>
        <v>2117.6470588235293</v>
      </c>
      <c r="M9" s="41">
        <f>IF(K9=K7,0,SUMIF(K9:K58,K9,J9:J58))</f>
        <v>1115.539809125584</v>
      </c>
      <c r="N9" s="40">
        <v>1</v>
      </c>
      <c r="O9" s="41">
        <f>L9*N9</f>
        <v>2117.6470588235293</v>
      </c>
      <c r="P9" s="41">
        <f>M9*N9</f>
        <v>1115.539809125584</v>
      </c>
      <c r="Q9" s="78">
        <v>1</v>
      </c>
      <c r="R9" s="80">
        <v>127</v>
      </c>
      <c r="S9" s="79">
        <f>IF(V9=0,"-",IF(Q9=0,0,IF(Q9&lt;3,O9/R9,O9/(R9*SQRT(3)))))</f>
        <v>16.674386289949048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24.200850928808485</v>
      </c>
      <c r="X9" s="45">
        <v>15</v>
      </c>
      <c r="Y9" s="45">
        <v>3</v>
      </c>
      <c r="Z9" s="46">
        <f>IF(Y9=0,"-",IF(Q9&lt;3,(200*(1/56)*X9*W9)/(Y9*R9),(100*SQRT(3)*(1/56)*X9*W9)/(Y9*R9)))</f>
        <v>3.4028193094500119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2.552114482087509</v>
      </c>
      <c r="AF9" s="48">
        <f t="shared" ref="AF9:AF33" si="2">IF(AB9=0,"-",IF(AC9=0,0,AE9+$AE$61))</f>
        <v>23.573551766152931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2117.6470588235293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207</v>
      </c>
      <c r="D10" s="38">
        <v>3</v>
      </c>
      <c r="E10" s="39">
        <v>600</v>
      </c>
      <c r="F10" s="63"/>
      <c r="G10" s="40">
        <v>0.85</v>
      </c>
      <c r="H10" s="40"/>
      <c r="I10" s="41">
        <f t="shared" si="0"/>
        <v>2117.6470588235293</v>
      </c>
      <c r="J10" s="41">
        <f t="shared" si="1"/>
        <v>1115.539809125584</v>
      </c>
      <c r="K10" s="38">
        <v>2</v>
      </c>
      <c r="L10" s="41">
        <f>IF(K10=K9,0,SUMIF(K10:$K$60,K10,I10:$I$60))</f>
        <v>2117.6470588235293</v>
      </c>
      <c r="M10" s="41">
        <f>IF(K10=K9,0,SUMIF(K10:$K$60,K10,J10:$J$60))</f>
        <v>1115.539809125584</v>
      </c>
      <c r="N10" s="40">
        <v>1</v>
      </c>
      <c r="O10" s="41">
        <f t="shared" ref="O10:O60" si="3">L10*N10</f>
        <v>2117.6470588235293</v>
      </c>
      <c r="P10" s="41">
        <f t="shared" ref="P10:P60" si="4">M10*N10</f>
        <v>1115.539809125584</v>
      </c>
      <c r="Q10" s="78">
        <v>1</v>
      </c>
      <c r="R10" s="80">
        <v>127</v>
      </c>
      <c r="S10" s="79">
        <f t="shared" ref="S10:S60" si="5">IF(V10=0,"-",IF(Q10=0,0,IF(Q10&lt;3,O10/R10,O10/(R10*SQRT(3)))))</f>
        <v>16.674386289949048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22.472218719607881</v>
      </c>
      <c r="X10" s="45">
        <v>30</v>
      </c>
      <c r="Y10" s="45">
        <v>3.2</v>
      </c>
      <c r="Z10" s="46">
        <f t="shared" ref="Z10:Z60" si="7">IF(Y10=0,"-",IF(Q10&lt;3,(200*(1/56)*X10*W10)/(Y10*R10),(100*SQRT(3)*(1/56)*X10*W10)/(Y10*R10)))</f>
        <v>5.9245514762745746</v>
      </c>
      <c r="AA10" s="47">
        <v>1</v>
      </c>
      <c r="AB10" s="47">
        <v>1</v>
      </c>
      <c r="AC10" s="102">
        <v>6</v>
      </c>
      <c r="AD10" s="46">
        <f t="shared" ref="AD10:AD61" si="8">IF(AB10=0,"-",AB10*AC10)</f>
        <v>6</v>
      </c>
      <c r="AE10" s="46">
        <f t="shared" ref="AE10:AE61" si="9">IF(AB10=0,"-",IF(AC10=0,0,IF(Q10&lt;3,(200*(1/56)*W10*X10)/(AD10*R10),(100*SQRT(3)*(1/56)*W10*X10)/(AD10*R10))))</f>
        <v>3.1597607873464395</v>
      </c>
      <c r="AF10" s="48">
        <f t="shared" si="2"/>
        <v>24.18119807141186</v>
      </c>
      <c r="AG10" s="47">
        <v>1</v>
      </c>
      <c r="AH10" s="102">
        <v>6</v>
      </c>
      <c r="AI10" s="47">
        <v>1</v>
      </c>
      <c r="AJ10" s="102">
        <v>6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18.8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56.400000000000006</v>
      </c>
      <c r="AO10" s="35"/>
      <c r="AP10" s="35"/>
      <c r="AQ10" s="35"/>
      <c r="AR10" s="49">
        <f t="shared" ref="AR10:AR60" si="11">IF(Q10=0,"-",Q10)</f>
        <v>1</v>
      </c>
      <c r="AS10" s="47">
        <v>40</v>
      </c>
      <c r="AT10" s="49" t="str">
        <f t="shared" ref="AT10:AT61" si="12">IF(AS10=0,"-",IF(AS10&gt;W10,"SIM","NÃO"))</f>
        <v>SIM</v>
      </c>
      <c r="AU10" s="50"/>
      <c r="AV10" s="50">
        <f>O10</f>
        <v>2117.6470588235293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77</v>
      </c>
      <c r="C11" s="37" t="s">
        <v>208</v>
      </c>
      <c r="D11" s="38">
        <v>1</v>
      </c>
      <c r="E11" s="39">
        <v>2500</v>
      </c>
      <c r="F11" s="63"/>
      <c r="G11" s="40">
        <v>0.8</v>
      </c>
      <c r="H11" s="40"/>
      <c r="I11" s="41">
        <f t="shared" si="0"/>
        <v>3125</v>
      </c>
      <c r="J11" s="41">
        <f t="shared" si="1"/>
        <v>1874.9999999999995</v>
      </c>
      <c r="K11" s="38">
        <v>3</v>
      </c>
      <c r="L11" s="41">
        <f>IF(K11=K10,0,SUMIF(K11:$K$60,K11,I11:$I$60))</f>
        <v>3125</v>
      </c>
      <c r="M11" s="41">
        <f>IF(K11=K10,0,SUMIF(K11:$K$60,K11,J11:$J$60))</f>
        <v>1874.9999999999995</v>
      </c>
      <c r="N11" s="40">
        <v>1</v>
      </c>
      <c r="O11" s="41">
        <f t="shared" si="3"/>
        <v>3125</v>
      </c>
      <c r="P11" s="41">
        <f t="shared" si="4"/>
        <v>1874.9999999999995</v>
      </c>
      <c r="Q11" s="78">
        <v>2</v>
      </c>
      <c r="R11" s="80">
        <v>220</v>
      </c>
      <c r="S11" s="79">
        <f t="shared" si="5"/>
        <v>14.204545454545455</v>
      </c>
      <c r="T11" s="43">
        <v>1.06</v>
      </c>
      <c r="U11" s="43">
        <v>0.7</v>
      </c>
      <c r="V11" s="42">
        <v>10</v>
      </c>
      <c r="W11" s="110">
        <f t="shared" si="6"/>
        <v>19.143592256799806</v>
      </c>
      <c r="X11" s="45">
        <v>35</v>
      </c>
      <c r="Y11" s="45">
        <v>3</v>
      </c>
      <c r="Z11" s="46">
        <f t="shared" si="7"/>
        <v>3.6256803516666292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2.7192602637499723</v>
      </c>
      <c r="AF11" s="48">
        <f t="shared" si="2"/>
        <v>23.740697547815394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>
        <f>O11/2</f>
        <v>1562.5</v>
      </c>
      <c r="AV11" s="50"/>
      <c r="AW11" s="50">
        <f>O11/2</f>
        <v>1562.5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77</v>
      </c>
      <c r="C12" s="37" t="s">
        <v>214</v>
      </c>
      <c r="D12" s="38">
        <v>1</v>
      </c>
      <c r="E12" s="39">
        <v>5000</v>
      </c>
      <c r="F12" s="63"/>
      <c r="G12" s="40">
        <v>0.9</v>
      </c>
      <c r="H12" s="40"/>
      <c r="I12" s="41">
        <f t="shared" si="0"/>
        <v>5555.5555555555557</v>
      </c>
      <c r="J12" s="41">
        <f t="shared" si="1"/>
        <v>2421.6105241892628</v>
      </c>
      <c r="K12" s="38">
        <v>4</v>
      </c>
      <c r="L12" s="41">
        <f>IF(K12=K11,0,SUMIF(K12:$K$60,K12,I12:$I$60))</f>
        <v>5555.5555555555557</v>
      </c>
      <c r="M12" s="41">
        <f>IF(K12=K11,0,SUMIF(K12:$K$60,K12,J12:$J$60))</f>
        <v>2421.6105241892628</v>
      </c>
      <c r="N12" s="40">
        <v>1</v>
      </c>
      <c r="O12" s="41">
        <f t="shared" si="3"/>
        <v>5555.5555555555557</v>
      </c>
      <c r="P12" s="41">
        <f t="shared" si="4"/>
        <v>2421.6105241892628</v>
      </c>
      <c r="Q12" s="78">
        <v>2</v>
      </c>
      <c r="R12" s="80">
        <v>220</v>
      </c>
      <c r="S12" s="79">
        <f t="shared" si="5"/>
        <v>25.252525252525253</v>
      </c>
      <c r="T12" s="43">
        <v>1.06</v>
      </c>
      <c r="U12" s="43">
        <v>0.72</v>
      </c>
      <c r="V12" s="42">
        <v>10</v>
      </c>
      <c r="W12" s="110">
        <f t="shared" si="6"/>
        <v>33.087690320394721</v>
      </c>
      <c r="X12" s="45">
        <v>20</v>
      </c>
      <c r="Y12" s="45">
        <v>3</v>
      </c>
      <c r="Z12" s="46">
        <f t="shared" si="7"/>
        <v>3.580918865843584</v>
      </c>
      <c r="AA12" s="47">
        <v>1</v>
      </c>
      <c r="AB12" s="47">
        <v>1</v>
      </c>
      <c r="AC12" s="102">
        <v>6</v>
      </c>
      <c r="AD12" s="46">
        <f t="shared" si="8"/>
        <v>6</v>
      </c>
      <c r="AE12" s="46">
        <f t="shared" si="9"/>
        <v>1.790459432921792</v>
      </c>
      <c r="AF12" s="48">
        <f t="shared" si="2"/>
        <v>22.811896716987214</v>
      </c>
      <c r="AG12" s="47"/>
      <c r="AH12" s="102"/>
      <c r="AI12" s="47">
        <v>1</v>
      </c>
      <c r="AJ12" s="102">
        <v>6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18.8</v>
      </c>
      <c r="AM12" s="44" t="str">
        <f>IF(AA12=2,IF(AC12&gt;=25,LOOKUP(AC12,'Tabela eletroduto'!$A$32:$A$43,'Tabela eletroduto'!$D$32:$D$43)),"-")</f>
        <v>-</v>
      </c>
      <c r="AN12" s="44">
        <f t="shared" si="10"/>
        <v>75.2</v>
      </c>
      <c r="AO12" s="35"/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/>
      <c r="AV12" s="50">
        <f>O12/2</f>
        <v>2777.7777777777778</v>
      </c>
      <c r="AW12" s="50">
        <f>O12/2</f>
        <v>2777.7777777777778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209</v>
      </c>
      <c r="D13" s="38">
        <v>1</v>
      </c>
      <c r="E13" s="39">
        <v>2000</v>
      </c>
      <c r="F13" s="63"/>
      <c r="G13" s="40">
        <v>0.8</v>
      </c>
      <c r="H13" s="40"/>
      <c r="I13" s="41">
        <f t="shared" si="0"/>
        <v>2500</v>
      </c>
      <c r="J13" s="41">
        <f t="shared" si="1"/>
        <v>1499.9999999999998</v>
      </c>
      <c r="K13" s="38">
        <v>5</v>
      </c>
      <c r="L13" s="41">
        <f>IF(K13=K12,0,SUMIF(K13:$K$60,K13,I13:$I$60))</f>
        <v>2500</v>
      </c>
      <c r="M13" s="41">
        <f>IF(K13=K12,0,SUMIF(K13:$K$60,K13,J13:$J$60))</f>
        <v>1499.9999999999998</v>
      </c>
      <c r="N13" s="40">
        <v>1</v>
      </c>
      <c r="O13" s="41">
        <f t="shared" si="3"/>
        <v>2500</v>
      </c>
      <c r="P13" s="41">
        <f t="shared" si="4"/>
        <v>1499.9999999999998</v>
      </c>
      <c r="Q13" s="78">
        <v>2</v>
      </c>
      <c r="R13" s="80">
        <v>220</v>
      </c>
      <c r="S13" s="79">
        <f t="shared" si="5"/>
        <v>11.363636363636363</v>
      </c>
      <c r="T13" s="43">
        <v>1.06</v>
      </c>
      <c r="U13" s="43">
        <v>0.7</v>
      </c>
      <c r="V13" s="42">
        <v>10</v>
      </c>
      <c r="W13" s="110">
        <f t="shared" si="6"/>
        <v>15.314873805439843</v>
      </c>
      <c r="X13" s="45">
        <v>25</v>
      </c>
      <c r="Y13" s="45">
        <v>3</v>
      </c>
      <c r="Z13" s="46">
        <f t="shared" si="7"/>
        <v>2.0718173438095024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1.5538630078571269</v>
      </c>
      <c r="AF13" s="48">
        <f t="shared" si="2"/>
        <v>22.575300291922549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35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1250</v>
      </c>
      <c r="AV13" s="50"/>
      <c r="AW13" s="50">
        <f>O13/2</f>
        <v>1250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210</v>
      </c>
      <c r="D14" s="38">
        <v>1</v>
      </c>
      <c r="E14" s="39">
        <v>1100</v>
      </c>
      <c r="F14" s="63"/>
      <c r="G14" s="40">
        <v>0.9</v>
      </c>
      <c r="H14" s="40"/>
      <c r="I14" s="41">
        <f t="shared" si="0"/>
        <v>1222.2222222222222</v>
      </c>
      <c r="J14" s="41">
        <f t="shared" si="1"/>
        <v>532.7543153216377</v>
      </c>
      <c r="K14" s="38">
        <v>6</v>
      </c>
      <c r="L14" s="41">
        <f>IF(K14=K13,0,SUMIF(K14:$K$60,K14,I14:$I$60))</f>
        <v>1222.2222222222222</v>
      </c>
      <c r="M14" s="41">
        <f>IF(K14=K13,0,SUMIF(K14:$K$60,K14,J14:$J$60))</f>
        <v>532.7543153216377</v>
      </c>
      <c r="N14" s="40">
        <v>1</v>
      </c>
      <c r="O14" s="41">
        <f t="shared" si="3"/>
        <v>1222.2222222222222</v>
      </c>
      <c r="P14" s="41">
        <f t="shared" si="4"/>
        <v>532.7543153216377</v>
      </c>
      <c r="Q14" s="78">
        <v>2</v>
      </c>
      <c r="R14" s="80">
        <v>220</v>
      </c>
      <c r="S14" s="79">
        <f t="shared" si="5"/>
        <v>5.5555555555555554</v>
      </c>
      <c r="T14" s="43">
        <v>1.06</v>
      </c>
      <c r="U14" s="43">
        <v>0.7</v>
      </c>
      <c r="V14" s="42">
        <v>10</v>
      </c>
      <c r="W14" s="110">
        <f t="shared" si="6"/>
        <v>7.4872716382150344</v>
      </c>
      <c r="X14" s="45">
        <v>25</v>
      </c>
      <c r="Y14" s="45">
        <v>3</v>
      </c>
      <c r="Z14" s="46">
        <f t="shared" si="7"/>
        <v>1.0128884791957566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0.75966635939681748</v>
      </c>
      <c r="AF14" s="48">
        <f t="shared" si="2"/>
        <v>21.781103643462238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>
        <f>O14/2</f>
        <v>611.11111111111109</v>
      </c>
      <c r="AV14" s="50">
        <f>O14/2</f>
        <v>611.11111111111109</v>
      </c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77</v>
      </c>
      <c r="C15" s="37" t="s">
        <v>211</v>
      </c>
      <c r="D15" s="38">
        <v>1</v>
      </c>
      <c r="E15" s="39">
        <v>1000</v>
      </c>
      <c r="F15" s="63"/>
      <c r="G15" s="40">
        <v>0.92</v>
      </c>
      <c r="H15" s="40"/>
      <c r="I15" s="41">
        <f t="shared" si="0"/>
        <v>1086.9565217391305</v>
      </c>
      <c r="J15" s="41">
        <f t="shared" si="1"/>
        <v>425.99821613620463</v>
      </c>
      <c r="K15" s="38">
        <v>7</v>
      </c>
      <c r="L15" s="41">
        <f>IF(K15=K14,0,SUMIF(K15:$K$60,K15,I15:$I$60))</f>
        <v>1086.9565217391305</v>
      </c>
      <c r="M15" s="41">
        <f>IF(K15=K14,0,SUMIF(K15:$K$60,K15,J15:$J$60))</f>
        <v>425.99821613620463</v>
      </c>
      <c r="N15" s="40">
        <v>1</v>
      </c>
      <c r="O15" s="41">
        <f t="shared" si="3"/>
        <v>1086.9565217391305</v>
      </c>
      <c r="P15" s="41">
        <f t="shared" si="4"/>
        <v>425.99821613620463</v>
      </c>
      <c r="Q15" s="78">
        <v>2</v>
      </c>
      <c r="R15" s="80">
        <v>220</v>
      </c>
      <c r="S15" s="79">
        <f t="shared" si="5"/>
        <v>4.9407114624505928</v>
      </c>
      <c r="T15" s="43">
        <v>1.06</v>
      </c>
      <c r="U15" s="43">
        <v>0.7</v>
      </c>
      <c r="V15" s="42">
        <v>10</v>
      </c>
      <c r="W15" s="110">
        <f t="shared" si="6"/>
        <v>6.6586407849738452</v>
      </c>
      <c r="X15" s="45">
        <v>25</v>
      </c>
      <c r="Y15" s="45">
        <v>3</v>
      </c>
      <c r="Z15" s="46">
        <f t="shared" si="7"/>
        <v>0.90079014948239233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0.67559261211179422</v>
      </c>
      <c r="AF15" s="48">
        <f t="shared" si="2"/>
        <v>21.697029896177217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/>
      <c r="AV15" s="50">
        <f>O15/2</f>
        <v>543.47826086956525</v>
      </c>
      <c r="AW15" s="50">
        <f>O15/2</f>
        <v>543.47826086956525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79</v>
      </c>
      <c r="C16" s="37" t="s">
        <v>212</v>
      </c>
      <c r="D16" s="38">
        <v>2</v>
      </c>
      <c r="E16" s="39">
        <v>600</v>
      </c>
      <c r="F16" s="63"/>
      <c r="G16" s="40">
        <v>0.8</v>
      </c>
      <c r="H16" s="40"/>
      <c r="I16" s="41">
        <f t="shared" si="0"/>
        <v>1500</v>
      </c>
      <c r="J16" s="41">
        <f t="shared" si="1"/>
        <v>899.99999999999977</v>
      </c>
      <c r="K16" s="38">
        <v>8</v>
      </c>
      <c r="L16" s="41">
        <f>IF(K16=K15,0,SUMIF(K16:$K$60,K16,I16:$I$60))</f>
        <v>1500</v>
      </c>
      <c r="M16" s="41">
        <f>IF(K16=K15,0,SUMIF(K16:$K$60,K16,J16:$J$60))</f>
        <v>899.99999999999977</v>
      </c>
      <c r="N16" s="40">
        <v>1</v>
      </c>
      <c r="O16" s="41">
        <f t="shared" si="3"/>
        <v>1500</v>
      </c>
      <c r="P16" s="41">
        <f t="shared" si="4"/>
        <v>899.99999999999977</v>
      </c>
      <c r="Q16" s="78">
        <v>1</v>
      </c>
      <c r="R16" s="80">
        <v>127</v>
      </c>
      <c r="S16" s="79">
        <f t="shared" si="5"/>
        <v>11.811023622047244</v>
      </c>
      <c r="T16" s="43">
        <v>1.06</v>
      </c>
      <c r="U16" s="43">
        <v>0.65</v>
      </c>
      <c r="V16" s="42">
        <v>10</v>
      </c>
      <c r="W16" s="110">
        <f t="shared" si="6"/>
        <v>17.142269407906014</v>
      </c>
      <c r="X16" s="45">
        <v>20</v>
      </c>
      <c r="Y16" s="45">
        <v>3</v>
      </c>
      <c r="Z16" s="46">
        <f t="shared" si="7"/>
        <v>3.2137737922583445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2.4103303441937589</v>
      </c>
      <c r="AF16" s="48">
        <f t="shared" si="2"/>
        <v>23.43176762825918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>
        <f>O16</f>
        <v>1500</v>
      </c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213</v>
      </c>
      <c r="D17" s="38">
        <v>2</v>
      </c>
      <c r="E17" s="39">
        <v>600</v>
      </c>
      <c r="F17" s="63"/>
      <c r="G17" s="40">
        <v>0.92</v>
      </c>
      <c r="H17" s="40"/>
      <c r="I17" s="41">
        <f t="shared" si="0"/>
        <v>1304.3478260869565</v>
      </c>
      <c r="J17" s="41">
        <f t="shared" si="1"/>
        <v>511.1978593634455</v>
      </c>
      <c r="K17" s="38">
        <v>9</v>
      </c>
      <c r="L17" s="41">
        <f>IF(K17=K16,0,SUMIF(K17:$K$60,K17,I17:$I$60))</f>
        <v>1304.3478260869565</v>
      </c>
      <c r="M17" s="41">
        <f>IF(K17=K16,0,SUMIF(K17:$K$60,K17,J17:$J$60))</f>
        <v>511.1978593634455</v>
      </c>
      <c r="N17" s="40">
        <v>1</v>
      </c>
      <c r="O17" s="41">
        <f t="shared" si="3"/>
        <v>1304.3478260869565</v>
      </c>
      <c r="P17" s="41">
        <f t="shared" si="4"/>
        <v>511.1978593634455</v>
      </c>
      <c r="Q17" s="78">
        <v>2</v>
      </c>
      <c r="R17" s="80">
        <v>220</v>
      </c>
      <c r="S17" s="79">
        <f t="shared" si="5"/>
        <v>5.928853754940711</v>
      </c>
      <c r="T17" s="43">
        <v>1.06</v>
      </c>
      <c r="U17" s="43">
        <v>0.65</v>
      </c>
      <c r="V17" s="42">
        <v>10</v>
      </c>
      <c r="W17" s="110">
        <f t="shared" si="6"/>
        <v>8.6050127067354296</v>
      </c>
      <c r="X17" s="45">
        <v>25</v>
      </c>
      <c r="Y17" s="45">
        <v>3</v>
      </c>
      <c r="Z17" s="46">
        <f t="shared" si="7"/>
        <v>1.1640980393310916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0.87307352949831873</v>
      </c>
      <c r="AF17" s="48">
        <f t="shared" si="2"/>
        <v>21.894510813563741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652.17391304347825</v>
      </c>
      <c r="AW17" s="50">
        <f>O17/2</f>
        <v>652.17391304347825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215</v>
      </c>
      <c r="D18" s="38">
        <v>1</v>
      </c>
      <c r="E18" s="39">
        <v>750</v>
      </c>
      <c r="F18" s="63"/>
      <c r="G18" s="40">
        <v>0.75</v>
      </c>
      <c r="H18" s="40"/>
      <c r="I18" s="41">
        <f t="shared" si="0"/>
        <v>1000</v>
      </c>
      <c r="J18" s="41">
        <f t="shared" si="1"/>
        <v>661.43782776614762</v>
      </c>
      <c r="K18" s="38">
        <v>10</v>
      </c>
      <c r="L18" s="41">
        <f>IF(K18=K17,0,SUMIF(K18:$K$60,K18,I18:$I$60))</f>
        <v>1000</v>
      </c>
      <c r="M18" s="41">
        <f>IF(K18=K17,0,SUMIF(K18:$K$60,K18,J18:$J$60))</f>
        <v>661.43782776614762</v>
      </c>
      <c r="N18" s="40">
        <v>1</v>
      </c>
      <c r="O18" s="41">
        <f t="shared" si="3"/>
        <v>1000</v>
      </c>
      <c r="P18" s="41">
        <f t="shared" si="4"/>
        <v>661.43782776614762</v>
      </c>
      <c r="Q18" s="78">
        <v>1</v>
      </c>
      <c r="R18" s="80">
        <v>127</v>
      </c>
      <c r="S18" s="79">
        <f t="shared" si="5"/>
        <v>7.8740157480314963</v>
      </c>
      <c r="T18" s="43">
        <v>1.06</v>
      </c>
      <c r="U18" s="43">
        <v>0.65</v>
      </c>
      <c r="V18" s="42">
        <v>10</v>
      </c>
      <c r="W18" s="110">
        <f t="shared" si="6"/>
        <v>11.428179605270676</v>
      </c>
      <c r="X18" s="45">
        <v>30</v>
      </c>
      <c r="Y18" s="45">
        <v>3</v>
      </c>
      <c r="Z18" s="46">
        <f t="shared" si="7"/>
        <v>3.2137737922583449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2.4103303441937589</v>
      </c>
      <c r="AF18" s="48">
        <f t="shared" si="2"/>
        <v>23.43176762825918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/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/>
      <c r="AV18" s="50">
        <f>O18</f>
        <v>1000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79</v>
      </c>
      <c r="C19" s="37" t="s">
        <v>216</v>
      </c>
      <c r="D19" s="38">
        <v>4</v>
      </c>
      <c r="E19" s="39">
        <v>300</v>
      </c>
      <c r="F19" s="63"/>
      <c r="G19" s="40">
        <v>0.85</v>
      </c>
      <c r="H19" s="215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0.65</v>
      </c>
      <c r="V19" s="42">
        <v>10</v>
      </c>
      <c r="W19" s="110">
        <f t="shared" si="6"/>
        <v>16.133900619205662</v>
      </c>
      <c r="X19" s="45">
        <v>25</v>
      </c>
      <c r="Y19" s="45">
        <v>3</v>
      </c>
      <c r="Z19" s="46">
        <f t="shared" si="7"/>
        <v>3.7809103438333471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2.8356827578750106</v>
      </c>
      <c r="AF19" s="48">
        <f t="shared" si="2"/>
        <v>23.85712004194043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/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/>
      <c r="AW19" s="50">
        <f>O19</f>
        <v>1411.7647058823529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217</v>
      </c>
      <c r="D20" s="38">
        <v>1</v>
      </c>
      <c r="E20" s="39">
        <v>2000</v>
      </c>
      <c r="F20" s="63"/>
      <c r="G20" s="40">
        <v>0.7</v>
      </c>
      <c r="H20" s="40"/>
      <c r="I20" s="41">
        <f t="shared" si="0"/>
        <v>2857.1428571428573</v>
      </c>
      <c r="J20" s="41">
        <f t="shared" si="1"/>
        <v>2040.4081224408144</v>
      </c>
      <c r="K20" s="38">
        <v>12</v>
      </c>
      <c r="L20" s="41">
        <f>IF(K20=K19,0,SUMIF(K20:$K$60,K20,I20:$I$60))</f>
        <v>2857.1428571428573</v>
      </c>
      <c r="M20" s="41">
        <f>IF(K20=K19,0,SUMIF(K20:$K$60,K20,J20:$J$60))</f>
        <v>2040.4081224408144</v>
      </c>
      <c r="N20" s="40">
        <v>1</v>
      </c>
      <c r="O20" s="41">
        <f t="shared" si="3"/>
        <v>2857.1428571428573</v>
      </c>
      <c r="P20" s="41">
        <f t="shared" si="4"/>
        <v>2040.4081224408144</v>
      </c>
      <c r="Q20" s="78">
        <v>1</v>
      </c>
      <c r="R20" s="80">
        <v>127</v>
      </c>
      <c r="S20" s="79">
        <f t="shared" si="5"/>
        <v>22.497187851518561</v>
      </c>
      <c r="T20" s="43">
        <v>1.06</v>
      </c>
      <c r="U20" s="43">
        <v>0.7</v>
      </c>
      <c r="V20" s="42">
        <v>10</v>
      </c>
      <c r="W20" s="110">
        <f t="shared" si="6"/>
        <v>30.319660177248736</v>
      </c>
      <c r="X20" s="45">
        <v>20</v>
      </c>
      <c r="Y20" s="45">
        <v>3</v>
      </c>
      <c r="Z20" s="46">
        <f t="shared" si="7"/>
        <v>5.6842257550147606</v>
      </c>
      <c r="AA20" s="47">
        <v>1</v>
      </c>
      <c r="AB20" s="47">
        <v>1</v>
      </c>
      <c r="AC20" s="102">
        <v>6</v>
      </c>
      <c r="AD20" s="46">
        <f t="shared" si="8"/>
        <v>6</v>
      </c>
      <c r="AE20" s="46">
        <f t="shared" si="9"/>
        <v>2.8421128775073803</v>
      </c>
      <c r="AF20" s="48">
        <f t="shared" si="2"/>
        <v>23.8635501615728</v>
      </c>
      <c r="AG20" s="47">
        <v>1</v>
      </c>
      <c r="AH20" s="102">
        <v>6</v>
      </c>
      <c r="AI20" s="47">
        <v>1</v>
      </c>
      <c r="AJ20" s="102">
        <v>6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18.8</v>
      </c>
      <c r="AM20" s="44" t="str">
        <f>IF(AA20=2,IF(AC20&gt;=25,LOOKUP(AC20,'Tabela eletroduto'!$A$32:$A$43,'Tabela eletroduto'!$D$32:$D$43)),"-")</f>
        <v>-</v>
      </c>
      <c r="AN20" s="44">
        <f t="shared" si="10"/>
        <v>56.400000000000006</v>
      </c>
      <c r="AO20" s="35"/>
      <c r="AP20" s="35"/>
      <c r="AQ20" s="35"/>
      <c r="AR20" s="49">
        <f t="shared" si="11"/>
        <v>1</v>
      </c>
      <c r="AS20" s="47">
        <v>40</v>
      </c>
      <c r="AT20" s="49" t="str">
        <f t="shared" si="12"/>
        <v>SIM</v>
      </c>
      <c r="AU20" s="50">
        <f>O20</f>
        <v>2857.1428571428573</v>
      </c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79</v>
      </c>
      <c r="C21" s="37" t="s">
        <v>218</v>
      </c>
      <c r="D21" s="38">
        <v>3</v>
      </c>
      <c r="E21" s="39">
        <v>400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371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23.127944475629715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/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/>
      <c r="AV21" s="50">
        <f>O21</f>
        <v>1411.7647058823529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31.5">
      <c r="A22" s="36">
        <v>14</v>
      </c>
      <c r="B22" s="35" t="s">
        <v>77</v>
      </c>
      <c r="C22" s="37" t="s">
        <v>219</v>
      </c>
      <c r="D22" s="38">
        <v>1</v>
      </c>
      <c r="E22" s="39">
        <v>2000</v>
      </c>
      <c r="F22" s="63"/>
      <c r="G22" s="40">
        <v>0.7</v>
      </c>
      <c r="H22" s="40"/>
      <c r="I22" s="41">
        <f t="shared" si="0"/>
        <v>2857.1428571428573</v>
      </c>
      <c r="J22" s="41">
        <f t="shared" si="1"/>
        <v>2040.4081224408144</v>
      </c>
      <c r="K22" s="38">
        <v>14</v>
      </c>
      <c r="L22" s="41">
        <f>IF(K22=K21,0,SUMIF(K22:$K$60,K22,I22:$I$60))</f>
        <v>2857.1428571428573</v>
      </c>
      <c r="M22" s="41">
        <f>IF(K22=K21,0,SUMIF(K22:$K$60,K22,J22:$J$60))</f>
        <v>2040.4081224408144</v>
      </c>
      <c r="N22" s="40">
        <v>1</v>
      </c>
      <c r="O22" s="41">
        <f t="shared" si="3"/>
        <v>2857.1428571428573</v>
      </c>
      <c r="P22" s="41">
        <f t="shared" si="4"/>
        <v>2040.4081224408144</v>
      </c>
      <c r="Q22" s="78">
        <v>1</v>
      </c>
      <c r="R22" s="80">
        <v>127</v>
      </c>
      <c r="S22" s="79">
        <f t="shared" si="5"/>
        <v>22.497187851518561</v>
      </c>
      <c r="T22" s="43">
        <v>1.06</v>
      </c>
      <c r="U22" s="43">
        <v>0.65</v>
      </c>
      <c r="V22" s="42">
        <v>10</v>
      </c>
      <c r="W22" s="110">
        <f t="shared" si="6"/>
        <v>32.651941729344792</v>
      </c>
      <c r="X22" s="45">
        <v>17</v>
      </c>
      <c r="Y22" s="45">
        <v>3</v>
      </c>
      <c r="Z22" s="46">
        <f t="shared" si="7"/>
        <v>5.2032528065135111</v>
      </c>
      <c r="AA22" s="47">
        <v>1</v>
      </c>
      <c r="AB22" s="47">
        <v>1</v>
      </c>
      <c r="AC22" s="102">
        <v>6</v>
      </c>
      <c r="AD22" s="46">
        <f t="shared" si="8"/>
        <v>6</v>
      </c>
      <c r="AE22" s="46">
        <f t="shared" si="9"/>
        <v>2.6016264032567555</v>
      </c>
      <c r="AF22" s="48">
        <f t="shared" si="2"/>
        <v>23.623063687322176</v>
      </c>
      <c r="AG22" s="47">
        <v>1</v>
      </c>
      <c r="AH22" s="102">
        <v>6</v>
      </c>
      <c r="AI22" s="47">
        <v>1</v>
      </c>
      <c r="AJ22" s="102">
        <v>6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18.8</v>
      </c>
      <c r="AM22" s="44" t="str">
        <f>IF(AA22=2,IF(AC22&gt;=25,LOOKUP(AC22,'Tabela eletroduto'!$A$32:$A$43,'Tabela eletroduto'!$D$32:$D$43)),"-")</f>
        <v>-</v>
      </c>
      <c r="AN22" s="44">
        <f t="shared" si="10"/>
        <v>56.400000000000006</v>
      </c>
      <c r="AO22" s="35"/>
      <c r="AP22" s="35"/>
      <c r="AQ22" s="35"/>
      <c r="AR22" s="49">
        <f t="shared" si="11"/>
        <v>1</v>
      </c>
      <c r="AS22" s="47">
        <v>40</v>
      </c>
      <c r="AT22" s="49" t="str">
        <f t="shared" si="12"/>
        <v>SIM</v>
      </c>
      <c r="AU22" s="50"/>
      <c r="AV22" s="50"/>
      <c r="AW22" s="50">
        <f>O22</f>
        <v>2857.1428571428573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79</v>
      </c>
      <c r="C23" s="37" t="s">
        <v>220</v>
      </c>
      <c r="D23" s="38">
        <v>3</v>
      </c>
      <c r="E23" s="39">
        <v>400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0.65</v>
      </c>
      <c r="V23" s="42">
        <v>10</v>
      </c>
      <c r="W23" s="110">
        <f t="shared" si="6"/>
        <v>16.133900619205662</v>
      </c>
      <c r="X23" s="45">
        <v>17</v>
      </c>
      <c r="Y23" s="45">
        <v>3</v>
      </c>
      <c r="Z23" s="46">
        <f t="shared" si="7"/>
        <v>2.5710190338066763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1.9282642753550072</v>
      </c>
      <c r="AF23" s="48">
        <f t="shared" si="2"/>
        <v>22.949701559420429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/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>
        <f>O23</f>
        <v>1411.7647058823529</v>
      </c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31.5">
      <c r="A24" s="36">
        <v>16</v>
      </c>
      <c r="B24" s="35" t="s">
        <v>77</v>
      </c>
      <c r="C24" s="37" t="s">
        <v>221</v>
      </c>
      <c r="D24" s="38">
        <v>1</v>
      </c>
      <c r="E24" s="39">
        <v>2500</v>
      </c>
      <c r="F24" s="63"/>
      <c r="G24" s="40">
        <v>0.7</v>
      </c>
      <c r="H24" s="40"/>
      <c r="I24" s="41">
        <f t="shared" si="0"/>
        <v>3571.4285714285716</v>
      </c>
      <c r="J24" s="41">
        <f t="shared" si="1"/>
        <v>2550.5101530510178</v>
      </c>
      <c r="K24" s="38">
        <v>16</v>
      </c>
      <c r="L24" s="41">
        <f>IF(K24=K23,0,SUMIF(K24:$K$60,K24,I24:$I$60))</f>
        <v>3571.4285714285716</v>
      </c>
      <c r="M24" s="41">
        <f>IF(K24=K23,0,SUMIF(K24:$K$60,K24,J24:$J$60))</f>
        <v>2550.5101530510178</v>
      </c>
      <c r="N24" s="40">
        <v>1</v>
      </c>
      <c r="O24" s="41">
        <f t="shared" si="3"/>
        <v>3571.4285714285716</v>
      </c>
      <c r="P24" s="41">
        <f t="shared" si="4"/>
        <v>2550.5101530510178</v>
      </c>
      <c r="Q24" s="78">
        <v>1</v>
      </c>
      <c r="R24" s="80">
        <v>127</v>
      </c>
      <c r="S24" s="79">
        <f t="shared" si="5"/>
        <v>28.121484814398201</v>
      </c>
      <c r="T24" s="43">
        <v>1.06</v>
      </c>
      <c r="U24" s="43">
        <v>0.72</v>
      </c>
      <c r="V24" s="42">
        <v>10</v>
      </c>
      <c r="W24" s="110">
        <f t="shared" si="6"/>
        <v>36.846809243184225</v>
      </c>
      <c r="X24" s="45">
        <v>10</v>
      </c>
      <c r="Y24" s="45">
        <v>3</v>
      </c>
      <c r="Z24" s="46">
        <f t="shared" si="7"/>
        <v>3.4539566219707742</v>
      </c>
      <c r="AA24" s="47">
        <v>1</v>
      </c>
      <c r="AB24" s="47">
        <v>1</v>
      </c>
      <c r="AC24" s="102">
        <v>6</v>
      </c>
      <c r="AD24" s="46">
        <f t="shared" si="8"/>
        <v>6</v>
      </c>
      <c r="AE24" s="46">
        <f t="shared" si="9"/>
        <v>1.7269783109853873</v>
      </c>
      <c r="AF24" s="48">
        <f t="shared" si="2"/>
        <v>22.748415595050808</v>
      </c>
      <c r="AG24" s="47">
        <v>1</v>
      </c>
      <c r="AH24" s="102">
        <v>6</v>
      </c>
      <c r="AI24" s="47">
        <v>1</v>
      </c>
      <c r="AJ24" s="102">
        <v>6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18.8</v>
      </c>
      <c r="AM24" s="44" t="str">
        <f>IF(AA24=2,IF(AC24&gt;=25,LOOKUP(AC24,'Tabela eletroduto'!$A$32:$A$43,'Tabela eletroduto'!$D$32:$D$43)),"-")</f>
        <v>-</v>
      </c>
      <c r="AN24" s="44">
        <f t="shared" si="10"/>
        <v>56.400000000000006</v>
      </c>
      <c r="AO24" s="35"/>
      <c r="AP24" s="35"/>
      <c r="AQ24" s="35"/>
      <c r="AR24" s="49">
        <f t="shared" si="11"/>
        <v>1</v>
      </c>
      <c r="AS24" s="47">
        <v>40</v>
      </c>
      <c r="AT24" s="49" t="str">
        <f t="shared" si="12"/>
        <v>SIM</v>
      </c>
      <c r="AU24" s="50"/>
      <c r="AV24" s="50">
        <f>O24</f>
        <v>3571.4285714285716</v>
      </c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79</v>
      </c>
      <c r="C25" s="37" t="s">
        <v>222</v>
      </c>
      <c r="D25" s="38">
        <v>4</v>
      </c>
      <c r="E25" s="39">
        <v>400</v>
      </c>
      <c r="F25" s="63"/>
      <c r="G25" s="40">
        <v>0.85</v>
      </c>
      <c r="H25" s="40"/>
      <c r="I25" s="41">
        <f t="shared" si="0"/>
        <v>1882.3529411764707</v>
      </c>
      <c r="J25" s="41">
        <f t="shared" si="1"/>
        <v>991.59094144496373</v>
      </c>
      <c r="K25" s="38">
        <v>17</v>
      </c>
      <c r="L25" s="41">
        <f>IF(K25=K24,0,SUMIF(K25:$K$60,K25,I25:$I$60))</f>
        <v>1882.3529411764707</v>
      </c>
      <c r="M25" s="41">
        <f>IF(K25=K24,0,SUMIF(K25:$K$60,K25,J25:$J$60))</f>
        <v>991.59094144496373</v>
      </c>
      <c r="N25" s="40">
        <v>1</v>
      </c>
      <c r="O25" s="41">
        <f t="shared" si="3"/>
        <v>1882.3529411764707</v>
      </c>
      <c r="P25" s="41">
        <f t="shared" si="4"/>
        <v>991.59094144496373</v>
      </c>
      <c r="Q25" s="78">
        <v>1</v>
      </c>
      <c r="R25" s="80">
        <v>127</v>
      </c>
      <c r="S25" s="79">
        <f t="shared" si="5"/>
        <v>14.821676702176935</v>
      </c>
      <c r="T25" s="43">
        <v>1.06</v>
      </c>
      <c r="U25" s="43">
        <v>0.7</v>
      </c>
      <c r="V25" s="42">
        <v>10</v>
      </c>
      <c r="W25" s="110">
        <f t="shared" si="6"/>
        <v>19.975305528540343</v>
      </c>
      <c r="X25" s="45">
        <v>12</v>
      </c>
      <c r="Y25" s="45">
        <v>3</v>
      </c>
      <c r="Z25" s="46">
        <f t="shared" si="7"/>
        <v>2.2469410043352465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1.6852057532514346</v>
      </c>
      <c r="AF25" s="48">
        <f t="shared" si="2"/>
        <v>22.706643037316855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/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/>
      <c r="AW25" s="50">
        <f>O25</f>
        <v>1882.3529411764707</v>
      </c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79</v>
      </c>
      <c r="C26" s="37" t="s">
        <v>223</v>
      </c>
      <c r="D26" s="38">
        <v>2</v>
      </c>
      <c r="E26" s="39">
        <v>600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0.72</v>
      </c>
      <c r="V26" s="42">
        <v>10</v>
      </c>
      <c r="W26" s="110">
        <f t="shared" si="6"/>
        <v>14.565326947894</v>
      </c>
      <c r="X26" s="45">
        <v>15</v>
      </c>
      <c r="Y26" s="45">
        <v>3</v>
      </c>
      <c r="Z26" s="46">
        <f t="shared" si="7"/>
        <v>2.04799310290973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1.5359948271822974</v>
      </c>
      <c r="AF26" s="48">
        <f t="shared" si="2"/>
        <v>22.557432111247717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/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>
        <f>O26</f>
        <v>1411.7647058823529</v>
      </c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 t="s">
        <v>79</v>
      </c>
      <c r="C27" s="37" t="s">
        <v>224</v>
      </c>
      <c r="D27" s="38">
        <v>3</v>
      </c>
      <c r="E27" s="39">
        <v>400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0.72</v>
      </c>
      <c r="V27" s="42">
        <v>10</v>
      </c>
      <c r="W27" s="110">
        <f t="shared" si="6"/>
        <v>14.565326947894</v>
      </c>
      <c r="X27" s="45">
        <v>22</v>
      </c>
      <c r="Y27" s="45">
        <v>3</v>
      </c>
      <c r="Z27" s="46">
        <f t="shared" si="7"/>
        <v>3.0037232176009376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2.2527924132007029</v>
      </c>
      <c r="AF27" s="48">
        <f t="shared" si="2"/>
        <v>23.274229697266122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/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/>
      <c r="AV27" s="50">
        <f>O27</f>
        <v>1411.7647058823529</v>
      </c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79</v>
      </c>
      <c r="C28" s="37" t="s">
        <v>225</v>
      </c>
      <c r="D28" s="38">
        <v>6</v>
      </c>
      <c r="E28" s="39">
        <v>300</v>
      </c>
      <c r="F28" s="63"/>
      <c r="G28" s="40">
        <v>0.85</v>
      </c>
      <c r="H28" s="40"/>
      <c r="I28" s="41">
        <f t="shared" si="0"/>
        <v>2117.6470588235293</v>
      </c>
      <c r="J28" s="41">
        <f t="shared" si="1"/>
        <v>1115.539809125584</v>
      </c>
      <c r="K28" s="38">
        <v>20</v>
      </c>
      <c r="L28" s="41">
        <f>IF(K28=K27,0,SUMIF(K28:$K$60,K28,I28:$I$60))</f>
        <v>2117.6470588235293</v>
      </c>
      <c r="M28" s="41">
        <f>IF(K28=K27,0,SUMIF(K28:$K$60,K28,J28:$J$60))</f>
        <v>1115.539809125584</v>
      </c>
      <c r="N28" s="40">
        <v>1</v>
      </c>
      <c r="O28" s="41">
        <f t="shared" si="3"/>
        <v>2117.6470588235293</v>
      </c>
      <c r="P28" s="41">
        <f t="shared" si="4"/>
        <v>1115.539809125584</v>
      </c>
      <c r="Q28" s="78">
        <v>1</v>
      </c>
      <c r="R28" s="80">
        <v>127</v>
      </c>
      <c r="S28" s="79">
        <f t="shared" si="5"/>
        <v>16.674386289949048</v>
      </c>
      <c r="T28" s="43">
        <v>1.06</v>
      </c>
      <c r="U28" s="43">
        <v>0.72</v>
      </c>
      <c r="V28" s="42">
        <v>10</v>
      </c>
      <c r="W28" s="110">
        <f t="shared" si="6"/>
        <v>21.847990421840997</v>
      </c>
      <c r="X28" s="45">
        <v>20</v>
      </c>
      <c r="Y28" s="45">
        <v>3</v>
      </c>
      <c r="Z28" s="46">
        <f t="shared" si="7"/>
        <v>4.0959862058194583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3.0719896543645944</v>
      </c>
      <c r="AF28" s="48">
        <f t="shared" si="2"/>
        <v>24.093426938430014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/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/>
      <c r="AW28" s="50">
        <f>O28</f>
        <v>2117.6470588235293</v>
      </c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79</v>
      </c>
      <c r="C29" s="37" t="s">
        <v>226</v>
      </c>
      <c r="D29" s="38">
        <v>5</v>
      </c>
      <c r="E29" s="39">
        <v>400</v>
      </c>
      <c r="F29" s="63"/>
      <c r="G29" s="40">
        <v>0.85</v>
      </c>
      <c r="H29" s="40"/>
      <c r="I29" s="41">
        <f t="shared" si="0"/>
        <v>2352.9411764705883</v>
      </c>
      <c r="J29" s="41">
        <f t="shared" si="1"/>
        <v>1239.4886768062045</v>
      </c>
      <c r="K29" s="38">
        <v>21</v>
      </c>
      <c r="L29" s="41">
        <f>IF(K29=K28,0,SUMIF(K29:$K$60,K29,I29:$I$60))</f>
        <v>2352.9411764705883</v>
      </c>
      <c r="M29" s="41">
        <f>IF(K29=K28,0,SUMIF(K29:$K$60,K29,J29:$J$60))</f>
        <v>1239.4886768062045</v>
      </c>
      <c r="N29" s="40">
        <v>1</v>
      </c>
      <c r="O29" s="41">
        <f t="shared" si="3"/>
        <v>2352.9411764705883</v>
      </c>
      <c r="P29" s="41">
        <f t="shared" si="4"/>
        <v>1239.4886768062045</v>
      </c>
      <c r="Q29" s="78">
        <v>1</v>
      </c>
      <c r="R29" s="80">
        <v>127</v>
      </c>
      <c r="S29" s="79">
        <f t="shared" si="5"/>
        <v>18.527095877721166</v>
      </c>
      <c r="T29" s="43">
        <v>1.06</v>
      </c>
      <c r="U29" s="43">
        <v>0.72</v>
      </c>
      <c r="V29" s="42">
        <v>10</v>
      </c>
      <c r="W29" s="110">
        <f t="shared" si="6"/>
        <v>24.275544913156665</v>
      </c>
      <c r="X29" s="45">
        <v>20</v>
      </c>
      <c r="Y29" s="45">
        <v>3.5</v>
      </c>
      <c r="Z29" s="46">
        <f t="shared" si="7"/>
        <v>3.90093924363758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3.4133218381828825</v>
      </c>
      <c r="AF29" s="48">
        <f t="shared" si="2"/>
        <v>24.434759122248302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/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>
        <f>O29</f>
        <v>2352.9411764705883</v>
      </c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79</v>
      </c>
      <c r="C30" s="37" t="s">
        <v>227</v>
      </c>
      <c r="D30" s="38">
        <v>4</v>
      </c>
      <c r="E30" s="39">
        <v>400</v>
      </c>
      <c r="F30" s="63"/>
      <c r="G30" s="40">
        <v>0.85</v>
      </c>
      <c r="H30" s="40"/>
      <c r="I30" s="41">
        <f t="shared" si="0"/>
        <v>1882.3529411764707</v>
      </c>
      <c r="J30" s="41">
        <f t="shared" si="1"/>
        <v>991.59094144496373</v>
      </c>
      <c r="K30" s="38">
        <v>22</v>
      </c>
      <c r="L30" s="41">
        <f>IF(K30=K29,0,SUMIF(K30:$K$60,K30,I30:$I$60))</f>
        <v>1882.3529411764707</v>
      </c>
      <c r="M30" s="41">
        <f>IF(K30=K29,0,SUMIF(K30:$K$60,K30,J30:$J$60))</f>
        <v>991.59094144496373</v>
      </c>
      <c r="N30" s="40">
        <v>1</v>
      </c>
      <c r="O30" s="41">
        <f t="shared" si="3"/>
        <v>1882.3529411764707</v>
      </c>
      <c r="P30" s="41">
        <f t="shared" si="4"/>
        <v>991.59094144496373</v>
      </c>
      <c r="Q30" s="78">
        <v>1</v>
      </c>
      <c r="R30" s="80">
        <v>127</v>
      </c>
      <c r="S30" s="79">
        <f t="shared" si="5"/>
        <v>14.821676702176935</v>
      </c>
      <c r="T30" s="43">
        <v>1.06</v>
      </c>
      <c r="U30" s="43">
        <v>0.72</v>
      </c>
      <c r="V30" s="42">
        <v>10</v>
      </c>
      <c r="W30" s="110">
        <f t="shared" si="6"/>
        <v>19.420435930525336</v>
      </c>
      <c r="X30" s="45">
        <v>12</v>
      </c>
      <c r="Y30" s="45">
        <v>3</v>
      </c>
      <c r="Z30" s="46">
        <f t="shared" si="7"/>
        <v>2.1845259764370453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1.6383944823277843</v>
      </c>
      <c r="AF30" s="48">
        <f t="shared" si="2"/>
        <v>22.659831766393204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/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/>
      <c r="AV30" s="50">
        <f>O30</f>
        <v>1882.3529411764707</v>
      </c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79</v>
      </c>
      <c r="C31" s="37" t="s">
        <v>228</v>
      </c>
      <c r="D31" s="38">
        <v>5</v>
      </c>
      <c r="E31" s="39">
        <v>300</v>
      </c>
      <c r="F31" s="63"/>
      <c r="G31" s="40">
        <v>0.85</v>
      </c>
      <c r="H31" s="40"/>
      <c r="I31" s="178">
        <f t="shared" si="0"/>
        <v>1764.7058823529412</v>
      </c>
      <c r="J31" s="178">
        <f t="shared" si="1"/>
        <v>929.61650760465341</v>
      </c>
      <c r="K31" s="177">
        <v>23</v>
      </c>
      <c r="L31" s="178">
        <f>IF(K31=K30,0,SUMIF(K31:$K$60,K31,I31:$I$60))</f>
        <v>1764.7058823529412</v>
      </c>
      <c r="M31" s="41">
        <f>IF(K31=K30,0,SUMIF(K31:$K$60,K31,J31:$J$60))</f>
        <v>929.61650760465341</v>
      </c>
      <c r="N31" s="40">
        <v>1</v>
      </c>
      <c r="O31" s="41">
        <f t="shared" si="3"/>
        <v>1764.7058823529412</v>
      </c>
      <c r="P31" s="41">
        <f t="shared" si="4"/>
        <v>929.61650760465341</v>
      </c>
      <c r="Q31" s="78">
        <v>1</v>
      </c>
      <c r="R31" s="80">
        <v>127</v>
      </c>
      <c r="S31" s="79">
        <f t="shared" si="5"/>
        <v>13.895321908290876</v>
      </c>
      <c r="T31" s="43">
        <v>1.06</v>
      </c>
      <c r="U31" s="43">
        <v>0.72</v>
      </c>
      <c r="V31" s="42">
        <v>10</v>
      </c>
      <c r="W31" s="110">
        <f t="shared" si="6"/>
        <v>18.206658684867502</v>
      </c>
      <c r="X31" s="45">
        <v>32</v>
      </c>
      <c r="Y31" s="45">
        <v>3</v>
      </c>
      <c r="Z31" s="46">
        <f t="shared" si="7"/>
        <v>5.4613149410926134</v>
      </c>
      <c r="AA31" s="47">
        <v>1</v>
      </c>
      <c r="AB31" s="47">
        <v>1</v>
      </c>
      <c r="AC31" s="102">
        <v>6</v>
      </c>
      <c r="AD31" s="46">
        <f t="shared" si="8"/>
        <v>6</v>
      </c>
      <c r="AE31" s="46">
        <f t="shared" si="9"/>
        <v>2.7306574705463067</v>
      </c>
      <c r="AF31" s="48">
        <f t="shared" si="2"/>
        <v>23.752094754611726</v>
      </c>
      <c r="AG31" s="47">
        <v>1</v>
      </c>
      <c r="AH31" s="102">
        <v>6</v>
      </c>
      <c r="AI31" s="47">
        <v>1</v>
      </c>
      <c r="AJ31" s="102">
        <v>6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18.8</v>
      </c>
      <c r="AM31" s="44" t="str">
        <f>IF(AA31=2,IF(AC31&gt;=25,LOOKUP(AC31,'Tabela eletroduto'!$A$32:$A$43,'Tabela eletroduto'!$D$32:$D$43)),"-")</f>
        <v>-</v>
      </c>
      <c r="AN31" s="44">
        <f t="shared" si="10"/>
        <v>56.400000000000006</v>
      </c>
      <c r="AO31" s="35"/>
      <c r="AP31" s="35"/>
      <c r="AQ31" s="35"/>
      <c r="AR31" s="49">
        <f t="shared" si="11"/>
        <v>1</v>
      </c>
      <c r="AS31" s="47">
        <v>40</v>
      </c>
      <c r="AT31" s="49" t="str">
        <f t="shared" si="12"/>
        <v>SIM</v>
      </c>
      <c r="AU31" s="50"/>
      <c r="AV31" s="50"/>
      <c r="AW31" s="50">
        <f>O31</f>
        <v>1764.7058823529412</v>
      </c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79</v>
      </c>
      <c r="C32" s="37" t="s">
        <v>229</v>
      </c>
      <c r="D32" s="38">
        <v>3</v>
      </c>
      <c r="E32" s="39">
        <v>600</v>
      </c>
      <c r="F32" s="63"/>
      <c r="G32" s="40">
        <v>0.85</v>
      </c>
      <c r="H32" s="40"/>
      <c r="I32" s="41">
        <f t="shared" si="0"/>
        <v>2117.6470588235293</v>
      </c>
      <c r="J32" s="41">
        <f t="shared" si="1"/>
        <v>1115.539809125584</v>
      </c>
      <c r="K32" s="38">
        <v>24</v>
      </c>
      <c r="L32" s="41">
        <f>IF(K32=K31,0,SUMIF(K32:$K$60,K32,I32:$I$60))</f>
        <v>2117.6470588235293</v>
      </c>
      <c r="M32" s="41">
        <f>IF(K32=K31,0,SUMIF(K32:$K$60,K32,J32:$J$60))</f>
        <v>1115.539809125584</v>
      </c>
      <c r="N32" s="40">
        <v>1</v>
      </c>
      <c r="O32" s="41">
        <f t="shared" si="3"/>
        <v>2117.6470588235293</v>
      </c>
      <c r="P32" s="41">
        <f t="shared" si="4"/>
        <v>1115.539809125584</v>
      </c>
      <c r="Q32" s="78">
        <v>1</v>
      </c>
      <c r="R32" s="80">
        <v>127</v>
      </c>
      <c r="S32" s="79">
        <f t="shared" si="5"/>
        <v>16.674386289949048</v>
      </c>
      <c r="T32" s="43">
        <v>1.06</v>
      </c>
      <c r="U32" s="43">
        <v>0.65</v>
      </c>
      <c r="V32" s="42">
        <v>10</v>
      </c>
      <c r="W32" s="110">
        <f t="shared" si="6"/>
        <v>24.200850928808485</v>
      </c>
      <c r="X32" s="45">
        <v>30</v>
      </c>
      <c r="Y32" s="45">
        <v>3.5</v>
      </c>
      <c r="Z32" s="46">
        <f t="shared" si="7"/>
        <v>5.8334045304857352</v>
      </c>
      <c r="AA32" s="47">
        <v>1</v>
      </c>
      <c r="AB32" s="47">
        <v>1</v>
      </c>
      <c r="AC32" s="102">
        <v>6</v>
      </c>
      <c r="AD32" s="46">
        <f t="shared" si="8"/>
        <v>6</v>
      </c>
      <c r="AE32" s="46">
        <f t="shared" si="9"/>
        <v>3.4028193094500119</v>
      </c>
      <c r="AF32" s="48">
        <f t="shared" si="2"/>
        <v>24.424256593515434</v>
      </c>
      <c r="AG32" s="47">
        <v>1</v>
      </c>
      <c r="AH32" s="102">
        <v>6</v>
      </c>
      <c r="AI32" s="47">
        <v>1</v>
      </c>
      <c r="AJ32" s="102">
        <v>6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18.8</v>
      </c>
      <c r="AM32" s="44" t="str">
        <f>IF(AA32=2,IF(AC32&gt;=25,LOOKUP(AC32,'Tabela eletroduto'!$A$32:$A$43,'Tabela eletroduto'!$D$32:$D$43)),"-")</f>
        <v>-</v>
      </c>
      <c r="AN32" s="44">
        <f t="shared" si="10"/>
        <v>56.400000000000006</v>
      </c>
      <c r="AO32" s="35"/>
      <c r="AP32" s="35"/>
      <c r="AQ32" s="35"/>
      <c r="AR32" s="49">
        <f t="shared" si="11"/>
        <v>1</v>
      </c>
      <c r="AS32" s="47">
        <v>40</v>
      </c>
      <c r="AT32" s="49" t="str">
        <f t="shared" si="12"/>
        <v>SIM</v>
      </c>
      <c r="AU32" s="50">
        <f>O32</f>
        <v>2117.6470588235293</v>
      </c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 t="s">
        <v>204</v>
      </c>
      <c r="C33" s="37" t="s">
        <v>230</v>
      </c>
      <c r="D33" s="38">
        <v>1</v>
      </c>
      <c r="E33" s="39">
        <v>1000</v>
      </c>
      <c r="F33" s="63"/>
      <c r="G33" s="40">
        <v>0.85</v>
      </c>
      <c r="H33" s="40"/>
      <c r="I33" s="41">
        <f t="shared" si="0"/>
        <v>1176.4705882352941</v>
      </c>
      <c r="J33" s="41">
        <f t="shared" si="1"/>
        <v>619.74433840310223</v>
      </c>
      <c r="K33" s="38">
        <v>25</v>
      </c>
      <c r="L33" s="41">
        <f>IF(K33=K32,0,SUMIF(K33:$K$60,K33,I33:$I$60))</f>
        <v>1176.4705882352941</v>
      </c>
      <c r="M33" s="41">
        <f>IF(K33=K32,0,SUMIF(K33:$K$60,K33,J33:$J$60))</f>
        <v>619.74433840310223</v>
      </c>
      <c r="N33" s="40">
        <v>1</v>
      </c>
      <c r="O33" s="41">
        <f t="shared" si="3"/>
        <v>1176.4705882352941</v>
      </c>
      <c r="P33" s="41">
        <f t="shared" si="4"/>
        <v>619.74433840310223</v>
      </c>
      <c r="Q33" s="78">
        <v>1</v>
      </c>
      <c r="R33" s="80">
        <v>127</v>
      </c>
      <c r="S33" s="79" t="str">
        <f t="shared" si="5"/>
        <v>-</v>
      </c>
      <c r="T33" s="43">
        <v>1.06</v>
      </c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>
        <f t="shared" si="11"/>
        <v>1</v>
      </c>
      <c r="AS33" s="47"/>
      <c r="AT33" s="49" t="str">
        <f t="shared" si="12"/>
        <v>-</v>
      </c>
      <c r="AU33" s="50"/>
      <c r="AV33" s="50">
        <f>O33</f>
        <v>1176.4705882352941</v>
      </c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1000</v>
      </c>
      <c r="F34" s="63"/>
      <c r="G34" s="40">
        <v>0.85</v>
      </c>
      <c r="H34" s="40"/>
      <c r="I34" s="41">
        <f t="shared" si="0"/>
        <v>1176.4705882352941</v>
      </c>
      <c r="J34" s="41">
        <f t="shared" si="1"/>
        <v>619.74433840310223</v>
      </c>
      <c r="K34" s="38">
        <v>26</v>
      </c>
      <c r="L34" s="41">
        <f>IF(K34=K33,0,SUMIF(K34:$K$60,K34,I34:$I$60))</f>
        <v>1176.4705882352941</v>
      </c>
      <c r="M34" s="41">
        <f>IF(K34=K33,0,SUMIF(K34:$K$60,K34,J34:$J$60))</f>
        <v>619.74433840310223</v>
      </c>
      <c r="N34" s="40">
        <v>1</v>
      </c>
      <c r="O34" s="41">
        <f t="shared" si="3"/>
        <v>1176.4705882352941</v>
      </c>
      <c r="P34" s="41">
        <f t="shared" si="4"/>
        <v>619.74433840310223</v>
      </c>
      <c r="Q34" s="78">
        <v>1</v>
      </c>
      <c r="R34" s="80">
        <v>127</v>
      </c>
      <c r="S34" s="79" t="str">
        <f t="shared" si="5"/>
        <v>-</v>
      </c>
      <c r="T34" s="43">
        <v>1.06</v>
      </c>
      <c r="U34" s="43"/>
      <c r="V34" s="42"/>
      <c r="W34" s="110" t="str">
        <f t="shared" si="6"/>
        <v>-</v>
      </c>
      <c r="X34" s="45"/>
      <c r="Y34" s="45"/>
      <c r="Z34" s="46" t="str">
        <f t="shared" si="7"/>
        <v>-</v>
      </c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 t="str">
        <f t="shared" si="12"/>
        <v>-</v>
      </c>
      <c r="AU34" s="50"/>
      <c r="AV34" s="50"/>
      <c r="AW34" s="50">
        <f>O34</f>
        <v>1176.4705882352941</v>
      </c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1000</v>
      </c>
      <c r="F35" s="63"/>
      <c r="G35" s="40">
        <v>0.85</v>
      </c>
      <c r="H35" s="40"/>
      <c r="I35" s="41">
        <f t="shared" si="0"/>
        <v>1176.4705882352941</v>
      </c>
      <c r="J35" s="41">
        <f t="shared" si="1"/>
        <v>619.74433840310223</v>
      </c>
      <c r="K35" s="38">
        <v>27</v>
      </c>
      <c r="L35" s="41">
        <f>IF(K35=K34,0,SUMIF(K35:$K$60,K35,I35:$I$60))</f>
        <v>1176.4705882352941</v>
      </c>
      <c r="M35" s="41">
        <f>IF(K35=K34,0,SUMIF(K35:$K$60,K35,J35:$J$60))</f>
        <v>619.74433840310223</v>
      </c>
      <c r="N35" s="40">
        <v>1</v>
      </c>
      <c r="O35" s="41">
        <f t="shared" si="3"/>
        <v>1176.4705882352941</v>
      </c>
      <c r="P35" s="41">
        <f t="shared" si="4"/>
        <v>619.74433840310223</v>
      </c>
      <c r="Q35" s="78">
        <v>1</v>
      </c>
      <c r="R35" s="80">
        <v>127</v>
      </c>
      <c r="S35" s="79" t="str">
        <f t="shared" si="5"/>
        <v>-</v>
      </c>
      <c r="T35" s="43">
        <v>1.06</v>
      </c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>
        <f t="shared" si="11"/>
        <v>1</v>
      </c>
      <c r="AS35" s="47"/>
      <c r="AT35" s="49" t="str">
        <f t="shared" si="12"/>
        <v>-</v>
      </c>
      <c r="AU35" s="50">
        <f>O35</f>
        <v>1176.4705882352941</v>
      </c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1000</v>
      </c>
      <c r="F36" s="63"/>
      <c r="G36" s="40">
        <v>0.85</v>
      </c>
      <c r="H36" s="40"/>
      <c r="I36" s="41">
        <f t="shared" si="0"/>
        <v>1176.4705882352941</v>
      </c>
      <c r="J36" s="41">
        <f t="shared" si="1"/>
        <v>619.74433840310223</v>
      </c>
      <c r="K36" s="38">
        <v>28</v>
      </c>
      <c r="L36" s="41">
        <f>IF(K36=K35,0,SUMIF(K36:$K$60,K36,I36:$I$60))</f>
        <v>1176.4705882352941</v>
      </c>
      <c r="M36" s="41">
        <f>IF(K36=K35,0,SUMIF(K36:$K$60,K36,J36:$J$60))</f>
        <v>619.74433840310223</v>
      </c>
      <c r="N36" s="40">
        <v>1</v>
      </c>
      <c r="O36" s="41">
        <f t="shared" si="3"/>
        <v>1176.4705882352941</v>
      </c>
      <c r="P36" s="41">
        <f t="shared" si="4"/>
        <v>619.74433840310223</v>
      </c>
      <c r="Q36" s="78">
        <v>1</v>
      </c>
      <c r="R36" s="80">
        <v>127</v>
      </c>
      <c r="S36" s="79" t="str">
        <f t="shared" si="5"/>
        <v>-</v>
      </c>
      <c r="T36" s="43">
        <v>1.06</v>
      </c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>
        <f t="shared" si="11"/>
        <v>1</v>
      </c>
      <c r="AS36" s="47"/>
      <c r="AT36" s="49" t="str">
        <f t="shared" si="12"/>
        <v>-</v>
      </c>
      <c r="AU36" s="50"/>
      <c r="AV36" s="50">
        <f>O36</f>
        <v>1176.4705882352941</v>
      </c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53" t="s">
        <v>74</v>
      </c>
      <c r="B61" s="354"/>
      <c r="C61" s="354"/>
      <c r="D61" s="355"/>
      <c r="E61" s="51"/>
      <c r="F61" s="51">
        <f>SUM(F9:F58)</f>
        <v>0</v>
      </c>
      <c r="G61" s="52">
        <f>COS(ASIN(J61/I61))</f>
        <v>0.83289558725673463</v>
      </c>
      <c r="H61" s="212"/>
      <c r="I61" s="77">
        <f>SUM(I9:I60)</f>
        <v>54697.443470141676</v>
      </c>
      <c r="J61" s="77">
        <f>SUM(J9:J60)</f>
        <v>30271.214828543496</v>
      </c>
      <c r="K61" s="77">
        <v>1</v>
      </c>
      <c r="L61" s="77">
        <f>SUM(L9:L60)</f>
        <v>54697.443470141676</v>
      </c>
      <c r="M61" s="77">
        <f>SUM(M9:M60)</f>
        <v>30271.214828543496</v>
      </c>
      <c r="N61" s="56">
        <v>1</v>
      </c>
      <c r="O61" s="77">
        <f>L61*N61</f>
        <v>54697.443470141676</v>
      </c>
      <c r="P61" s="77">
        <f>M61*N61</f>
        <v>30271.214828543496</v>
      </c>
      <c r="Q61" s="74">
        <v>3</v>
      </c>
      <c r="R61" s="75">
        <v>220</v>
      </c>
      <c r="S61" s="76">
        <f>IF(Q61=0,0,IF(Q61&lt;3,O61/R61,O61/(R61*SQRT(3))))</f>
        <v>143.54356232486654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199.36605878453688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28.028583045420561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21.021437284065421</v>
      </c>
      <c r="AF61" s="48">
        <f>IF(AB61=0,"-",IF(AC61=0,0,AE61))</f>
        <v>21.021437284065421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18368.989262371615</v>
      </c>
      <c r="AV61" s="55">
        <f t="shared" ref="AV61:AW61" si="17">SUM(AV9:AV60)</f>
        <v>18332.440222465797</v>
      </c>
      <c r="AW61" s="55">
        <f t="shared" si="17"/>
        <v>17996.013985304264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0.33582902777529094</v>
      </c>
      <c r="AV62" s="61">
        <f>AV61/L61</f>
        <v>0.33516082396927999</v>
      </c>
      <c r="AW62" s="61">
        <f>AW61/L61</f>
        <v>0.32901014825542907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56" t="s">
        <v>18</v>
      </c>
      <c r="AP63" s="356"/>
      <c r="AQ63" s="356"/>
      <c r="AR63" s="356"/>
      <c r="AS63" s="356"/>
      <c r="AT63" s="213"/>
      <c r="AU63" s="372">
        <f>(MAX(AU61:AW61)-(AU61+AV61+AW61)/3)/((AU61+AV61+AW61)/3)</f>
        <v>7.4870833258727613E-3</v>
      </c>
      <c r="AV63" s="372"/>
      <c r="AW63" s="372"/>
    </row>
    <row r="64" spans="1:73" s="10" customFormat="1">
      <c r="A64" s="95"/>
      <c r="B64" s="358" t="s">
        <v>124</v>
      </c>
      <c r="C64" s="359"/>
      <c r="D64" s="359"/>
      <c r="E64" s="36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1"/>
      <c r="AP64" s="361"/>
      <c r="AQ64" s="361"/>
      <c r="AR64" s="361"/>
      <c r="AS64" s="361"/>
      <c r="AT64" s="361"/>
      <c r="AU64" s="361"/>
      <c r="AV64" s="361"/>
      <c r="AW64" s="361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68" t="s">
        <v>123</v>
      </c>
      <c r="D65" s="369"/>
      <c r="E65" s="370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1"/>
      <c r="AP65" s="361"/>
      <c r="AQ65" s="361"/>
      <c r="AR65" s="361"/>
      <c r="AS65" s="361"/>
      <c r="AT65" s="361"/>
      <c r="AU65" s="361"/>
      <c r="AV65" s="361"/>
      <c r="AW65" s="361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65" t="s">
        <v>107</v>
      </c>
      <c r="D66" s="366"/>
      <c r="E66" s="36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1"/>
      <c r="AP66" s="361"/>
      <c r="AQ66" s="361"/>
      <c r="AR66" s="361"/>
      <c r="AS66" s="361"/>
      <c r="AT66" s="361"/>
      <c r="AU66" s="361"/>
      <c r="AV66" s="361"/>
      <c r="AW66" s="361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65" t="s">
        <v>108</v>
      </c>
      <c r="D67" s="366"/>
      <c r="E67" s="36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1"/>
      <c r="AP67" s="361"/>
      <c r="AQ67" s="361"/>
      <c r="AR67" s="361"/>
      <c r="AS67" s="361"/>
      <c r="AT67" s="361"/>
      <c r="AU67" s="361"/>
      <c r="AV67" s="361"/>
      <c r="AW67" s="361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65" t="s">
        <v>109</v>
      </c>
      <c r="D68" s="366"/>
      <c r="E68" s="36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1"/>
      <c r="AP68" s="361"/>
      <c r="AQ68" s="361"/>
      <c r="AR68" s="361"/>
      <c r="AS68" s="361"/>
      <c r="AT68" s="361"/>
      <c r="AU68" s="361"/>
      <c r="AV68" s="361"/>
      <c r="AW68" s="361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65" t="s">
        <v>110</v>
      </c>
      <c r="D69" s="366"/>
      <c r="E69" s="367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65" t="s">
        <v>112</v>
      </c>
      <c r="D70" s="366"/>
      <c r="E70" s="367"/>
      <c r="L70" s="214"/>
      <c r="AA70" s="90"/>
    </row>
    <row r="71" spans="1:73" s="1" customFormat="1">
      <c r="B71" s="210" t="s">
        <v>113</v>
      </c>
      <c r="C71" s="365" t="s">
        <v>114</v>
      </c>
      <c r="D71" s="366"/>
      <c r="E71" s="367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65" t="s">
        <v>116</v>
      </c>
      <c r="D72" s="366"/>
      <c r="E72" s="367"/>
      <c r="I72" s="11"/>
      <c r="J72" s="11"/>
      <c r="K72" s="11"/>
      <c r="AA72" s="90"/>
    </row>
    <row r="73" spans="1:73" s="1" customFormat="1">
      <c r="B73" s="210" t="s">
        <v>117</v>
      </c>
      <c r="C73" s="365" t="s">
        <v>118</v>
      </c>
      <c r="D73" s="366"/>
      <c r="E73" s="367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65" t="s">
        <v>120</v>
      </c>
      <c r="D74" s="366"/>
      <c r="E74" s="367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65" t="s">
        <v>122</v>
      </c>
      <c r="D75" s="366"/>
      <c r="E75" s="367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65" t="s">
        <v>127</v>
      </c>
      <c r="D76" s="366"/>
      <c r="E76" s="367"/>
      <c r="I76" s="11"/>
      <c r="J76" s="11"/>
      <c r="K76" s="11"/>
      <c r="AA76" s="90"/>
    </row>
    <row r="77" spans="1:73" s="1" customFormat="1">
      <c r="B77" s="210" t="s">
        <v>128</v>
      </c>
      <c r="C77" s="365" t="s">
        <v>129</v>
      </c>
      <c r="D77" s="366"/>
      <c r="E77" s="367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65" t="s">
        <v>131</v>
      </c>
      <c r="D78" s="366"/>
      <c r="E78" s="367"/>
      <c r="I78" s="11"/>
      <c r="J78" s="11"/>
      <c r="K78" s="11"/>
      <c r="AA78" s="90"/>
    </row>
    <row r="79" spans="1:73" s="1" customFormat="1">
      <c r="B79" s="210" t="s">
        <v>14</v>
      </c>
      <c r="C79" s="365" t="s">
        <v>132</v>
      </c>
      <c r="D79" s="366"/>
      <c r="E79" s="367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65" t="s">
        <v>145</v>
      </c>
      <c r="D80" s="366"/>
      <c r="E80" s="367"/>
      <c r="I80" s="11"/>
      <c r="J80" s="11"/>
      <c r="K80" s="11"/>
      <c r="AA80" s="90"/>
    </row>
    <row r="81" spans="2:27" s="1" customFormat="1">
      <c r="B81" s="210" t="s">
        <v>89</v>
      </c>
      <c r="C81" s="365" t="s">
        <v>146</v>
      </c>
      <c r="D81" s="366"/>
      <c r="E81" s="367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65" t="s">
        <v>147</v>
      </c>
      <c r="D82" s="366"/>
      <c r="E82" s="367"/>
      <c r="I82" s="11"/>
      <c r="J82" s="11"/>
      <c r="K82" s="11"/>
      <c r="AA82" s="90"/>
    </row>
    <row r="83" spans="2:27" s="1" customFormat="1">
      <c r="B83" s="210" t="s">
        <v>148</v>
      </c>
      <c r="C83" s="365" t="s">
        <v>149</v>
      </c>
      <c r="D83" s="366"/>
      <c r="E83" s="367"/>
      <c r="I83" s="11"/>
      <c r="J83" s="11"/>
      <c r="K83" s="11"/>
      <c r="AA83" s="90"/>
    </row>
    <row r="84" spans="2:27" s="1" customFormat="1">
      <c r="B84" s="210" t="s">
        <v>150</v>
      </c>
      <c r="C84" s="365" t="s">
        <v>151</v>
      </c>
      <c r="D84" s="366"/>
      <c r="E84" s="367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U63" sqref="AU63:AW63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03" t="s">
        <v>0</v>
      </c>
      <c r="B1" s="304"/>
      <c r="C1" s="305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06" t="s">
        <v>191</v>
      </c>
      <c r="B2" s="307"/>
      <c r="C2" s="308"/>
      <c r="D2" s="309"/>
      <c r="E2" s="310"/>
      <c r="F2" s="310"/>
      <c r="G2" s="310"/>
      <c r="H2" s="310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1"/>
      <c r="AB2" s="311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03" t="s">
        <v>231</v>
      </c>
      <c r="B3" s="304"/>
      <c r="C3" s="305"/>
      <c r="D3" s="309"/>
      <c r="E3" s="310"/>
      <c r="F3" s="310"/>
      <c r="G3" s="310"/>
      <c r="H3" s="310"/>
      <c r="I3" s="310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2" t="s">
        <v>103</v>
      </c>
      <c r="AC3" s="313"/>
      <c r="AD3" s="313"/>
      <c r="AE3" s="313"/>
      <c r="AF3" s="313"/>
      <c r="AG3" s="313"/>
      <c r="AH3" s="313"/>
      <c r="AI3" s="313"/>
      <c r="AJ3" s="314"/>
      <c r="AK3" s="4"/>
      <c r="AL3" s="4"/>
      <c r="AM3" s="4"/>
      <c r="BP3"/>
      <c r="BQ3"/>
      <c r="BR3"/>
      <c r="BS3"/>
      <c r="BT3"/>
      <c r="BU3"/>
    </row>
    <row r="4" spans="1:73" ht="18" customHeight="1">
      <c r="A4" s="329" t="s">
        <v>137</v>
      </c>
      <c r="B4" s="329"/>
      <c r="C4" s="329"/>
      <c r="D4" s="329" t="s">
        <v>134</v>
      </c>
      <c r="E4" s="329"/>
      <c r="F4" s="329"/>
      <c r="G4" s="329"/>
      <c r="H4" s="329"/>
      <c r="I4" s="329"/>
      <c r="J4" s="329"/>
      <c r="K4" s="329"/>
      <c r="L4" s="329"/>
      <c r="M4" s="329"/>
      <c r="N4" s="329" t="s">
        <v>135</v>
      </c>
      <c r="O4" s="329"/>
      <c r="P4" s="329"/>
      <c r="Q4" s="330" t="s">
        <v>136</v>
      </c>
      <c r="R4" s="332"/>
      <c r="S4" s="329" t="s">
        <v>125</v>
      </c>
      <c r="T4" s="329" t="s">
        <v>101</v>
      </c>
      <c r="U4" s="329"/>
      <c r="V4" s="329"/>
      <c r="W4" s="329" t="s">
        <v>102</v>
      </c>
      <c r="X4" s="330" t="s">
        <v>138</v>
      </c>
      <c r="Y4" s="331"/>
      <c r="Z4" s="332"/>
      <c r="AA4" s="329" t="s">
        <v>99</v>
      </c>
      <c r="AB4" s="315" t="s">
        <v>93</v>
      </c>
      <c r="AC4" s="322"/>
      <c r="AD4" s="316"/>
      <c r="AE4" s="339" t="s">
        <v>100</v>
      </c>
      <c r="AF4" s="339"/>
      <c r="AG4" s="315" t="s">
        <v>94</v>
      </c>
      <c r="AH4" s="316"/>
      <c r="AI4" s="315" t="s">
        <v>95</v>
      </c>
      <c r="AJ4" s="316"/>
      <c r="AK4" s="315" t="s">
        <v>105</v>
      </c>
      <c r="AL4" s="321" t="s">
        <v>104</v>
      </c>
      <c r="AM4" s="321"/>
      <c r="AN4" s="321"/>
      <c r="AO4" s="315" t="s">
        <v>98</v>
      </c>
      <c r="AP4" s="322"/>
      <c r="AQ4" s="322"/>
      <c r="AR4" s="322"/>
      <c r="AS4" s="322"/>
      <c r="AT4" s="316"/>
      <c r="AU4" s="321" t="s">
        <v>152</v>
      </c>
      <c r="AV4" s="321"/>
      <c r="AW4" s="321"/>
      <c r="BP4"/>
      <c r="BQ4"/>
      <c r="BR4"/>
      <c r="BS4"/>
      <c r="BT4"/>
      <c r="BU4"/>
    </row>
    <row r="5" spans="1:73" ht="18" customHeight="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33"/>
      <c r="R5" s="335"/>
      <c r="S5" s="329"/>
      <c r="T5" s="329"/>
      <c r="U5" s="329"/>
      <c r="V5" s="329"/>
      <c r="W5" s="329"/>
      <c r="X5" s="333"/>
      <c r="Y5" s="334"/>
      <c r="Z5" s="335"/>
      <c r="AA5" s="329"/>
      <c r="AB5" s="317"/>
      <c r="AC5" s="323"/>
      <c r="AD5" s="318"/>
      <c r="AE5" s="339"/>
      <c r="AF5" s="339"/>
      <c r="AG5" s="317"/>
      <c r="AH5" s="318"/>
      <c r="AI5" s="317"/>
      <c r="AJ5" s="318"/>
      <c r="AK5" s="317"/>
      <c r="AL5" s="321"/>
      <c r="AM5" s="321"/>
      <c r="AN5" s="321"/>
      <c r="AO5" s="317"/>
      <c r="AP5" s="323"/>
      <c r="AQ5" s="323"/>
      <c r="AR5" s="323"/>
      <c r="AS5" s="323"/>
      <c r="AT5" s="318"/>
      <c r="AU5" s="321"/>
      <c r="AV5" s="321"/>
      <c r="AW5" s="321"/>
      <c r="BP5"/>
      <c r="BQ5"/>
      <c r="BR5"/>
      <c r="BS5"/>
      <c r="BT5"/>
      <c r="BU5"/>
    </row>
    <row r="6" spans="1:73" ht="18" customHeight="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36"/>
      <c r="R6" s="338"/>
      <c r="S6" s="329"/>
      <c r="T6" s="329"/>
      <c r="U6" s="329"/>
      <c r="V6" s="329"/>
      <c r="W6" s="329"/>
      <c r="X6" s="336"/>
      <c r="Y6" s="337"/>
      <c r="Z6" s="338"/>
      <c r="AA6" s="329"/>
      <c r="AB6" s="319"/>
      <c r="AC6" s="324"/>
      <c r="AD6" s="320"/>
      <c r="AE6" s="339"/>
      <c r="AF6" s="339"/>
      <c r="AG6" s="319"/>
      <c r="AH6" s="320"/>
      <c r="AI6" s="319"/>
      <c r="AJ6" s="320"/>
      <c r="AK6" s="319"/>
      <c r="AL6" s="321"/>
      <c r="AM6" s="321"/>
      <c r="AN6" s="321"/>
      <c r="AO6" s="319"/>
      <c r="AP6" s="324"/>
      <c r="AQ6" s="324"/>
      <c r="AR6" s="324"/>
      <c r="AS6" s="324"/>
      <c r="AT6" s="320"/>
      <c r="AU6" s="321"/>
      <c r="AV6" s="321"/>
      <c r="AW6" s="321"/>
      <c r="BP6"/>
      <c r="BQ6"/>
      <c r="BR6"/>
      <c r="BS6"/>
      <c r="BT6"/>
      <c r="BU6"/>
    </row>
    <row r="7" spans="1:73" ht="15.75" customHeight="1">
      <c r="A7" s="325" t="s">
        <v>23</v>
      </c>
      <c r="B7" s="325" t="s">
        <v>1</v>
      </c>
      <c r="C7" s="325" t="s">
        <v>133</v>
      </c>
      <c r="D7" s="326" t="s">
        <v>10</v>
      </c>
      <c r="E7" s="327" t="s">
        <v>33</v>
      </c>
      <c r="F7" s="326" t="s">
        <v>34</v>
      </c>
      <c r="G7" s="326" t="s">
        <v>24</v>
      </c>
      <c r="H7" s="344" t="s">
        <v>25</v>
      </c>
      <c r="I7" s="340" t="s">
        <v>39</v>
      </c>
      <c r="J7" s="340" t="s">
        <v>38</v>
      </c>
      <c r="K7" s="340" t="s">
        <v>41</v>
      </c>
      <c r="L7" s="340" t="s">
        <v>37</v>
      </c>
      <c r="M7" s="340" t="s">
        <v>40</v>
      </c>
      <c r="N7" s="341" t="s">
        <v>72</v>
      </c>
      <c r="O7" s="341" t="s">
        <v>75</v>
      </c>
      <c r="P7" s="341" t="s">
        <v>73</v>
      </c>
      <c r="Q7" s="342" t="s">
        <v>71</v>
      </c>
      <c r="R7" s="350" t="s">
        <v>2</v>
      </c>
      <c r="S7" s="350" t="s">
        <v>3</v>
      </c>
      <c r="T7" s="350" t="s">
        <v>92</v>
      </c>
      <c r="U7" s="350" t="s">
        <v>4</v>
      </c>
      <c r="V7" s="350" t="s">
        <v>35</v>
      </c>
      <c r="W7" s="346" t="s">
        <v>5</v>
      </c>
      <c r="X7" s="346" t="s">
        <v>6</v>
      </c>
      <c r="Y7" s="325" t="s">
        <v>7</v>
      </c>
      <c r="Z7" s="325" t="s">
        <v>42</v>
      </c>
      <c r="AA7" s="325" t="s">
        <v>139</v>
      </c>
      <c r="AB7" s="348" t="s">
        <v>153</v>
      </c>
      <c r="AC7" s="348" t="s">
        <v>68</v>
      </c>
      <c r="AD7" s="348" t="s">
        <v>69</v>
      </c>
      <c r="AE7" s="363" t="s">
        <v>8</v>
      </c>
      <c r="AF7" s="363" t="s">
        <v>9</v>
      </c>
      <c r="AG7" s="345" t="s">
        <v>96</v>
      </c>
      <c r="AH7" s="345" t="s">
        <v>68</v>
      </c>
      <c r="AI7" s="345" t="s">
        <v>96</v>
      </c>
      <c r="AJ7" s="345" t="s">
        <v>68</v>
      </c>
      <c r="AK7" s="348" t="s">
        <v>97</v>
      </c>
      <c r="AL7" s="348" t="s">
        <v>140</v>
      </c>
      <c r="AM7" s="348" t="s">
        <v>141</v>
      </c>
      <c r="AN7" s="348" t="s">
        <v>36</v>
      </c>
      <c r="AO7" s="326" t="s">
        <v>1</v>
      </c>
      <c r="AP7" s="362" t="s">
        <v>142</v>
      </c>
      <c r="AQ7" s="363" t="s">
        <v>143</v>
      </c>
      <c r="AR7" s="362" t="s">
        <v>12</v>
      </c>
      <c r="AS7" s="362" t="s">
        <v>13</v>
      </c>
      <c r="AT7" s="362" t="s">
        <v>76</v>
      </c>
      <c r="AU7" s="352" t="s">
        <v>14</v>
      </c>
      <c r="AV7" s="352" t="s">
        <v>15</v>
      </c>
      <c r="AW7" s="352" t="s">
        <v>16</v>
      </c>
    </row>
    <row r="8" spans="1:73" ht="53.25" customHeight="1">
      <c r="A8" s="325"/>
      <c r="B8" s="325"/>
      <c r="C8" s="325"/>
      <c r="D8" s="326"/>
      <c r="E8" s="328"/>
      <c r="F8" s="326"/>
      <c r="G8" s="326"/>
      <c r="H8" s="344"/>
      <c r="I8" s="340"/>
      <c r="J8" s="340"/>
      <c r="K8" s="340"/>
      <c r="L8" s="340"/>
      <c r="M8" s="340"/>
      <c r="N8" s="341"/>
      <c r="O8" s="341"/>
      <c r="P8" s="341"/>
      <c r="Q8" s="343"/>
      <c r="R8" s="351"/>
      <c r="S8" s="351"/>
      <c r="T8" s="351"/>
      <c r="U8" s="351"/>
      <c r="V8" s="351"/>
      <c r="W8" s="347"/>
      <c r="X8" s="347"/>
      <c r="Y8" s="325"/>
      <c r="Z8" s="325"/>
      <c r="AA8" s="325"/>
      <c r="AB8" s="349"/>
      <c r="AC8" s="349"/>
      <c r="AD8" s="349"/>
      <c r="AE8" s="364"/>
      <c r="AF8" s="364"/>
      <c r="AG8" s="326"/>
      <c r="AH8" s="326"/>
      <c r="AI8" s="326"/>
      <c r="AJ8" s="326"/>
      <c r="AK8" s="349"/>
      <c r="AL8" s="349"/>
      <c r="AM8" s="349"/>
      <c r="AN8" s="349"/>
      <c r="AO8" s="326"/>
      <c r="AP8" s="326"/>
      <c r="AQ8" s="364"/>
      <c r="AR8" s="362"/>
      <c r="AS8" s="362"/>
      <c r="AT8" s="362"/>
      <c r="AU8" s="352"/>
      <c r="AV8" s="352"/>
      <c r="AW8" s="352"/>
    </row>
    <row r="9" spans="1:73" s="33" customFormat="1" ht="23.25" customHeight="1">
      <c r="A9" s="36">
        <v>1</v>
      </c>
      <c r="B9" s="35" t="s">
        <v>232</v>
      </c>
      <c r="C9" s="37" t="s">
        <v>233</v>
      </c>
      <c r="D9" s="38">
        <v>1</v>
      </c>
      <c r="E9" s="39">
        <v>500</v>
      </c>
      <c r="F9" s="63"/>
      <c r="G9" s="40">
        <v>0.8</v>
      </c>
      <c r="H9" s="40"/>
      <c r="I9" s="41">
        <f t="shared" ref="I9:I60" si="0">IF(D9=0,0,IF(F9=0,D9*E9/G9,D9*F9*750/(G9*H9)))</f>
        <v>625</v>
      </c>
      <c r="J9" s="41">
        <f t="shared" ref="J9:J60" si="1">I9*SIN(ACOS(G9))</f>
        <v>374.99999999999994</v>
      </c>
      <c r="K9" s="38">
        <v>1</v>
      </c>
      <c r="L9" s="41">
        <f>IF(K9=K7,0,SUMIF(K9:K58,K9,I9:I58))</f>
        <v>625</v>
      </c>
      <c r="M9" s="41">
        <f>IF(K9=K7,0,SUMIF(K9:K58,K9,J9:J58))</f>
        <v>374.99999999999994</v>
      </c>
      <c r="N9" s="40">
        <v>1</v>
      </c>
      <c r="O9" s="41">
        <f>L9*N9</f>
        <v>625</v>
      </c>
      <c r="P9" s="41">
        <f>M9*N9</f>
        <v>374.99999999999994</v>
      </c>
      <c r="Q9" s="78">
        <v>2</v>
      </c>
      <c r="R9" s="80">
        <v>220</v>
      </c>
      <c r="S9" s="79">
        <f>IF(V9=0,"-",IF(Q9=0,0,IF(Q9&lt;3,O9/R9,O9/(R9*SQRT(3)))))</f>
        <v>2.8409090909090908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3.7223651610444062</v>
      </c>
      <c r="X9" s="45">
        <v>20</v>
      </c>
      <c r="Y9" s="45">
        <v>3</v>
      </c>
      <c r="Z9" s="46">
        <f>IF(Y9=0,"-",IF(Q9&lt;3,(200*(1/56)*X9*W9)/(Y9*R9),(100*SQRT(3)*(1/56)*X9*W9)/(Y9*R9)))</f>
        <v>0.40285337240740321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0.48342404688888391</v>
      </c>
      <c r="AF9" s="48">
        <f t="shared" ref="AF9:AF33" si="2">IF(AB9=0,"-",IF(AC9=0,0,AE9+$AE$61))</f>
        <v>15.483290212363336</v>
      </c>
      <c r="AG9" s="47"/>
      <c r="AH9" s="102"/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42.8</v>
      </c>
      <c r="AO9" s="35" t="s">
        <v>148</v>
      </c>
      <c r="AP9" s="35"/>
      <c r="AQ9" s="35"/>
      <c r="AR9" s="49">
        <f>IF(Q9=0,"-",Q9)</f>
        <v>2</v>
      </c>
      <c r="AS9" s="47">
        <v>20</v>
      </c>
      <c r="AT9" s="49" t="str">
        <f>IF(AS9=0,"-",IF(AS9&gt;W9,"SIM","NÃO"))</f>
        <v>SIM</v>
      </c>
      <c r="AU9" s="50">
        <f>O9/2</f>
        <v>312.5</v>
      </c>
      <c r="AV9" s="50">
        <f>O9/2</f>
        <v>312.5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232</v>
      </c>
      <c r="C10" s="37" t="s">
        <v>234</v>
      </c>
      <c r="D10" s="38">
        <v>1</v>
      </c>
      <c r="E10" s="39">
        <v>1200</v>
      </c>
      <c r="F10" s="63"/>
      <c r="G10" s="40">
        <v>0.8</v>
      </c>
      <c r="H10" s="40"/>
      <c r="I10" s="41">
        <f t="shared" si="0"/>
        <v>1500</v>
      </c>
      <c r="J10" s="41">
        <f t="shared" si="1"/>
        <v>899.99999999999977</v>
      </c>
      <c r="K10" s="38">
        <v>2</v>
      </c>
      <c r="L10" s="41">
        <f>IF(K10=K9,0,SUMIF(K10:$K$60,K10,I10:$I$60))</f>
        <v>1500</v>
      </c>
      <c r="M10" s="41">
        <f>IF(K10=K9,0,SUMIF(K10:$K$60,K10,J10:$J$60))</f>
        <v>899.99999999999977</v>
      </c>
      <c r="N10" s="40">
        <v>1</v>
      </c>
      <c r="O10" s="41">
        <f t="shared" ref="O10:O60" si="3">L10*N10</f>
        <v>1500</v>
      </c>
      <c r="P10" s="41">
        <f t="shared" ref="P10:P60" si="4">M10*N10</f>
        <v>899.99999999999977</v>
      </c>
      <c r="Q10" s="78">
        <v>2</v>
      </c>
      <c r="R10" s="80">
        <v>220</v>
      </c>
      <c r="S10" s="79">
        <f t="shared" ref="S10:S60" si="5">IF(V10=0,"-",IF(Q10=0,0,IF(Q10&lt;3,O10/R10,O10/(R10*SQRT(3)))))</f>
        <v>6.8181818181818183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9.1889242832639066</v>
      </c>
      <c r="X10" s="45">
        <v>25</v>
      </c>
      <c r="Y10" s="45">
        <v>3</v>
      </c>
      <c r="Z10" s="46">
        <f t="shared" ref="Z10:Z60" si="7">IF(Y10=0,"-",IF(Q10&lt;3,(200*(1/56)*X10*W10)/(Y10*R10),(100*SQRT(3)*(1/56)*X10*W10)/(Y10*R10)))</f>
        <v>1.2430904062857016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1.4917084875428417</v>
      </c>
      <c r="AF10" s="48">
        <f t="shared" si="2"/>
        <v>16.491574653017295</v>
      </c>
      <c r="AG10" s="47"/>
      <c r="AH10" s="102"/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42.8</v>
      </c>
      <c r="AO10" s="35"/>
      <c r="AP10" s="35"/>
      <c r="AQ10" s="35"/>
      <c r="AR10" s="49">
        <f t="shared" ref="AR10:AR60" si="11">IF(Q10=0,"-",Q10)</f>
        <v>2</v>
      </c>
      <c r="AS10" s="47">
        <v>20</v>
      </c>
      <c r="AT10" s="49" t="str">
        <f t="shared" ref="AT10:AT61" si="12">IF(AS10=0,"-",IF(AS10&gt;W10,"SIM","NÃO"))</f>
        <v>SIM</v>
      </c>
      <c r="AU10" s="50">
        <f>O10/2</f>
        <v>750</v>
      </c>
      <c r="AV10" s="50"/>
      <c r="AW10" s="50">
        <f>O10/2</f>
        <v>750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>
      <c r="A11" s="36">
        <v>3</v>
      </c>
      <c r="B11" s="35" t="s">
        <v>232</v>
      </c>
      <c r="C11" s="37" t="s">
        <v>235</v>
      </c>
      <c r="D11" s="38">
        <v>1</v>
      </c>
      <c r="E11" s="39">
        <v>2800</v>
      </c>
      <c r="F11" s="63"/>
      <c r="G11" s="40">
        <v>0.8</v>
      </c>
      <c r="H11" s="40"/>
      <c r="I11" s="41">
        <f t="shared" si="0"/>
        <v>3500</v>
      </c>
      <c r="J11" s="41">
        <f t="shared" si="1"/>
        <v>2099.9999999999995</v>
      </c>
      <c r="K11" s="38">
        <v>3</v>
      </c>
      <c r="L11" s="41">
        <f>IF(K11=K10,0,SUMIF(K11:$K$60,K11,I11:$I$60))</f>
        <v>3500</v>
      </c>
      <c r="M11" s="41">
        <f>IF(K11=K10,0,SUMIF(K11:$K$60,K11,J11:$J$60))</f>
        <v>2099.9999999999995</v>
      </c>
      <c r="N11" s="40">
        <v>1</v>
      </c>
      <c r="O11" s="41">
        <f t="shared" si="3"/>
        <v>3500</v>
      </c>
      <c r="P11" s="41">
        <f t="shared" si="4"/>
        <v>2099.9999999999995</v>
      </c>
      <c r="Q11" s="78">
        <v>2</v>
      </c>
      <c r="R11" s="80">
        <v>220</v>
      </c>
      <c r="S11" s="79">
        <f t="shared" si="5"/>
        <v>15.909090909090908</v>
      </c>
      <c r="T11" s="43">
        <v>1.06</v>
      </c>
      <c r="U11" s="43">
        <v>0.7</v>
      </c>
      <c r="V11" s="42">
        <v>10</v>
      </c>
      <c r="W11" s="110">
        <f t="shared" si="6"/>
        <v>21.440823327615778</v>
      </c>
      <c r="X11" s="45">
        <v>20</v>
      </c>
      <c r="Y11" s="45">
        <v>3</v>
      </c>
      <c r="Z11" s="46">
        <f t="shared" si="7"/>
        <v>2.3204354250666421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1.7403265687999816</v>
      </c>
      <c r="AF11" s="48">
        <f t="shared" si="2"/>
        <v>16.740192734274434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/>
      <c r="AV11" s="50">
        <f>O11/2</f>
        <v>1750</v>
      </c>
      <c r="AW11" s="50">
        <f>O11/2</f>
        <v>1750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232</v>
      </c>
      <c r="C12" s="37" t="s">
        <v>236</v>
      </c>
      <c r="D12" s="38">
        <v>1</v>
      </c>
      <c r="E12" s="39">
        <v>2800</v>
      </c>
      <c r="F12" s="63"/>
      <c r="G12" s="40">
        <v>0.8</v>
      </c>
      <c r="H12" s="40"/>
      <c r="I12" s="41">
        <f t="shared" si="0"/>
        <v>3500</v>
      </c>
      <c r="J12" s="41">
        <f t="shared" si="1"/>
        <v>2099.9999999999995</v>
      </c>
      <c r="K12" s="38">
        <v>4</v>
      </c>
      <c r="L12" s="41">
        <f>IF(K12=K11,0,SUMIF(K12:$K$60,K12,I12:$I$60))</f>
        <v>3500</v>
      </c>
      <c r="M12" s="41">
        <f>IF(K12=K11,0,SUMIF(K12:$K$60,K12,J12:$J$60))</f>
        <v>2099.9999999999995</v>
      </c>
      <c r="N12" s="40">
        <v>1</v>
      </c>
      <c r="O12" s="41">
        <f t="shared" si="3"/>
        <v>3500</v>
      </c>
      <c r="P12" s="41">
        <f t="shared" si="4"/>
        <v>2099.9999999999995</v>
      </c>
      <c r="Q12" s="78">
        <v>2</v>
      </c>
      <c r="R12" s="80">
        <v>220</v>
      </c>
      <c r="S12" s="79">
        <f t="shared" si="5"/>
        <v>15.909090909090908</v>
      </c>
      <c r="T12" s="43">
        <v>1.06</v>
      </c>
      <c r="U12" s="43">
        <v>0.7</v>
      </c>
      <c r="V12" s="42">
        <v>10</v>
      </c>
      <c r="W12" s="110">
        <f t="shared" si="6"/>
        <v>21.440823327615778</v>
      </c>
      <c r="X12" s="45">
        <v>15</v>
      </c>
      <c r="Y12" s="45">
        <v>3</v>
      </c>
      <c r="Z12" s="46">
        <f t="shared" si="7"/>
        <v>1.740326568799982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1.3052449265999861</v>
      </c>
      <c r="AF12" s="48">
        <f t="shared" si="2"/>
        <v>16.305111092074441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58</v>
      </c>
      <c r="AO12" s="35"/>
      <c r="AP12" s="35"/>
      <c r="AQ12" s="35"/>
      <c r="AR12" s="49">
        <f t="shared" si="11"/>
        <v>2</v>
      </c>
      <c r="AS12" s="47">
        <v>32</v>
      </c>
      <c r="AT12" s="49" t="str">
        <f t="shared" si="12"/>
        <v>SIM</v>
      </c>
      <c r="AU12" s="217">
        <f>O12/2</f>
        <v>1750</v>
      </c>
      <c r="AV12" s="50">
        <f>O12/2</f>
        <v>1750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232</v>
      </c>
      <c r="C13" s="37" t="s">
        <v>237</v>
      </c>
      <c r="D13" s="38">
        <v>1</v>
      </c>
      <c r="E13" s="39">
        <v>2800</v>
      </c>
      <c r="F13" s="63"/>
      <c r="G13" s="40">
        <v>0.8</v>
      </c>
      <c r="H13" s="40"/>
      <c r="I13" s="41">
        <f t="shared" si="0"/>
        <v>3500</v>
      </c>
      <c r="J13" s="41">
        <f t="shared" si="1"/>
        <v>2099.9999999999995</v>
      </c>
      <c r="K13" s="38">
        <v>5</v>
      </c>
      <c r="L13" s="41">
        <f>IF(K13=K12,0,SUMIF(K13:$K$60,K13,I13:$I$60))</f>
        <v>3500</v>
      </c>
      <c r="M13" s="41">
        <f>IF(K13=K12,0,SUMIF(K13:$K$60,K13,J13:$J$60))</f>
        <v>2099.9999999999995</v>
      </c>
      <c r="N13" s="40">
        <v>1</v>
      </c>
      <c r="O13" s="41">
        <f t="shared" si="3"/>
        <v>3500</v>
      </c>
      <c r="P13" s="41">
        <f t="shared" si="4"/>
        <v>2099.9999999999995</v>
      </c>
      <c r="Q13" s="78">
        <v>2</v>
      </c>
      <c r="R13" s="80">
        <v>220</v>
      </c>
      <c r="S13" s="79">
        <f t="shared" si="5"/>
        <v>15.909090909090908</v>
      </c>
      <c r="T13" s="43">
        <v>1.06</v>
      </c>
      <c r="U13" s="43">
        <v>0.72</v>
      </c>
      <c r="V13" s="42">
        <v>10</v>
      </c>
      <c r="W13" s="110">
        <f t="shared" si="6"/>
        <v>20.845244901848673</v>
      </c>
      <c r="X13" s="45">
        <v>10</v>
      </c>
      <c r="Y13" s="45">
        <v>3</v>
      </c>
      <c r="Z13" s="46">
        <f t="shared" si="7"/>
        <v>1.1279894427407289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0.84599208205554677</v>
      </c>
      <c r="AF13" s="48">
        <f t="shared" si="2"/>
        <v>15.84585824753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216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1750</v>
      </c>
      <c r="AV13" s="50"/>
      <c r="AW13" s="50">
        <f>O13/2</f>
        <v>1750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232</v>
      </c>
      <c r="C14" s="37" t="s">
        <v>238</v>
      </c>
      <c r="D14" s="38">
        <v>1</v>
      </c>
      <c r="E14" s="39">
        <v>2800</v>
      </c>
      <c r="F14" s="63"/>
      <c r="G14" s="40">
        <v>0.8</v>
      </c>
      <c r="H14" s="40"/>
      <c r="I14" s="41">
        <f t="shared" si="0"/>
        <v>3500</v>
      </c>
      <c r="J14" s="41">
        <f t="shared" si="1"/>
        <v>2099.9999999999995</v>
      </c>
      <c r="K14" s="38">
        <v>6</v>
      </c>
      <c r="L14" s="41">
        <f>IF(K14=K13,0,SUMIF(K14:$K$60,K14,I14:$I$60))</f>
        <v>3500</v>
      </c>
      <c r="M14" s="41">
        <f>IF(K14=K13,0,SUMIF(K14:$K$60,K14,J14:$J$60))</f>
        <v>2099.9999999999995</v>
      </c>
      <c r="N14" s="40">
        <v>1</v>
      </c>
      <c r="O14" s="41">
        <f t="shared" si="3"/>
        <v>3500</v>
      </c>
      <c r="P14" s="41">
        <f t="shared" si="4"/>
        <v>2099.9999999999995</v>
      </c>
      <c r="Q14" s="78">
        <v>2</v>
      </c>
      <c r="R14" s="80">
        <v>220</v>
      </c>
      <c r="S14" s="79">
        <f t="shared" si="5"/>
        <v>15.909090909090908</v>
      </c>
      <c r="T14" s="43">
        <v>1.06</v>
      </c>
      <c r="U14" s="43">
        <v>0.72</v>
      </c>
      <c r="V14" s="42">
        <v>10</v>
      </c>
      <c r="W14" s="110">
        <f t="shared" si="6"/>
        <v>20.845244901848673</v>
      </c>
      <c r="X14" s="45">
        <v>26</v>
      </c>
      <c r="Y14" s="45">
        <v>3</v>
      </c>
      <c r="Z14" s="46">
        <f t="shared" si="7"/>
        <v>2.9327725511258951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2.1995794133444218</v>
      </c>
      <c r="AF14" s="48">
        <f t="shared" si="2"/>
        <v>17.199445578818874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/>
      <c r="AV14" s="50">
        <f>O14/2</f>
        <v>1750</v>
      </c>
      <c r="AW14" s="50">
        <f>O14/2</f>
        <v>1750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232</v>
      </c>
      <c r="C15" s="37" t="s">
        <v>239</v>
      </c>
      <c r="D15" s="38">
        <v>1</v>
      </c>
      <c r="E15" s="39">
        <v>2800</v>
      </c>
      <c r="F15" s="63"/>
      <c r="G15" s="40">
        <v>0.8</v>
      </c>
      <c r="H15" s="40"/>
      <c r="I15" s="41">
        <f t="shared" si="0"/>
        <v>3500</v>
      </c>
      <c r="J15" s="41">
        <f t="shared" si="1"/>
        <v>2099.9999999999995</v>
      </c>
      <c r="K15" s="38">
        <v>7</v>
      </c>
      <c r="L15" s="41">
        <f>IF(K15=K14,0,SUMIF(K15:$K$60,K15,I15:$I$60))</f>
        <v>3500</v>
      </c>
      <c r="M15" s="41">
        <f>IF(K15=K14,0,SUMIF(K15:$K$60,K15,J15:$J$60))</f>
        <v>2099.9999999999995</v>
      </c>
      <c r="N15" s="40">
        <v>1</v>
      </c>
      <c r="O15" s="41">
        <f t="shared" si="3"/>
        <v>3500</v>
      </c>
      <c r="P15" s="41">
        <f t="shared" si="4"/>
        <v>2099.9999999999995</v>
      </c>
      <c r="Q15" s="78">
        <v>2</v>
      </c>
      <c r="R15" s="80">
        <v>220</v>
      </c>
      <c r="S15" s="79">
        <f t="shared" si="5"/>
        <v>15.909090909090908</v>
      </c>
      <c r="T15" s="43">
        <v>1.06</v>
      </c>
      <c r="U15" s="43">
        <v>0.72</v>
      </c>
      <c r="V15" s="42">
        <v>10</v>
      </c>
      <c r="W15" s="110">
        <f t="shared" si="6"/>
        <v>20.845244901848673</v>
      </c>
      <c r="X15" s="45">
        <v>15</v>
      </c>
      <c r="Y15" s="45">
        <v>3</v>
      </c>
      <c r="Z15" s="46">
        <f t="shared" si="7"/>
        <v>1.6919841641110933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1.26898812308332</v>
      </c>
      <c r="AF15" s="48">
        <f t="shared" si="2"/>
        <v>16.268854288557772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>
        <f>O15/2</f>
        <v>1750</v>
      </c>
      <c r="AV15" s="50">
        <f>O15/2</f>
        <v>1750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216" t="s">
        <v>232</v>
      </c>
      <c r="C16" s="37" t="s">
        <v>240</v>
      </c>
      <c r="D16" s="38">
        <v>1</v>
      </c>
      <c r="E16" s="39">
        <v>2800</v>
      </c>
      <c r="F16" s="63"/>
      <c r="G16" s="40">
        <v>0.8</v>
      </c>
      <c r="H16" s="40"/>
      <c r="I16" s="41">
        <f t="shared" si="0"/>
        <v>3500</v>
      </c>
      <c r="J16" s="41">
        <f t="shared" si="1"/>
        <v>2099.9999999999995</v>
      </c>
      <c r="K16" s="38">
        <v>8</v>
      </c>
      <c r="L16" s="41">
        <f>IF(K16=K15,0,SUMIF(K16:$K$60,K16,I16:$I$60))</f>
        <v>3500</v>
      </c>
      <c r="M16" s="41">
        <f>IF(K16=K15,0,SUMIF(K16:$K$60,K16,J16:$J$60))</f>
        <v>2099.9999999999995</v>
      </c>
      <c r="N16" s="40">
        <v>1</v>
      </c>
      <c r="O16" s="41">
        <f t="shared" si="3"/>
        <v>3500</v>
      </c>
      <c r="P16" s="41">
        <f t="shared" si="4"/>
        <v>2099.9999999999995</v>
      </c>
      <c r="Q16" s="78">
        <v>2</v>
      </c>
      <c r="R16" s="80">
        <v>220</v>
      </c>
      <c r="S16" s="79">
        <f t="shared" si="5"/>
        <v>15.909090909090908</v>
      </c>
      <c r="T16" s="43">
        <v>1.06</v>
      </c>
      <c r="U16" s="43">
        <v>0.72</v>
      </c>
      <c r="V16" s="42">
        <v>10</v>
      </c>
      <c r="W16" s="110">
        <f t="shared" si="6"/>
        <v>20.845244901848673</v>
      </c>
      <c r="X16" s="45">
        <v>10</v>
      </c>
      <c r="Y16" s="45">
        <v>3</v>
      </c>
      <c r="Z16" s="46">
        <f t="shared" si="7"/>
        <v>1.1279894427407289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0.84599208205554677</v>
      </c>
      <c r="AF16" s="48">
        <f t="shared" si="2"/>
        <v>15.84585824753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58</v>
      </c>
      <c r="AO16" s="35" t="s">
        <v>148</v>
      </c>
      <c r="AP16" s="35"/>
      <c r="AQ16" s="35"/>
      <c r="AR16" s="49">
        <f t="shared" si="11"/>
        <v>2</v>
      </c>
      <c r="AS16" s="47">
        <v>32</v>
      </c>
      <c r="AT16" s="49" t="str">
        <f t="shared" si="12"/>
        <v>SIM</v>
      </c>
      <c r="AU16" s="50">
        <f>O16/2</f>
        <v>1750</v>
      </c>
      <c r="AV16" s="50"/>
      <c r="AW16" s="50">
        <f>O16/2</f>
        <v>1750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216" t="s">
        <v>232</v>
      </c>
      <c r="C17" s="37" t="s">
        <v>241</v>
      </c>
      <c r="D17" s="38">
        <v>1</v>
      </c>
      <c r="E17" s="39">
        <v>2800</v>
      </c>
      <c r="F17" s="63"/>
      <c r="G17" s="40">
        <v>0.8</v>
      </c>
      <c r="H17" s="40"/>
      <c r="I17" s="41">
        <f t="shared" si="0"/>
        <v>3500</v>
      </c>
      <c r="J17" s="41">
        <f t="shared" si="1"/>
        <v>2099.9999999999995</v>
      </c>
      <c r="K17" s="38">
        <v>9</v>
      </c>
      <c r="L17" s="41">
        <f>IF(K17=K16,0,SUMIF(K17:$K$60,K17,I17:$I$60))</f>
        <v>3500</v>
      </c>
      <c r="M17" s="41">
        <f>IF(K17=K16,0,SUMIF(K17:$K$60,K17,J17:$J$60))</f>
        <v>2099.9999999999995</v>
      </c>
      <c r="N17" s="40">
        <v>1</v>
      </c>
      <c r="O17" s="41">
        <f t="shared" si="3"/>
        <v>3500</v>
      </c>
      <c r="P17" s="41">
        <f t="shared" si="4"/>
        <v>2099.9999999999995</v>
      </c>
      <c r="Q17" s="78">
        <v>2</v>
      </c>
      <c r="R17" s="80">
        <v>220</v>
      </c>
      <c r="S17" s="79">
        <f t="shared" si="5"/>
        <v>15.909090909090908</v>
      </c>
      <c r="T17" s="43">
        <v>1.06</v>
      </c>
      <c r="U17" s="43">
        <v>1</v>
      </c>
      <c r="V17" s="42">
        <v>10</v>
      </c>
      <c r="W17" s="110">
        <f t="shared" si="6"/>
        <v>15.008576329331046</v>
      </c>
      <c r="X17" s="45">
        <v>3</v>
      </c>
      <c r="Y17" s="45">
        <v>3</v>
      </c>
      <c r="Z17" s="46">
        <f t="shared" si="7"/>
        <v>0.24364571963199749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0.18273428972399811</v>
      </c>
      <c r="AF17" s="48">
        <f t="shared" si="2"/>
        <v>15.18260045519845</v>
      </c>
      <c r="AG17" s="47"/>
      <c r="AH17" s="102"/>
      <c r="AI17" s="47">
        <v>1</v>
      </c>
      <c r="AJ17" s="102">
        <v>4</v>
      </c>
      <c r="AK17" s="373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1750</v>
      </c>
      <c r="AW17" s="50">
        <f>O17/2</f>
        <v>1750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216" t="s">
        <v>232</v>
      </c>
      <c r="C18" s="37" t="s">
        <v>242</v>
      </c>
      <c r="D18" s="38">
        <v>1</v>
      </c>
      <c r="E18" s="39">
        <v>2800</v>
      </c>
      <c r="F18" s="63"/>
      <c r="G18" s="40">
        <v>0.8</v>
      </c>
      <c r="H18" s="40"/>
      <c r="I18" s="41">
        <f t="shared" si="0"/>
        <v>3500</v>
      </c>
      <c r="J18" s="41">
        <f t="shared" si="1"/>
        <v>2099.9999999999995</v>
      </c>
      <c r="K18" s="38">
        <v>10</v>
      </c>
      <c r="L18" s="41">
        <f>IF(K18=K17,0,SUMIF(K18:$K$60,K18,I18:$I$60))</f>
        <v>3500</v>
      </c>
      <c r="M18" s="41">
        <f>IF(K18=K17,0,SUMIF(K18:$K$60,K18,J18:$J$60))</f>
        <v>2099.9999999999995</v>
      </c>
      <c r="N18" s="40">
        <v>1</v>
      </c>
      <c r="O18" s="41">
        <f t="shared" si="3"/>
        <v>3500</v>
      </c>
      <c r="P18" s="41">
        <f t="shared" si="4"/>
        <v>2099.9999999999995</v>
      </c>
      <c r="Q18" s="78">
        <v>2</v>
      </c>
      <c r="R18" s="80">
        <v>220</v>
      </c>
      <c r="S18" s="79">
        <f t="shared" si="5"/>
        <v>15.909090909090908</v>
      </c>
      <c r="T18" s="43">
        <v>1.06</v>
      </c>
      <c r="U18" s="43">
        <v>0.72</v>
      </c>
      <c r="V18" s="42">
        <v>10</v>
      </c>
      <c r="W18" s="110">
        <f t="shared" si="6"/>
        <v>20.845244901848673</v>
      </c>
      <c r="X18" s="45">
        <v>25</v>
      </c>
      <c r="Y18" s="45">
        <v>3</v>
      </c>
      <c r="Z18" s="46">
        <f t="shared" si="7"/>
        <v>2.8199736068518226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2.1149802051388669</v>
      </c>
      <c r="AF18" s="48">
        <f t="shared" si="2"/>
        <v>17.114846370613321</v>
      </c>
      <c r="AG18" s="47"/>
      <c r="AH18" s="102"/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58</v>
      </c>
      <c r="AO18" s="35"/>
      <c r="AP18" s="35"/>
      <c r="AQ18" s="35"/>
      <c r="AR18" s="49">
        <f t="shared" si="11"/>
        <v>2</v>
      </c>
      <c r="AS18" s="47">
        <v>32</v>
      </c>
      <c r="AT18" s="49" t="str">
        <f t="shared" si="12"/>
        <v>SIM</v>
      </c>
      <c r="AU18" s="50">
        <f>O18/2</f>
        <v>1750</v>
      </c>
      <c r="AV18" s="50">
        <f>O18/2</f>
        <v>1750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216" t="s">
        <v>232</v>
      </c>
      <c r="C19" s="37" t="s">
        <v>242</v>
      </c>
      <c r="D19" s="38">
        <v>1</v>
      </c>
      <c r="E19" s="39">
        <v>2800</v>
      </c>
      <c r="F19" s="63"/>
      <c r="G19" s="40">
        <v>0.8</v>
      </c>
      <c r="H19" s="40"/>
      <c r="I19" s="41">
        <f t="shared" si="0"/>
        <v>3500</v>
      </c>
      <c r="J19" s="41">
        <f t="shared" si="1"/>
        <v>2099.9999999999995</v>
      </c>
      <c r="K19" s="38">
        <v>11</v>
      </c>
      <c r="L19" s="41">
        <f>IF(K19=K18,0,SUMIF(K19:$K$60,K19,I19:$I$60))</f>
        <v>3500</v>
      </c>
      <c r="M19" s="41">
        <f>IF(K19=K18,0,SUMIF(K19:$K$60,K19,J19:$J$60))</f>
        <v>2099.9999999999995</v>
      </c>
      <c r="N19" s="40">
        <v>1</v>
      </c>
      <c r="O19" s="41">
        <f t="shared" si="3"/>
        <v>3500</v>
      </c>
      <c r="P19" s="41">
        <f t="shared" si="4"/>
        <v>2099.9999999999995</v>
      </c>
      <c r="Q19" s="78">
        <v>2</v>
      </c>
      <c r="R19" s="80">
        <v>220</v>
      </c>
      <c r="S19" s="79">
        <f t="shared" si="5"/>
        <v>15.909090909090908</v>
      </c>
      <c r="T19" s="43">
        <v>1.06</v>
      </c>
      <c r="U19" s="43">
        <v>0.72</v>
      </c>
      <c r="V19" s="42">
        <v>10</v>
      </c>
      <c r="W19" s="110">
        <f t="shared" si="6"/>
        <v>20.845244901848673</v>
      </c>
      <c r="X19" s="45">
        <v>25</v>
      </c>
      <c r="Y19" s="45">
        <v>3</v>
      </c>
      <c r="Z19" s="46">
        <f t="shared" si="7"/>
        <v>2.8199736068518226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2.1149802051388669</v>
      </c>
      <c r="AF19" s="48">
        <f t="shared" si="2"/>
        <v>17.114846370613321</v>
      </c>
      <c r="AG19" s="47"/>
      <c r="AH19" s="102"/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58</v>
      </c>
      <c r="AO19" s="35"/>
      <c r="AP19" s="35"/>
      <c r="AQ19" s="35"/>
      <c r="AR19" s="49">
        <f t="shared" si="11"/>
        <v>2</v>
      </c>
      <c r="AS19" s="47">
        <v>32</v>
      </c>
      <c r="AT19" s="49" t="str">
        <f t="shared" si="12"/>
        <v>SIM</v>
      </c>
      <c r="AU19" s="50">
        <f>O11/2</f>
        <v>1750</v>
      </c>
      <c r="AV19" s="50"/>
      <c r="AW19" s="50">
        <f>O11/2</f>
        <v>1750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216" t="s">
        <v>232</v>
      </c>
      <c r="C20" s="37" t="s">
        <v>243</v>
      </c>
      <c r="D20" s="38">
        <v>3</v>
      </c>
      <c r="E20" s="39">
        <v>500</v>
      </c>
      <c r="F20" s="63"/>
      <c r="G20" s="40">
        <v>0.8</v>
      </c>
      <c r="H20" s="40"/>
      <c r="I20" s="41">
        <f t="shared" si="0"/>
        <v>1875</v>
      </c>
      <c r="J20" s="41">
        <f t="shared" si="1"/>
        <v>1124.9999999999998</v>
      </c>
      <c r="K20" s="38">
        <v>12</v>
      </c>
      <c r="L20" s="41">
        <f>IF(K20=K19,0,SUMIF(K20:$K$60,K20,I20:$I$60))</f>
        <v>1875</v>
      </c>
      <c r="M20" s="41">
        <f>IF(K20=K19,0,SUMIF(K20:$K$60,K20,J20:$J$60))</f>
        <v>1124.9999999999998</v>
      </c>
      <c r="N20" s="40">
        <v>1</v>
      </c>
      <c r="O20" s="41">
        <f t="shared" si="3"/>
        <v>1875</v>
      </c>
      <c r="P20" s="41">
        <f t="shared" si="4"/>
        <v>1124.9999999999998</v>
      </c>
      <c r="Q20" s="78">
        <v>2</v>
      </c>
      <c r="R20" s="80">
        <v>220</v>
      </c>
      <c r="S20" s="79">
        <f t="shared" si="5"/>
        <v>8.5227272727272734</v>
      </c>
      <c r="T20" s="43">
        <v>1.06</v>
      </c>
      <c r="U20" s="43">
        <v>0.65</v>
      </c>
      <c r="V20" s="42">
        <v>10</v>
      </c>
      <c r="W20" s="110">
        <f t="shared" si="6"/>
        <v>12.369705765932181</v>
      </c>
      <c r="X20" s="45">
        <v>22</v>
      </c>
      <c r="Y20" s="45">
        <v>3</v>
      </c>
      <c r="Z20" s="46">
        <f t="shared" si="7"/>
        <v>1.4725840197538311</v>
      </c>
      <c r="AA20" s="47">
        <v>1</v>
      </c>
      <c r="AB20" s="47">
        <v>1</v>
      </c>
      <c r="AC20" s="102">
        <v>2.5</v>
      </c>
      <c r="AD20" s="46">
        <f t="shared" si="8"/>
        <v>2.5</v>
      </c>
      <c r="AE20" s="46">
        <f t="shared" si="9"/>
        <v>1.7671008237045973</v>
      </c>
      <c r="AF20" s="48">
        <f t="shared" si="2"/>
        <v>16.76696698917905</v>
      </c>
      <c r="AG20" s="47"/>
      <c r="AH20" s="102"/>
      <c r="AI20" s="47">
        <v>1</v>
      </c>
      <c r="AJ20" s="102">
        <v>2.5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10.7</v>
      </c>
      <c r="AM20" s="44" t="str">
        <f>IF(AA20=2,IF(AC20&gt;=25,LOOKUP(AC20,'Tabela eletroduto'!$A$32:$A$43,'Tabela eletroduto'!$D$32:$D$43)),"-")</f>
        <v>-</v>
      </c>
      <c r="AN20" s="44">
        <f t="shared" si="10"/>
        <v>42.8</v>
      </c>
      <c r="AO20" s="35"/>
      <c r="AP20" s="35"/>
      <c r="AQ20" s="35"/>
      <c r="AR20" s="49">
        <f t="shared" si="11"/>
        <v>2</v>
      </c>
      <c r="AS20" s="47">
        <v>20</v>
      </c>
      <c r="AT20" s="49" t="str">
        <f t="shared" si="12"/>
        <v>SIM</v>
      </c>
      <c r="AU20" s="50"/>
      <c r="AV20" s="50">
        <f>O20/2</f>
        <v>937.5</v>
      </c>
      <c r="AW20" s="50">
        <f>O20/2</f>
        <v>937.5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1000</v>
      </c>
      <c r="F21" s="63"/>
      <c r="G21" s="40">
        <v>0.85</v>
      </c>
      <c r="H21" s="40"/>
      <c r="I21" s="41">
        <f t="shared" si="0"/>
        <v>1176.4705882352941</v>
      </c>
      <c r="J21" s="41">
        <f t="shared" si="1"/>
        <v>619.74433840310223</v>
      </c>
      <c r="K21" s="38">
        <v>13</v>
      </c>
      <c r="L21" s="41">
        <f>IF(K21=K20,0,SUMIF(K21:$K$60,K21,I21:$I$60))</f>
        <v>1176.4705882352941</v>
      </c>
      <c r="M21" s="41">
        <f>IF(K21=K20,0,SUMIF(K21:$K$60,K21,J21:$J$60))</f>
        <v>619.74433840310223</v>
      </c>
      <c r="N21" s="40">
        <v>1</v>
      </c>
      <c r="O21" s="41">
        <f t="shared" si="3"/>
        <v>1176.4705882352941</v>
      </c>
      <c r="P21" s="41">
        <f t="shared" si="4"/>
        <v>619.74433840310223</v>
      </c>
      <c r="Q21" s="78">
        <v>2</v>
      </c>
      <c r="R21" s="80">
        <v>220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2</v>
      </c>
      <c r="AS21" s="47">
        <v>20</v>
      </c>
      <c r="AT21" s="49" t="str">
        <f t="shared" si="12"/>
        <v>NÃO</v>
      </c>
      <c r="AU21" s="50">
        <f>O21/2</f>
        <v>588.23529411764707</v>
      </c>
      <c r="AV21" s="50">
        <f>O21/2</f>
        <v>588.23529411764707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1000</v>
      </c>
      <c r="F22" s="63"/>
      <c r="G22" s="40">
        <v>0.85</v>
      </c>
      <c r="H22" s="40"/>
      <c r="I22" s="41">
        <f t="shared" si="0"/>
        <v>1176.4705882352941</v>
      </c>
      <c r="J22" s="41">
        <f t="shared" si="1"/>
        <v>619.74433840310223</v>
      </c>
      <c r="K22" s="38">
        <v>14</v>
      </c>
      <c r="L22" s="41">
        <f>IF(K22=K21,0,SUMIF(K22:$K$60,K22,I22:$I$60))</f>
        <v>1176.4705882352941</v>
      </c>
      <c r="M22" s="41">
        <f>IF(K22=K21,0,SUMIF(K22:$K$60,K22,J22:$J$60))</f>
        <v>619.74433840310223</v>
      </c>
      <c r="N22" s="40">
        <v>1</v>
      </c>
      <c r="O22" s="41">
        <f t="shared" si="3"/>
        <v>1176.4705882352941</v>
      </c>
      <c r="P22" s="41">
        <f t="shared" si="4"/>
        <v>619.74433840310223</v>
      </c>
      <c r="Q22" s="78">
        <v>2</v>
      </c>
      <c r="R22" s="80">
        <v>220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2</v>
      </c>
      <c r="AS22" s="47">
        <v>20</v>
      </c>
      <c r="AT22" s="49" t="str">
        <f t="shared" si="12"/>
        <v>NÃO</v>
      </c>
      <c r="AU22" s="50">
        <f>O22/2</f>
        <v>588.23529411764707</v>
      </c>
      <c r="AV22" s="50"/>
      <c r="AW22" s="50">
        <f>O22/2</f>
        <v>588.23529411764707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 t="s">
        <v>204</v>
      </c>
      <c r="C23" s="37" t="s">
        <v>204</v>
      </c>
      <c r="D23" s="38">
        <v>1</v>
      </c>
      <c r="E23" s="39">
        <v>1000</v>
      </c>
      <c r="F23" s="63"/>
      <c r="G23" s="40">
        <v>0.85</v>
      </c>
      <c r="H23" s="40"/>
      <c r="I23" s="41">
        <f t="shared" si="0"/>
        <v>1176.4705882352941</v>
      </c>
      <c r="J23" s="41">
        <f t="shared" si="1"/>
        <v>619.74433840310223</v>
      </c>
      <c r="K23" s="38">
        <v>15</v>
      </c>
      <c r="L23" s="41">
        <f>IF(K23=K22,0,SUMIF(K23:$K$60,K23,I23:$I$60))</f>
        <v>1176.4705882352941</v>
      </c>
      <c r="M23" s="41">
        <f>IF(K23=K22,0,SUMIF(K23:$K$60,K23,J23:$J$60))</f>
        <v>619.74433840310223</v>
      </c>
      <c r="N23" s="40">
        <v>1</v>
      </c>
      <c r="O23" s="41">
        <f t="shared" si="3"/>
        <v>1176.4705882352941</v>
      </c>
      <c r="P23" s="41">
        <f t="shared" si="4"/>
        <v>619.74433840310223</v>
      </c>
      <c r="Q23" s="78">
        <v>2</v>
      </c>
      <c r="R23" s="80">
        <v>220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2</v>
      </c>
      <c r="AS23" s="47">
        <v>20</v>
      </c>
      <c r="AT23" s="49" t="str">
        <f t="shared" si="12"/>
        <v>NÃO</v>
      </c>
      <c r="AU23" s="50"/>
      <c r="AV23" s="50">
        <f>O23/2</f>
        <v>588.23529411764707</v>
      </c>
      <c r="AW23" s="50">
        <f>O23/2</f>
        <v>588.23529411764707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53" t="s">
        <v>74</v>
      </c>
      <c r="B61" s="354"/>
      <c r="C61" s="354"/>
      <c r="D61" s="355"/>
      <c r="E61" s="51"/>
      <c r="F61" s="51">
        <f>SUM(F9:F58)</f>
        <v>0</v>
      </c>
      <c r="G61" s="52">
        <f>COS(ASIN(J61/I61))</f>
        <v>0.80492320859446942</v>
      </c>
      <c r="H61" s="212"/>
      <c r="I61" s="77">
        <f>SUM(I9:I60)</f>
        <v>39029.411764705881</v>
      </c>
      <c r="J61" s="77">
        <f>SUM(J9:J60)</f>
        <v>23159.233015209305</v>
      </c>
      <c r="K61" s="77">
        <v>1</v>
      </c>
      <c r="L61" s="77">
        <f>SUM(L9:L60)</f>
        <v>39029.411764705881</v>
      </c>
      <c r="M61" s="77">
        <f>SUM(M9:M60)</f>
        <v>23159.233015209305</v>
      </c>
      <c r="N61" s="56">
        <v>1</v>
      </c>
      <c r="O61" s="77">
        <f>L61*N61</f>
        <v>39029.411764705881</v>
      </c>
      <c r="P61" s="77">
        <f>M61*N61</f>
        <v>23159.233015209305</v>
      </c>
      <c r="Q61" s="74">
        <v>3</v>
      </c>
      <c r="R61" s="75">
        <v>220</v>
      </c>
      <c r="S61" s="76">
        <f>IF(Q61=0,0,IF(Q61&lt;3,O61/R61,O61/(R61*SQRT(3))))</f>
        <v>102.42564267575312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142.25783704965713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19.999821553965937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14.999866165474453</v>
      </c>
      <c r="AF61" s="48">
        <f>IF(AB61=0,"-",IF(AC61=0,0,AE61))</f>
        <v>14.999866165474453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12738.970588235294</v>
      </c>
      <c r="AV61" s="55">
        <f t="shared" ref="AV61:AW61" si="17">SUM(AV9:AV60)</f>
        <v>12926.470588235294</v>
      </c>
      <c r="AW61" s="55">
        <f t="shared" si="17"/>
        <v>13363.970588235294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0.32639412207987945</v>
      </c>
      <c r="AV62" s="61">
        <f>AV61/L61</f>
        <v>0.33119819140919365</v>
      </c>
      <c r="AW62" s="61">
        <f>AW61/L61</f>
        <v>0.3424076865109269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56" t="s">
        <v>18</v>
      </c>
      <c r="AP63" s="356"/>
      <c r="AQ63" s="356"/>
      <c r="AR63" s="356"/>
      <c r="AS63" s="356"/>
      <c r="AT63" s="213"/>
      <c r="AU63" s="357">
        <f>(MAX(AU61:AW61)-(AU61+AV61+AW61)/3)/((AU61+AV61+AW61)/3)</f>
        <v>2.7223059532780661E-2</v>
      </c>
      <c r="AV63" s="357"/>
      <c r="AW63" s="357"/>
    </row>
    <row r="64" spans="1:73" s="10" customFormat="1">
      <c r="A64" s="95"/>
      <c r="B64" s="358" t="s">
        <v>124</v>
      </c>
      <c r="C64" s="359"/>
      <c r="D64" s="359"/>
      <c r="E64" s="36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1"/>
      <c r="AP64" s="361"/>
      <c r="AQ64" s="361"/>
      <c r="AR64" s="361"/>
      <c r="AS64" s="361"/>
      <c r="AT64" s="361"/>
      <c r="AU64" s="361"/>
      <c r="AV64" s="361"/>
      <c r="AW64" s="361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68" t="s">
        <v>123</v>
      </c>
      <c r="D65" s="369"/>
      <c r="E65" s="370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1"/>
      <c r="AP65" s="361"/>
      <c r="AQ65" s="361"/>
      <c r="AR65" s="361"/>
      <c r="AS65" s="361"/>
      <c r="AT65" s="361"/>
      <c r="AU65" s="361"/>
      <c r="AV65" s="361"/>
      <c r="AW65" s="361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65" t="s">
        <v>107</v>
      </c>
      <c r="D66" s="366"/>
      <c r="E66" s="36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1"/>
      <c r="AP66" s="361"/>
      <c r="AQ66" s="361"/>
      <c r="AR66" s="361"/>
      <c r="AS66" s="361"/>
      <c r="AT66" s="361"/>
      <c r="AU66" s="361"/>
      <c r="AV66" s="361"/>
      <c r="AW66" s="361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65" t="s">
        <v>108</v>
      </c>
      <c r="D67" s="366"/>
      <c r="E67" s="36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1"/>
      <c r="AP67" s="361"/>
      <c r="AQ67" s="361"/>
      <c r="AR67" s="361"/>
      <c r="AS67" s="361"/>
      <c r="AT67" s="361"/>
      <c r="AU67" s="361"/>
      <c r="AV67" s="361"/>
      <c r="AW67" s="361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65" t="s">
        <v>109</v>
      </c>
      <c r="D68" s="366"/>
      <c r="E68" s="36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1"/>
      <c r="AP68" s="361"/>
      <c r="AQ68" s="361"/>
      <c r="AR68" s="361"/>
      <c r="AS68" s="361"/>
      <c r="AT68" s="361"/>
      <c r="AU68" s="361"/>
      <c r="AV68" s="361"/>
      <c r="AW68" s="361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65" t="s">
        <v>110</v>
      </c>
      <c r="D69" s="366"/>
      <c r="E69" s="367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65" t="s">
        <v>112</v>
      </c>
      <c r="D70" s="366"/>
      <c r="E70" s="367"/>
      <c r="L70" s="214"/>
      <c r="AA70" s="90"/>
    </row>
    <row r="71" spans="1:73" s="1" customFormat="1">
      <c r="B71" s="210" t="s">
        <v>113</v>
      </c>
      <c r="C71" s="365" t="s">
        <v>114</v>
      </c>
      <c r="D71" s="366"/>
      <c r="E71" s="367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65" t="s">
        <v>116</v>
      </c>
      <c r="D72" s="366"/>
      <c r="E72" s="367"/>
      <c r="I72" s="11"/>
      <c r="J72" s="11"/>
      <c r="K72" s="11"/>
      <c r="AA72" s="90"/>
    </row>
    <row r="73" spans="1:73" s="1" customFormat="1">
      <c r="B73" s="210" t="s">
        <v>117</v>
      </c>
      <c r="C73" s="365" t="s">
        <v>118</v>
      </c>
      <c r="D73" s="366"/>
      <c r="E73" s="367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65" t="s">
        <v>120</v>
      </c>
      <c r="D74" s="366"/>
      <c r="E74" s="367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65" t="s">
        <v>122</v>
      </c>
      <c r="D75" s="366"/>
      <c r="E75" s="367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65" t="s">
        <v>127</v>
      </c>
      <c r="D76" s="366"/>
      <c r="E76" s="367"/>
      <c r="I76" s="11"/>
      <c r="J76" s="11"/>
      <c r="K76" s="11"/>
      <c r="AA76" s="90"/>
    </row>
    <row r="77" spans="1:73" s="1" customFormat="1">
      <c r="B77" s="210" t="s">
        <v>128</v>
      </c>
      <c r="C77" s="365" t="s">
        <v>129</v>
      </c>
      <c r="D77" s="366"/>
      <c r="E77" s="367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65" t="s">
        <v>131</v>
      </c>
      <c r="D78" s="366"/>
      <c r="E78" s="367"/>
      <c r="I78" s="11"/>
      <c r="J78" s="11"/>
      <c r="K78" s="11"/>
      <c r="AA78" s="90"/>
    </row>
    <row r="79" spans="1:73" s="1" customFormat="1">
      <c r="B79" s="210" t="s">
        <v>14</v>
      </c>
      <c r="C79" s="365" t="s">
        <v>132</v>
      </c>
      <c r="D79" s="366"/>
      <c r="E79" s="367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65" t="s">
        <v>145</v>
      </c>
      <c r="D80" s="366"/>
      <c r="E80" s="367"/>
      <c r="I80" s="11"/>
      <c r="J80" s="11"/>
      <c r="K80" s="11"/>
      <c r="AA80" s="90"/>
    </row>
    <row r="81" spans="2:27" s="1" customFormat="1">
      <c r="B81" s="210" t="s">
        <v>89</v>
      </c>
      <c r="C81" s="365" t="s">
        <v>146</v>
      </c>
      <c r="D81" s="366"/>
      <c r="E81" s="367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65" t="s">
        <v>147</v>
      </c>
      <c r="D82" s="366"/>
      <c r="E82" s="367"/>
      <c r="I82" s="11"/>
      <c r="J82" s="11"/>
      <c r="K82" s="11"/>
      <c r="AA82" s="90"/>
    </row>
    <row r="83" spans="2:27" s="1" customFormat="1">
      <c r="B83" s="210" t="s">
        <v>148</v>
      </c>
      <c r="C83" s="365" t="s">
        <v>149</v>
      </c>
      <c r="D83" s="366"/>
      <c r="E83" s="367"/>
      <c r="I83" s="11"/>
      <c r="J83" s="11"/>
      <c r="K83" s="11"/>
      <c r="AA83" s="90"/>
    </row>
    <row r="84" spans="2:27" s="1" customFormat="1">
      <c r="B84" s="210" t="s">
        <v>150</v>
      </c>
      <c r="C84" s="365" t="s">
        <v>151</v>
      </c>
      <c r="D84" s="366"/>
      <c r="E84" s="367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Rca Xl</vt:lpstr>
      <vt:lpstr>FCA-FCT</vt:lpstr>
      <vt:lpstr>Tabela eletroduto</vt:lpstr>
      <vt:lpstr>Tabela Cabos</vt:lpstr>
      <vt:lpstr>QD-1</vt:lpstr>
      <vt:lpstr>QD-2</vt:lpstr>
      <vt:lpstr>QD-3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2018-11-12T01:48:09Z</dcterms:modified>
</cp:coreProperties>
</file>