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Precificação" sheetId="1" r:id="rId3"/>
    <sheet state="visible" name="Escala" sheetId="2" r:id="rId4"/>
    <sheet state="visible" name="Contabilidade" sheetId="3" r:id="rId5"/>
  </sheets>
  <definedNames/>
  <calcPr/>
</workbook>
</file>

<file path=xl/sharedStrings.xml><?xml version="1.0" encoding="utf-8"?>
<sst xmlns="http://schemas.openxmlformats.org/spreadsheetml/2006/main" count="203" uniqueCount="97">
  <si>
    <t>Calculadora de Precificação</t>
  </si>
  <si>
    <t>Recebimentos:</t>
  </si>
  <si>
    <t>Custo:</t>
  </si>
  <si>
    <t>Lucro / Retiradas:</t>
  </si>
  <si>
    <t>1 de Janeiro</t>
  </si>
  <si>
    <t>Determine o melhor preço para seu produto</t>
  </si>
  <si>
    <t>Facebook Ads - Break Even de 1</t>
  </si>
  <si>
    <t>Mark Up</t>
  </si>
  <si>
    <t>Detalhe do Produto</t>
  </si>
  <si>
    <t>Preço Final</t>
  </si>
  <si>
    <t>Máximo Custo Por Aquisição</t>
  </si>
  <si>
    <t>10 Conjuntos De</t>
  </si>
  <si>
    <t>Break Even</t>
  </si>
  <si>
    <t>Total em Vendas</t>
  </si>
  <si>
    <t xml:space="preserve">Aliexpress </t>
  </si>
  <si>
    <t>2,25x</t>
  </si>
  <si>
    <t>Estimador de Lucro</t>
  </si>
  <si>
    <t>Lucro até hoje</t>
  </si>
  <si>
    <t>2 de Janeiro</t>
  </si>
  <si>
    <t xml:space="preserve">Facebook </t>
  </si>
  <si>
    <t>3 de Janeiro</t>
  </si>
  <si>
    <t>Shopify</t>
  </si>
  <si>
    <t>Lucro Rafael:</t>
  </si>
  <si>
    <t>Facebook Ads Break Even Diário</t>
  </si>
  <si>
    <t>4 de Janeiro</t>
  </si>
  <si>
    <t>Custo do Produto Aliexpress:</t>
  </si>
  <si>
    <t>Klaviyo</t>
  </si>
  <si>
    <t>Socio Aqui</t>
  </si>
  <si>
    <t>Preço Recomendado:</t>
  </si>
  <si>
    <t>2,5x</t>
  </si>
  <si>
    <t>Custo Fixo</t>
  </si>
  <si>
    <t>Custo de Marketing</t>
  </si>
  <si>
    <t>Max. CPA</t>
  </si>
  <si>
    <t>Lucro</t>
  </si>
  <si>
    <t>% de Lucro</t>
  </si>
  <si>
    <t>Produto</t>
  </si>
  <si>
    <t>5 de Janeiro</t>
  </si>
  <si>
    <t xml:space="preserve">Funcionaria                </t>
  </si>
  <si>
    <t>2,75x</t>
  </si>
  <si>
    <t>6 de Janeiro</t>
  </si>
  <si>
    <t xml:space="preserve">Quickbooks/Zeropaper                </t>
  </si>
  <si>
    <t>Facebook Ads</t>
  </si>
  <si>
    <t>Max. Custo Por Aquisição</t>
  </si>
  <si>
    <t>Qty Break Even</t>
  </si>
  <si>
    <t>Retiradas:</t>
  </si>
  <si>
    <t>Dia 10 de Janeiro</t>
  </si>
  <si>
    <t>7 de Janeiro</t>
  </si>
  <si>
    <t xml:space="preserve">Telefone                            </t>
  </si>
  <si>
    <t>8 de Janeiro</t>
  </si>
  <si>
    <t>Total</t>
  </si>
  <si>
    <t>9 de Janeiro</t>
  </si>
  <si>
    <t>10 de Janeiro</t>
  </si>
  <si>
    <t>11 de Janeiro</t>
  </si>
  <si>
    <t>1,25x</t>
  </si>
  <si>
    <t>Restante:</t>
  </si>
  <si>
    <t>12 de Janeiro</t>
  </si>
  <si>
    <t>13 de Janeiro</t>
  </si>
  <si>
    <t>14 de Janeiro</t>
  </si>
  <si>
    <t>15 de Janeiro</t>
  </si>
  <si>
    <t>16 de Janeiro</t>
  </si>
  <si>
    <t>Relogio</t>
  </si>
  <si>
    <t>3x</t>
  </si>
  <si>
    <t>1,5x</t>
  </si>
  <si>
    <t>Custo Fixo:</t>
  </si>
  <si>
    <t>1,75x</t>
  </si>
  <si>
    <t>IOF Aliexpress:</t>
  </si>
  <si>
    <t>2x</t>
  </si>
  <si>
    <t>Facebook Ads - Break Even de 2</t>
  </si>
  <si>
    <t>Shopify:</t>
  </si>
  <si>
    <t>Lampada</t>
  </si>
  <si>
    <t>Mercado Pago:</t>
  </si>
  <si>
    <t>Tarifa de antecipação:</t>
  </si>
  <si>
    <t>Vestido</t>
  </si>
  <si>
    <t>Imposto:</t>
  </si>
  <si>
    <t>3,25x</t>
  </si>
  <si>
    <t>Custo de Marketing:</t>
  </si>
  <si>
    <t>3,5x</t>
  </si>
  <si>
    <t>Marketing</t>
  </si>
  <si>
    <t>Ventilador</t>
  </si>
  <si>
    <t>3,75x</t>
  </si>
  <si>
    <t>Facebook Ads - Break Even de 3</t>
  </si>
  <si>
    <t>4x</t>
  </si>
  <si>
    <t>6x</t>
  </si>
  <si>
    <t>*Instruções:</t>
  </si>
  <si>
    <t>Brinquedo</t>
  </si>
  <si>
    <t>Preencha apenas a tabela AMARELA</t>
  </si>
  <si>
    <t>Estimador de Vendas</t>
  </si>
  <si>
    <r>
      <t xml:space="preserve">Preço recomendado é </t>
    </r>
    <r>
      <rPr>
        <b/>
        <i/>
      </rPr>
      <t xml:space="preserve">2,75x </t>
    </r>
    <r>
      <t>o custo do produto</t>
    </r>
  </si>
  <si>
    <r>
      <t xml:space="preserve">Preço recomendado é </t>
    </r>
    <r>
      <rPr>
        <b/>
        <i/>
      </rPr>
      <t xml:space="preserve">2,75x </t>
    </r>
    <r>
      <t>o custo do produto</t>
    </r>
  </si>
  <si>
    <t>Qyt:</t>
  </si>
  <si>
    <t>Lucro:</t>
  </si>
  <si>
    <t>Qty:</t>
  </si>
  <si>
    <t>CPA siginifica CUSTO POR AQUISIÇÃO, o custo máximo que você pode gastar para chegar ao break even</t>
  </si>
  <si>
    <t>Boné</t>
  </si>
  <si>
    <t>Break Even siginifica o número de produtos que devem ser vendidos para ficar no 0 a 0.</t>
  </si>
  <si>
    <t>Total:</t>
  </si>
  <si>
    <t>Copyright ©SegredosEcom - Todos os Direitos Reservados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</si>
</sst>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R$ -416]#,##0.00"/>
    <numFmt numFmtId="165" formatCode="_([$R$ -416]* #,##0.00_);_([$R$ -416]* \(#,##0.00\);_([$R$ -416]* &quot;-&quot;??_);_(@_)"/>
  </numFmts>
  <fonts count="24">
    <font>
      <sz val="10.0"/>
      <color rgb="FF000000"/>
      <name val="Arial"/>
    </font>
    <font/>
    <font>
      <b/>
      <sz val="24.0"/>
      <color rgb="FF000000"/>
      <name val="Trebuchet MS"/>
    </font>
    <font>
      <b/>
      <sz val="18.0"/>
      <name val="Arial"/>
    </font>
    <font>
      <name val="Arial"/>
    </font>
    <font>
      <b/>
      <sz val="14.0"/>
      <color rgb="FF0070C0"/>
      <name val="Trebuchet MS"/>
    </font>
    <font>
      <b/>
      <sz val="18.0"/>
      <color rgb="FFFFFFFF"/>
      <name val="Trebuchet MS"/>
    </font>
    <font>
      <b/>
      <sz val="14.0"/>
      <color rgb="FF000000"/>
      <name val="Trebuchet MS"/>
    </font>
    <font>
      <i/>
      <sz val="14.0"/>
      <color rgb="FF000000"/>
      <name val="Trebuchet MS"/>
    </font>
    <font>
      <b/>
      <name val="Arial"/>
    </font>
    <font>
      <b/>
      <sz val="14.0"/>
    </font>
    <font>
      <b/>
    </font>
    <font>
      <sz val="10.0"/>
      <color rgb="FF000000"/>
      <name val="Trebuchet MS"/>
    </font>
    <font>
      <sz val="10.0"/>
      <color rgb="FF434343"/>
      <name val="Arial"/>
    </font>
    <font>
      <sz val="12.0"/>
    </font>
    <font>
      <sz val="14.0"/>
      <color rgb="FF000000"/>
      <name val="Trebuchet MS"/>
    </font>
    <font>
      <b/>
      <sz val="12.0"/>
      <color rgb="FF000000"/>
      <name val="Trebuchet MS"/>
    </font>
    <font>
      <b/>
      <sz val="12.0"/>
      <color rgb="FF434343"/>
      <name val="Arial"/>
    </font>
    <font>
      <b/>
      <sz val="12.0"/>
    </font>
    <font>
      <color rgb="FF000000"/>
    </font>
    <font>
      <sz val="18.0"/>
      <color rgb="FF0070C0"/>
      <name val="Trebuchet MS"/>
    </font>
    <font>
      <sz val="14.0"/>
      <color rgb="FF000000"/>
    </font>
    <font>
      <sz val="12.0"/>
      <color rgb="FF000000"/>
    </font>
    <font>
      <b/>
      <sz val="14.0"/>
      <name val="Trebuchet MS"/>
    </font>
  </fonts>
  <fills count="18">
    <fill>
      <patternFill patternType="none"/>
    </fill>
    <fill>
      <patternFill patternType="lightGray"/>
    </fill>
    <fill>
      <patternFill patternType="solid">
        <fgColor rgb="FF93C47D"/>
        <bgColor rgb="FF93C47D"/>
      </patternFill>
    </fill>
    <fill>
      <patternFill patternType="solid">
        <fgColor rgb="FF000000"/>
        <bgColor rgb="FF000000"/>
      </patternFill>
    </fill>
    <fill>
      <patternFill patternType="solid">
        <fgColor rgb="FFF4CCCC"/>
        <bgColor rgb="FFF4CCCC"/>
      </patternFill>
    </fill>
    <fill>
      <patternFill patternType="solid">
        <fgColor rgb="FFFFD966"/>
        <bgColor rgb="FFFFD966"/>
      </patternFill>
    </fill>
    <fill>
      <patternFill patternType="solid">
        <fgColor rgb="FF0070C0"/>
        <bgColor rgb="FF0070C0"/>
      </patternFill>
    </fill>
    <fill>
      <patternFill patternType="solid">
        <fgColor rgb="FFFFFFFF"/>
        <bgColor rgb="FFFFFFFF"/>
      </patternFill>
    </fill>
    <fill>
      <patternFill patternType="solid">
        <fgColor rgb="FF9DC3E6"/>
        <bgColor rgb="FF9DC3E6"/>
      </patternFill>
    </fill>
    <fill>
      <patternFill patternType="solid">
        <fgColor rgb="FFFFF2CC"/>
        <bgColor rgb="FFFFF2CC"/>
      </patternFill>
    </fill>
    <fill>
      <patternFill patternType="solid">
        <fgColor rgb="FFFFE599"/>
        <bgColor rgb="FFFFE599"/>
      </patternFill>
    </fill>
    <fill>
      <patternFill patternType="solid">
        <fgColor rgb="FFB6D7A8"/>
        <bgColor rgb="FFB6D7A8"/>
      </patternFill>
    </fill>
    <fill>
      <patternFill patternType="solid">
        <fgColor rgb="FFC6EFCE"/>
        <bgColor rgb="FFC6EFCE"/>
      </patternFill>
    </fill>
    <fill>
      <patternFill patternType="solid">
        <fgColor rgb="FFD9EAD3"/>
        <bgColor rgb="FFD9EAD3"/>
      </patternFill>
    </fill>
    <fill>
      <patternFill patternType="solid">
        <fgColor rgb="FFD0E0E3"/>
        <bgColor rgb="FFD0E0E3"/>
      </patternFill>
    </fill>
    <fill>
      <patternFill patternType="solid">
        <fgColor rgb="FFC9DAF8"/>
        <bgColor rgb="FFC9DAF8"/>
      </patternFill>
    </fill>
    <fill>
      <patternFill patternType="solid">
        <fgColor rgb="FFCFE2F3"/>
        <bgColor rgb="FFCFE2F3"/>
      </patternFill>
    </fill>
    <fill>
      <patternFill patternType="solid">
        <fgColor rgb="FFD9D2E9"/>
        <bgColor rgb="FFD9D2E9"/>
      </patternFill>
    </fill>
  </fills>
  <borders count="27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left style="thin">
        <color rgb="FFFFFFFF"/>
      </left>
    </border>
    <border>
      <right style="thin">
        <color rgb="FFFFFFFF"/>
      </right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000000"/>
      </left>
      <bottom style="thin">
        <color rgb="FF000000"/>
      </bottom>
    </border>
    <border>
      <left style="thin">
        <color rgb="FFFFFFFF"/>
      </left>
      <bottom style="thin">
        <color rgb="FFFFFFFF"/>
      </bottom>
    </border>
    <border>
      <bottom style="thin">
        <color rgb="FF000000"/>
      </bottom>
    </border>
    <border>
      <bottom style="thin">
        <color rgb="FFFFFFFF"/>
      </bottom>
    </border>
    <border>
      <right style="thin">
        <color rgb="FF000000"/>
      </right>
      <bottom style="thin">
        <color rgb="FF000000"/>
      </bottom>
    </border>
    <border>
      <right style="thin">
        <color rgb="FFFFFFFF"/>
      </right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15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vertical="bottom"/>
    </xf>
    <xf borderId="2" fillId="0" fontId="1" numFmtId="0" xfId="0" applyAlignment="1" applyBorder="1" applyFont="1">
      <alignment horizontal="center" vertical="center"/>
    </xf>
    <xf borderId="3" fillId="0" fontId="1" numFmtId="0" xfId="0" applyBorder="1" applyFont="1"/>
    <xf borderId="4" fillId="0" fontId="1" numFmtId="0" xfId="0" applyBorder="1" applyFont="1"/>
    <xf borderId="1" fillId="0" fontId="1" numFmtId="0" xfId="0" applyBorder="1" applyFont="1"/>
    <xf borderId="5" fillId="0" fontId="1" numFmtId="0" xfId="0" applyAlignment="1" applyBorder="1" applyFont="1">
      <alignment vertical="bottom"/>
    </xf>
    <xf borderId="6" fillId="0" fontId="2" numFmtId="0" xfId="0" applyAlignment="1" applyBorder="1" applyFont="1">
      <alignment readingOrder="0" vertical="bottom"/>
    </xf>
    <xf borderId="0" fillId="2" fontId="3" numFmtId="0" xfId="0" applyAlignment="1" applyFill="1" applyFont="1">
      <alignment horizontal="center" vertical="bottom"/>
    </xf>
    <xf borderId="7" fillId="0" fontId="2" numFmtId="0" xfId="0" applyAlignment="1" applyBorder="1" applyFont="1">
      <alignment readingOrder="0" vertical="bottom"/>
    </xf>
    <xf borderId="0" fillId="3" fontId="4" numFmtId="0" xfId="0" applyAlignment="1" applyFill="1" applyFont="1">
      <alignment vertical="bottom"/>
    </xf>
    <xf borderId="8" fillId="0" fontId="1" numFmtId="0" xfId="0" applyBorder="1" applyFont="1"/>
    <xf borderId="0" fillId="4" fontId="3" numFmtId="0" xfId="0" applyAlignment="1" applyFill="1" applyFont="1">
      <alignment horizontal="center" vertical="bottom"/>
    </xf>
    <xf borderId="0" fillId="5" fontId="3" numFmtId="0" xfId="0" applyAlignment="1" applyFill="1" applyFont="1">
      <alignment horizontal="center" vertical="bottom"/>
    </xf>
    <xf borderId="9" fillId="0" fontId="1" numFmtId="0" xfId="0" applyBorder="1" applyFont="1"/>
    <xf borderId="0" fillId="0" fontId="4" numFmtId="0" xfId="0" applyAlignment="1" applyFont="1">
      <alignment readingOrder="0" vertical="bottom"/>
    </xf>
    <xf borderId="6" fillId="0" fontId="5" numFmtId="0" xfId="0" applyAlignment="1" applyBorder="1" applyFont="1">
      <alignment readingOrder="0" vertical="bottom"/>
    </xf>
    <xf borderId="7" fillId="0" fontId="1" numFmtId="0" xfId="0" applyBorder="1" applyFont="1"/>
    <xf borderId="6" fillId="0" fontId="1" numFmtId="0" xfId="0" applyAlignment="1" applyBorder="1" applyFont="1">
      <alignment vertical="bottom"/>
    </xf>
    <xf borderId="0" fillId="0" fontId="4" numFmtId="164" xfId="0" applyAlignment="1" applyFont="1" applyNumberFormat="1">
      <alignment horizontal="right" readingOrder="0" vertical="bottom"/>
    </xf>
    <xf borderId="10" fillId="0" fontId="1" numFmtId="0" xfId="0" applyAlignment="1" applyBorder="1" applyFont="1">
      <alignment vertical="bottom"/>
    </xf>
    <xf borderId="11" fillId="6" fontId="6" numFmtId="0" xfId="0" applyAlignment="1" applyBorder="1" applyFill="1" applyFont="1">
      <alignment horizontal="center" readingOrder="0" vertical="bottom"/>
    </xf>
    <xf borderId="12" fillId="0" fontId="1" numFmtId="0" xfId="0" applyBorder="1" applyFont="1"/>
    <xf borderId="13" fillId="0" fontId="1" numFmtId="0" xfId="0" applyBorder="1" applyFont="1"/>
    <xf borderId="14" fillId="0" fontId="1" numFmtId="0" xfId="0" applyBorder="1" applyFont="1"/>
    <xf borderId="15" fillId="0" fontId="1" numFmtId="0" xfId="0" applyBorder="1" applyFont="1"/>
    <xf borderId="16" fillId="0" fontId="1" numFmtId="0" xfId="0" applyBorder="1" applyFont="1"/>
    <xf borderId="17" fillId="7" fontId="7" numFmtId="0" xfId="0" applyAlignment="1" applyBorder="1" applyFill="1" applyFont="1">
      <alignment horizontal="center" readingOrder="0" vertical="bottom"/>
    </xf>
    <xf borderId="0" fillId="0" fontId="4" numFmtId="164" xfId="0" applyAlignment="1" applyFont="1" applyNumberFormat="1">
      <alignment horizontal="right" vertical="bottom"/>
    </xf>
    <xf borderId="17" fillId="6" fontId="6" numFmtId="0" xfId="0" applyAlignment="1" applyBorder="1" applyFont="1">
      <alignment readingOrder="0" vertical="bottom"/>
    </xf>
    <xf borderId="17" fillId="0" fontId="7" numFmtId="0" xfId="0" applyAlignment="1" applyBorder="1" applyFont="1">
      <alignment horizontal="center" readingOrder="0" vertical="bottom"/>
    </xf>
    <xf borderId="0" fillId="0" fontId="4" numFmtId="0" xfId="0" applyAlignment="1" applyFont="1">
      <alignment vertical="bottom"/>
    </xf>
    <xf borderId="17" fillId="6" fontId="1" numFmtId="0" xfId="0" applyAlignment="1" applyBorder="1" applyFont="1">
      <alignment vertical="bottom"/>
    </xf>
    <xf borderId="17" fillId="0" fontId="7" numFmtId="164" xfId="0" applyAlignment="1" applyBorder="1" applyFont="1" applyNumberFormat="1">
      <alignment horizontal="center" readingOrder="0" vertical="bottom"/>
    </xf>
    <xf borderId="7" fillId="0" fontId="1" numFmtId="0" xfId="0" applyAlignment="1" applyBorder="1" applyFont="1">
      <alignment vertical="bottom"/>
    </xf>
    <xf borderId="0" fillId="0" fontId="1" numFmtId="164" xfId="0" applyAlignment="1" applyFont="1" applyNumberFormat="1">
      <alignment readingOrder="0"/>
    </xf>
    <xf borderId="18" fillId="6" fontId="6" numFmtId="0" xfId="0" applyAlignment="1" applyBorder="1" applyFont="1">
      <alignment horizontal="center" readingOrder="0" vertical="bottom"/>
    </xf>
    <xf borderId="0" fillId="0" fontId="4" numFmtId="165" xfId="0" applyAlignment="1" applyFont="1" applyNumberFormat="1">
      <alignment horizontal="right" vertical="bottom"/>
    </xf>
    <xf borderId="19" fillId="0" fontId="1" numFmtId="0" xfId="0" applyBorder="1" applyFont="1"/>
    <xf borderId="17" fillId="8" fontId="7" numFmtId="164" xfId="0" applyAlignment="1" applyBorder="1" applyFill="1" applyFont="1" applyNumberFormat="1">
      <alignment horizontal="center" readingOrder="0" vertical="bottom"/>
    </xf>
    <xf borderId="0" fillId="0" fontId="4" numFmtId="0" xfId="0" applyAlignment="1" applyFont="1">
      <alignment readingOrder="0" vertical="bottom"/>
    </xf>
    <xf borderId="20" fillId="0" fontId="1" numFmtId="0" xfId="0" applyBorder="1" applyFont="1"/>
    <xf borderId="17" fillId="8" fontId="7" numFmtId="3" xfId="0" applyAlignment="1" applyBorder="1" applyFont="1" applyNumberFormat="1">
      <alignment horizontal="center" readingOrder="0" vertical="bottom"/>
    </xf>
    <xf borderId="18" fillId="7" fontId="8" numFmtId="0" xfId="0" applyAlignment="1" applyBorder="1" applyFont="1">
      <alignment horizontal="center" readingOrder="0" vertical="bottom"/>
    </xf>
    <xf borderId="4" fillId="0" fontId="1" numFmtId="0" xfId="0" applyAlignment="1" applyBorder="1" applyFont="1">
      <alignment vertical="bottom"/>
    </xf>
    <xf borderId="17" fillId="7" fontId="8" numFmtId="0" xfId="0" applyAlignment="1" applyBorder="1" applyFont="1">
      <alignment horizontal="center" readingOrder="0" vertical="bottom"/>
    </xf>
    <xf borderId="0" fillId="0" fontId="1" numFmtId="0" xfId="0" applyAlignment="1" applyFont="1">
      <alignment readingOrder="0"/>
    </xf>
    <xf borderId="7" fillId="7" fontId="1" numFmtId="0" xfId="0" applyAlignment="1" applyBorder="1" applyFont="1">
      <alignment vertical="bottom"/>
    </xf>
    <xf borderId="0" fillId="0" fontId="1" numFmtId="164" xfId="0" applyFont="1" applyNumberFormat="1"/>
    <xf borderId="17" fillId="9" fontId="8" numFmtId="0" xfId="0" applyAlignment="1" applyBorder="1" applyFill="1" applyFont="1">
      <alignment horizontal="center" readingOrder="0" vertical="bottom"/>
    </xf>
    <xf borderId="17" fillId="9" fontId="7" numFmtId="0" xfId="0" applyAlignment="1" applyBorder="1" applyFont="1">
      <alignment horizontal="center" readingOrder="0" vertical="bottom"/>
    </xf>
    <xf borderId="0" fillId="10" fontId="9" numFmtId="0" xfId="0" applyAlignment="1" applyFill="1" applyFont="1">
      <alignment vertical="bottom"/>
    </xf>
    <xf borderId="17" fillId="9" fontId="7" numFmtId="164" xfId="0" applyAlignment="1" applyBorder="1" applyFont="1" applyNumberFormat="1">
      <alignment horizontal="center" readingOrder="0" vertical="bottom"/>
    </xf>
    <xf borderId="17" fillId="4" fontId="7" numFmtId="0" xfId="0" applyAlignment="1" applyBorder="1" applyFont="1">
      <alignment horizontal="center" readingOrder="0" vertical="bottom"/>
    </xf>
    <xf borderId="0" fillId="11" fontId="9" numFmtId="0" xfId="0" applyAlignment="1" applyFill="1" applyFont="1">
      <alignment horizontal="right" readingOrder="0" vertical="bottom"/>
    </xf>
    <xf borderId="18" fillId="9" fontId="10" numFmtId="164" xfId="0" applyAlignment="1" applyBorder="1" applyFont="1" applyNumberFormat="1">
      <alignment horizontal="center" readingOrder="0" vertical="bottom"/>
    </xf>
    <xf borderId="17" fillId="9" fontId="7" numFmtId="3" xfId="0" applyAlignment="1" applyBorder="1" applyFont="1" applyNumberFormat="1">
      <alignment horizontal="center" readingOrder="0" vertical="bottom"/>
    </xf>
    <xf borderId="0" fillId="11" fontId="11" numFmtId="164" xfId="0" applyFont="1" applyNumberFormat="1"/>
    <xf borderId="17" fillId="4" fontId="7" numFmtId="164" xfId="0" applyAlignment="1" applyBorder="1" applyFont="1" applyNumberFormat="1">
      <alignment horizontal="center" readingOrder="0" vertical="bottom"/>
    </xf>
    <xf borderId="17" fillId="0" fontId="12" numFmtId="0" xfId="0" applyAlignment="1" applyBorder="1" applyFont="1">
      <alignment horizontal="center" readingOrder="0" vertical="bottom"/>
    </xf>
    <xf borderId="0" fillId="0" fontId="1" numFmtId="165" xfId="0" applyFont="1" applyNumberFormat="1"/>
    <xf borderId="17" fillId="0" fontId="13" numFmtId="164" xfId="0" applyAlignment="1" applyBorder="1" applyFont="1" applyNumberFormat="1">
      <alignment horizontal="center" readingOrder="0" vertical="bottom"/>
    </xf>
    <xf borderId="17" fillId="0" fontId="1" numFmtId="164" xfId="0" applyAlignment="1" applyBorder="1" applyFont="1" applyNumberFormat="1">
      <alignment horizontal="center" readingOrder="0" vertical="bottom"/>
    </xf>
    <xf borderId="0" fillId="2" fontId="11" numFmtId="0" xfId="0" applyAlignment="1" applyFont="1">
      <alignment horizontal="right" readingOrder="0"/>
    </xf>
    <xf borderId="17" fillId="0" fontId="1" numFmtId="164" xfId="0" applyAlignment="1" applyBorder="1" applyFont="1" applyNumberFormat="1">
      <alignment horizontal="center"/>
    </xf>
    <xf borderId="0" fillId="2" fontId="11" numFmtId="164" xfId="0" applyFont="1" applyNumberFormat="1"/>
    <xf borderId="17" fillId="12" fontId="14" numFmtId="164" xfId="0" applyAlignment="1" applyBorder="1" applyFill="1" applyFont="1" applyNumberFormat="1">
      <alignment horizontal="center" readingOrder="0" vertical="bottom"/>
    </xf>
    <xf borderId="17" fillId="0" fontId="15" numFmtId="9" xfId="0" applyAlignment="1" applyBorder="1" applyFont="1" applyNumberFormat="1">
      <alignment horizontal="center" readingOrder="0" vertical="bottom"/>
    </xf>
    <xf borderId="17" fillId="4" fontId="7" numFmtId="4" xfId="0" applyAlignment="1" applyBorder="1" applyFont="1" applyNumberFormat="1">
      <alignment horizontal="center" readingOrder="0" vertical="bottom"/>
    </xf>
    <xf borderId="8" fillId="0" fontId="1" numFmtId="0" xfId="0" applyAlignment="1" applyBorder="1" applyFont="1">
      <alignment readingOrder="0" vertical="bottom"/>
    </xf>
    <xf borderId="21" fillId="0" fontId="1" numFmtId="0" xfId="0" applyBorder="1" applyFont="1"/>
    <xf borderId="21" fillId="0" fontId="1" numFmtId="4" xfId="0" applyBorder="1" applyFont="1" applyNumberFormat="1"/>
    <xf borderId="22" fillId="0" fontId="1" numFmtId="0" xfId="0" applyBorder="1" applyFont="1"/>
    <xf borderId="9" fillId="0" fontId="1" numFmtId="0" xfId="0" applyAlignment="1" applyBorder="1" applyFont="1">
      <alignment vertical="bottom"/>
    </xf>
    <xf borderId="16" fillId="0" fontId="1" numFmtId="0" xfId="0" applyAlignment="1" applyBorder="1" applyFont="1">
      <alignment vertical="bottom"/>
    </xf>
    <xf borderId="18" fillId="6" fontId="6" numFmtId="0" xfId="0" applyAlignment="1" applyBorder="1" applyFont="1">
      <alignment readingOrder="0" vertical="bottom"/>
    </xf>
    <xf borderId="17" fillId="13" fontId="8" numFmtId="0" xfId="0" applyAlignment="1" applyBorder="1" applyFill="1" applyFont="1">
      <alignment horizontal="center" vertical="bottom"/>
    </xf>
    <xf borderId="10" fillId="0" fontId="1" numFmtId="0" xfId="0" applyBorder="1" applyFont="1"/>
    <xf borderId="20" fillId="13" fontId="8" numFmtId="0" xfId="0" applyAlignment="1" applyBorder="1" applyFont="1">
      <alignment horizontal="center" readingOrder="0" vertical="bottom"/>
    </xf>
    <xf borderId="18" fillId="8" fontId="8" numFmtId="0" xfId="0" applyAlignment="1" applyBorder="1" applyFont="1">
      <alignment horizontal="right" vertical="bottom"/>
    </xf>
    <xf borderId="20" fillId="13" fontId="8" numFmtId="0" xfId="0" applyAlignment="1" applyBorder="1" applyFont="1">
      <alignment horizontal="center" vertical="bottom"/>
    </xf>
    <xf borderId="17" fillId="8" fontId="7" numFmtId="10" xfId="0" applyAlignment="1" applyBorder="1" applyFont="1" applyNumberFormat="1">
      <alignment horizontal="right" readingOrder="0" vertical="bottom"/>
    </xf>
    <xf borderId="20" fillId="4" fontId="7" numFmtId="0" xfId="0" applyAlignment="1" applyBorder="1" applyFont="1">
      <alignment horizontal="center" vertical="bottom"/>
    </xf>
    <xf borderId="17" fillId="7" fontId="16" numFmtId="0" xfId="0" applyAlignment="1" applyBorder="1" applyFont="1">
      <alignment horizontal="center" readingOrder="0" vertical="bottom"/>
    </xf>
    <xf borderId="17" fillId="7" fontId="17" numFmtId="164" xfId="0" applyAlignment="1" applyBorder="1" applyFont="1" applyNumberFormat="1">
      <alignment horizontal="center" readingOrder="0" vertical="bottom"/>
    </xf>
    <xf borderId="23" fillId="13" fontId="7" numFmtId="164" xfId="0" applyAlignment="1" applyBorder="1" applyFont="1" applyNumberFormat="1">
      <alignment horizontal="center" readingOrder="0" vertical="bottom"/>
    </xf>
    <xf borderId="17" fillId="7" fontId="18" numFmtId="164" xfId="0" applyAlignment="1" applyBorder="1" applyFont="1" applyNumberFormat="1">
      <alignment horizontal="center" readingOrder="0" vertical="bottom"/>
    </xf>
    <xf borderId="15" fillId="13" fontId="7" numFmtId="164" xfId="0" applyAlignment="1" applyBorder="1" applyFont="1" applyNumberFormat="1">
      <alignment horizontal="center" readingOrder="0" vertical="bottom"/>
    </xf>
    <xf borderId="17" fillId="7" fontId="18" numFmtId="164" xfId="0" applyAlignment="1" applyBorder="1" applyFont="1" applyNumberFormat="1">
      <alignment horizontal="center"/>
    </xf>
    <xf borderId="15" fillId="4" fontId="7" numFmtId="4" xfId="0" applyAlignment="1" applyBorder="1" applyFont="1" applyNumberFormat="1">
      <alignment horizontal="center" vertical="bottom"/>
    </xf>
    <xf borderId="17" fillId="12" fontId="18" numFmtId="164" xfId="0" applyAlignment="1" applyBorder="1" applyFont="1" applyNumberFormat="1">
      <alignment horizontal="center" readingOrder="0" vertical="bottom"/>
    </xf>
    <xf borderId="15" fillId="4" fontId="7" numFmtId="164" xfId="0" applyAlignment="1" applyBorder="1" applyFont="1" applyNumberFormat="1">
      <alignment horizontal="center" vertical="bottom"/>
    </xf>
    <xf borderId="17" fillId="7" fontId="16" numFmtId="9" xfId="0" applyAlignment="1" applyBorder="1" applyFont="1" applyNumberFormat="1">
      <alignment horizontal="center" readingOrder="0" vertical="bottom"/>
    </xf>
    <xf borderId="17" fillId="9" fontId="16" numFmtId="0" xfId="0" applyAlignment="1" applyBorder="1" applyFont="1">
      <alignment horizontal="center" readingOrder="0" vertical="bottom"/>
    </xf>
    <xf borderId="17" fillId="14" fontId="8" numFmtId="0" xfId="0" applyAlignment="1" applyBorder="1" applyFill="1" applyFont="1">
      <alignment horizontal="center" vertical="bottom"/>
    </xf>
    <xf borderId="17" fillId="9" fontId="17" numFmtId="164" xfId="0" applyAlignment="1" applyBorder="1" applyFont="1" applyNumberFormat="1">
      <alignment horizontal="center" readingOrder="0" vertical="bottom"/>
    </xf>
    <xf borderId="20" fillId="14" fontId="8" numFmtId="0" xfId="0" applyAlignment="1" applyBorder="1" applyFont="1">
      <alignment horizontal="center" readingOrder="0" vertical="bottom"/>
    </xf>
    <xf borderId="17" fillId="9" fontId="18" numFmtId="164" xfId="0" applyAlignment="1" applyBorder="1" applyFont="1" applyNumberFormat="1">
      <alignment horizontal="center" readingOrder="0" vertical="bottom"/>
    </xf>
    <xf borderId="20" fillId="14" fontId="8" numFmtId="0" xfId="0" applyAlignment="1" applyBorder="1" applyFont="1">
      <alignment horizontal="center" vertical="bottom"/>
    </xf>
    <xf borderId="17" fillId="9" fontId="18" numFmtId="164" xfId="0" applyAlignment="1" applyBorder="1" applyFont="1" applyNumberFormat="1">
      <alignment horizontal="center"/>
    </xf>
    <xf borderId="17" fillId="9" fontId="14" numFmtId="164" xfId="0" applyAlignment="1" applyBorder="1" applyFont="1" applyNumberFormat="1">
      <alignment horizontal="center" readingOrder="0" vertical="bottom"/>
    </xf>
    <xf borderId="17" fillId="9" fontId="16" numFmtId="9" xfId="0" applyAlignment="1" applyBorder="1" applyFont="1" applyNumberFormat="1">
      <alignment horizontal="center" readingOrder="0" vertical="bottom"/>
    </xf>
    <xf borderId="23" fillId="14" fontId="7" numFmtId="164" xfId="0" applyAlignment="1" applyBorder="1" applyFont="1" applyNumberFormat="1">
      <alignment horizontal="center" readingOrder="0" vertical="bottom"/>
    </xf>
    <xf borderId="18" fillId="8" fontId="8" numFmtId="0" xfId="0" applyAlignment="1" applyBorder="1" applyFont="1">
      <alignment horizontal="right" readingOrder="0" vertical="bottom"/>
    </xf>
    <xf borderId="15" fillId="14" fontId="7" numFmtId="164" xfId="0" applyAlignment="1" applyBorder="1" applyFont="1" applyNumberFormat="1">
      <alignment horizontal="center" readingOrder="0" vertical="bottom"/>
    </xf>
    <xf borderId="3" fillId="0" fontId="1" numFmtId="0" xfId="0" applyAlignment="1" applyBorder="1" applyFont="1">
      <alignment vertical="bottom"/>
    </xf>
    <xf borderId="17" fillId="15" fontId="8" numFmtId="0" xfId="0" applyAlignment="1" applyBorder="1" applyFill="1" applyFont="1">
      <alignment horizontal="center" vertical="bottom"/>
    </xf>
    <xf borderId="20" fillId="15" fontId="8" numFmtId="0" xfId="0" applyAlignment="1" applyBorder="1" applyFont="1">
      <alignment horizontal="center" readingOrder="0" vertical="bottom"/>
    </xf>
    <xf borderId="20" fillId="15" fontId="8" numFmtId="0" xfId="0" applyAlignment="1" applyBorder="1" applyFont="1">
      <alignment horizontal="center" vertical="bottom"/>
    </xf>
    <xf borderId="21" fillId="0" fontId="1" numFmtId="0" xfId="0" applyAlignment="1" applyBorder="1" applyFont="1">
      <alignment vertical="bottom"/>
    </xf>
    <xf borderId="1" fillId="0" fontId="19" numFmtId="0" xfId="0" applyAlignment="1" applyBorder="1" applyFont="1">
      <alignment vertical="bottom"/>
    </xf>
    <xf borderId="23" fillId="15" fontId="7" numFmtId="164" xfId="0" applyAlignment="1" applyBorder="1" applyFont="1" applyNumberFormat="1">
      <alignment horizontal="center" readingOrder="0" vertical="bottom"/>
    </xf>
    <xf borderId="17" fillId="8" fontId="7" numFmtId="9" xfId="0" applyAlignment="1" applyBorder="1" applyFont="1" applyNumberFormat="1">
      <alignment horizontal="right" readingOrder="0" vertical="bottom"/>
    </xf>
    <xf borderId="15" fillId="15" fontId="7" numFmtId="164" xfId="0" applyAlignment="1" applyBorder="1" applyFont="1" applyNumberFormat="1">
      <alignment horizontal="center" readingOrder="0" vertical="bottom"/>
    </xf>
    <xf borderId="14" fillId="0" fontId="1" numFmtId="0" xfId="0" applyAlignment="1" applyBorder="1" applyFont="1">
      <alignment vertical="bottom"/>
    </xf>
    <xf borderId="6" fillId="0" fontId="19" numFmtId="0" xfId="0" applyAlignment="1" applyBorder="1" applyFont="1">
      <alignment vertical="bottom"/>
    </xf>
    <xf borderId="10" fillId="0" fontId="19" numFmtId="0" xfId="0" applyAlignment="1" applyBorder="1" applyFont="1">
      <alignment vertical="bottom"/>
    </xf>
    <xf borderId="17" fillId="7" fontId="7" numFmtId="0" xfId="0" applyAlignment="1" applyBorder="1" applyFont="1">
      <alignment horizontal="center" vertical="bottom"/>
    </xf>
    <xf borderId="18" fillId="9" fontId="20" numFmtId="0" xfId="0" applyAlignment="1" applyBorder="1" applyFont="1">
      <alignment readingOrder="0" vertical="bottom"/>
    </xf>
    <xf borderId="17" fillId="16" fontId="8" numFmtId="0" xfId="0" applyAlignment="1" applyBorder="1" applyFill="1" applyFont="1">
      <alignment horizontal="center" vertical="bottom"/>
    </xf>
    <xf borderId="7" fillId="0" fontId="19" numFmtId="0" xfId="0" applyAlignment="1" applyBorder="1" applyFont="1">
      <alignment vertical="bottom"/>
    </xf>
    <xf borderId="20" fillId="16" fontId="8" numFmtId="0" xfId="0" applyAlignment="1" applyBorder="1" applyFont="1">
      <alignment horizontal="center" readingOrder="0" vertical="bottom"/>
    </xf>
    <xf borderId="21" fillId="0" fontId="21" numFmtId="0" xfId="0" applyAlignment="1" applyBorder="1" applyFont="1">
      <alignment horizontal="center" readingOrder="0" vertical="center"/>
    </xf>
    <xf borderId="20" fillId="16" fontId="8" numFmtId="0" xfId="0" applyAlignment="1" applyBorder="1" applyFont="1">
      <alignment horizontal="center" vertical="bottom"/>
    </xf>
    <xf borderId="17" fillId="0" fontId="7" numFmtId="0" xfId="0" applyAlignment="1" applyBorder="1" applyFont="1">
      <alignment horizontal="center" vertical="bottom"/>
    </xf>
    <xf borderId="23" fillId="16" fontId="7" numFmtId="164" xfId="0" applyAlignment="1" applyBorder="1" applyFont="1" applyNumberFormat="1">
      <alignment horizontal="center" readingOrder="0" vertical="bottom"/>
    </xf>
    <xf borderId="17" fillId="0" fontId="7" numFmtId="164" xfId="0" applyAlignment="1" applyBorder="1" applyFont="1" applyNumberFormat="1">
      <alignment horizontal="center" vertical="bottom"/>
    </xf>
    <xf borderId="15" fillId="16" fontId="7" numFmtId="164" xfId="0" applyAlignment="1" applyBorder="1" applyFont="1" applyNumberFormat="1">
      <alignment horizontal="center" readingOrder="0" vertical="bottom"/>
    </xf>
    <xf borderId="17" fillId="8" fontId="7" numFmtId="164" xfId="0" applyAlignment="1" applyBorder="1" applyFont="1" applyNumberFormat="1">
      <alignment horizontal="center" vertical="bottom"/>
    </xf>
    <xf borderId="18" fillId="9" fontId="22" numFmtId="0" xfId="0" applyAlignment="1" applyBorder="1" applyFont="1">
      <alignment horizontal="left" readingOrder="0" vertical="bottom"/>
    </xf>
    <xf borderId="7" fillId="0" fontId="22" numFmtId="0" xfId="0" applyAlignment="1" applyBorder="1" applyFont="1">
      <alignment horizontal="left" readingOrder="0" vertical="bottom"/>
    </xf>
    <xf borderId="24" fillId="6" fontId="6" numFmtId="0" xfId="0" applyAlignment="1" applyBorder="1" applyFont="1">
      <alignment horizontal="center" readingOrder="0" vertical="center"/>
    </xf>
    <xf borderId="25" fillId="0" fontId="1" numFmtId="0" xfId="0" applyBorder="1" applyFont="1"/>
    <xf borderId="26" fillId="0" fontId="1" numFmtId="0" xfId="0" applyBorder="1" applyFont="1"/>
    <xf borderId="18" fillId="9" fontId="14" numFmtId="0" xfId="0" applyAlignment="1" applyBorder="1" applyFont="1">
      <alignment readingOrder="0"/>
    </xf>
    <xf borderId="7" fillId="0" fontId="22" numFmtId="0" xfId="0" applyAlignment="1" applyBorder="1" applyFont="1">
      <alignment horizontal="left" readingOrder="0" shrinkToFit="0" vertical="bottom" wrapText="1"/>
    </xf>
    <xf borderId="17" fillId="0" fontId="23" numFmtId="0" xfId="0" applyAlignment="1" applyBorder="1" applyFont="1">
      <alignment horizontal="center" readingOrder="0" vertical="center"/>
    </xf>
    <xf borderId="20" fillId="0" fontId="23" numFmtId="0" xfId="0" applyAlignment="1" applyBorder="1" applyFont="1">
      <alignment horizontal="center" readingOrder="0" vertical="center"/>
    </xf>
    <xf borderId="18" fillId="0" fontId="7" numFmtId="0" xfId="0" applyAlignment="1" applyBorder="1" applyFont="1">
      <alignment horizontal="center" readingOrder="0" vertical="center"/>
    </xf>
    <xf borderId="17" fillId="9" fontId="7" numFmtId="0" xfId="0" applyAlignment="1" applyBorder="1" applyFont="1">
      <alignment horizontal="center" vertical="bottom"/>
    </xf>
    <xf borderId="17" fillId="17" fontId="8" numFmtId="0" xfId="0" applyAlignment="1" applyBorder="1" applyFill="1" applyFont="1">
      <alignment horizontal="center" vertical="bottom"/>
    </xf>
    <xf borderId="17" fillId="9" fontId="7" numFmtId="164" xfId="0" applyAlignment="1" applyBorder="1" applyFont="1" applyNumberFormat="1">
      <alignment horizontal="center" vertical="bottom"/>
    </xf>
    <xf borderId="20" fillId="17" fontId="8" numFmtId="0" xfId="0" applyAlignment="1" applyBorder="1" applyFont="1">
      <alignment horizontal="center" readingOrder="0" vertical="bottom"/>
    </xf>
    <xf borderId="18" fillId="9" fontId="22" numFmtId="0" xfId="0" applyAlignment="1" applyBorder="1" applyFont="1">
      <alignment horizontal="left" readingOrder="0" shrinkToFit="0" vertical="bottom" wrapText="1"/>
    </xf>
    <xf borderId="20" fillId="17" fontId="8" numFmtId="0" xfId="0" applyAlignment="1" applyBorder="1" applyFont="1">
      <alignment horizontal="center" vertical="bottom"/>
    </xf>
    <xf borderId="17" fillId="0" fontId="21" numFmtId="0" xfId="0" applyAlignment="1" applyBorder="1" applyFont="1">
      <alignment horizontal="center" readingOrder="0" vertical="center"/>
    </xf>
    <xf borderId="17" fillId="0" fontId="21" numFmtId="164" xfId="0" applyAlignment="1" applyBorder="1" applyFont="1" applyNumberFormat="1">
      <alignment horizontal="center" readingOrder="0" vertical="center"/>
    </xf>
    <xf borderId="20" fillId="0" fontId="21" numFmtId="0" xfId="0" applyAlignment="1" applyBorder="1" applyFont="1">
      <alignment horizontal="center" readingOrder="0" vertical="center"/>
    </xf>
    <xf borderId="18" fillId="0" fontId="21" numFmtId="164" xfId="0" applyAlignment="1" applyBorder="1" applyFont="1" applyNumberFormat="1">
      <alignment horizontal="center" readingOrder="0" vertical="center"/>
    </xf>
    <xf borderId="23" fillId="17" fontId="7" numFmtId="164" xfId="0" applyAlignment="1" applyBorder="1" applyFont="1" applyNumberFormat="1">
      <alignment horizontal="center" readingOrder="0" vertical="bottom"/>
    </xf>
    <xf borderId="15" fillId="17" fontId="7" numFmtId="164" xfId="0" applyAlignment="1" applyBorder="1" applyFont="1" applyNumberFormat="1">
      <alignment horizontal="center" readingOrder="0" vertical="bottom"/>
    </xf>
    <xf borderId="17" fillId="0" fontId="21" numFmtId="3" xfId="0" applyAlignment="1" applyBorder="1" applyFont="1" applyNumberFormat="1">
      <alignment horizontal="center" readingOrder="0" vertical="center"/>
    </xf>
    <xf borderId="22" fillId="0" fontId="22" numFmtId="0" xfId="0" applyAlignment="1" applyBorder="1" applyFont="1">
      <alignment horizontal="left" readingOrder="0" shrinkToFit="0" vertical="bottom" wrapText="1"/>
    </xf>
    <xf borderId="12" fillId="0" fontId="21" numFmtId="0" xfId="0" applyAlignment="1" applyBorder="1" applyFont="1">
      <alignment horizontal="center" readingOrder="0" vertical="center"/>
    </xf>
    <xf borderId="12" fillId="0" fontId="1" numFmtId="0" xfId="0" applyAlignment="1" applyBorder="1" applyFont="1">
      <alignment readingOrder="0"/>
    </xf>
    <xf borderId="1" fillId="0" fontId="22" numFmtId="0" xfId="0" applyAlignment="1" applyBorder="1" applyFont="1">
      <alignment horizontal="left" readingOrder="0" shrinkToFit="0" vertical="bottom" wrapText="1"/>
    </xf>
    <xf borderId="17" fillId="0" fontId="10" numFmtId="0" xfId="0" applyAlignment="1" applyBorder="1" applyFont="1">
      <alignment readingOrder="0"/>
    </xf>
    <xf borderId="5" fillId="0" fontId="22" numFmtId="0" xfId="0" applyAlignment="1" applyBorder="1" applyFont="1">
      <alignment horizontal="left" readingOrder="0" shrinkToFit="0" vertical="bottom" wrapText="1"/>
    </xf>
    <xf borderId="17" fillId="0" fontId="10" numFmtId="164" xfId="0" applyAlignment="1" applyBorder="1" applyFont="1" applyNumberFormat="1">
      <alignment horizontal="lef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7</xdr:col>
      <xdr:colOff>571500</xdr:colOff>
      <xdr:row>2</xdr:row>
      <xdr:rowOff>19050</xdr:rowOff>
    </xdr:from>
    <xdr:ext cx="3048000" cy="63817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7</xdr:col>
      <xdr:colOff>571500</xdr:colOff>
      <xdr:row>2</xdr:row>
      <xdr:rowOff>19050</xdr:rowOff>
    </xdr:from>
    <xdr:ext cx="3048000" cy="63817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8.43"/>
    <col customWidth="1" min="3" max="3" width="25.43"/>
    <col customWidth="1" min="4" max="4" width="31.14"/>
    <col customWidth="1" min="5" max="5" width="9.0"/>
    <col customWidth="1" min="6" max="6" width="14.43"/>
    <col customWidth="1" min="7" max="7" width="21.57"/>
    <col customWidth="1" min="8" max="8" width="20.71"/>
    <col customWidth="1" min="9" max="9" width="26.14"/>
    <col customWidth="1" min="10" max="11" width="16.14"/>
    <col customWidth="1" min="13" max="13" width="8.71"/>
    <col customWidth="1" min="14" max="14" width="14.57"/>
    <col customWidth="1" min="15" max="15" width="23.57"/>
    <col customWidth="1" min="16" max="16" width="38.0"/>
    <col customWidth="1" min="17" max="17" width="33.29"/>
    <col customWidth="1" min="18" max="18" width="18.43"/>
    <col customWidth="1" min="19" max="19" width="23.57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>
      <c r="A2" s="1"/>
      <c r="B2" s="1"/>
      <c r="C2" s="1"/>
      <c r="D2" s="1"/>
      <c r="E2" s="1"/>
      <c r="F2" s="2"/>
      <c r="G2" s="3"/>
      <c r="H2" s="3"/>
      <c r="I2" s="3"/>
      <c r="J2" s="3"/>
      <c r="K2" s="3"/>
      <c r="L2" s="4"/>
      <c r="M2" s="1"/>
      <c r="N2" s="5"/>
      <c r="O2" s="5"/>
      <c r="P2" s="5"/>
      <c r="Q2" s="5"/>
      <c r="R2" s="5"/>
      <c r="S2" s="5"/>
      <c r="T2" s="6"/>
      <c r="U2" s="1"/>
    </row>
    <row r="3">
      <c r="A3" s="1"/>
      <c r="B3" s="7" t="s">
        <v>0</v>
      </c>
      <c r="C3" s="9"/>
      <c r="D3" s="9"/>
      <c r="E3" s="1"/>
      <c r="F3" s="11"/>
      <c r="L3" s="14"/>
      <c r="M3" s="1"/>
      <c r="N3" s="5"/>
      <c r="O3" s="5"/>
      <c r="P3" s="5"/>
      <c r="Q3" s="5"/>
      <c r="R3" s="5"/>
      <c r="S3" s="5"/>
      <c r="T3" s="6"/>
      <c r="U3" s="1"/>
    </row>
    <row r="4">
      <c r="A4" s="1"/>
      <c r="B4" s="16" t="s">
        <v>5</v>
      </c>
      <c r="C4" s="17"/>
      <c r="D4" s="17"/>
      <c r="E4" s="1"/>
      <c r="F4" s="11"/>
      <c r="L4" s="14"/>
      <c r="M4" s="18"/>
      <c r="N4" s="21" t="s">
        <v>6</v>
      </c>
      <c r="O4" s="23"/>
      <c r="P4" s="23"/>
      <c r="Q4" s="23"/>
      <c r="R4" s="23"/>
      <c r="S4" s="25"/>
      <c r="T4" s="6"/>
      <c r="U4" s="1"/>
    </row>
    <row r="5">
      <c r="A5" s="1"/>
      <c r="B5" s="1"/>
      <c r="C5" s="1"/>
      <c r="D5" s="1"/>
      <c r="E5" s="1"/>
      <c r="F5" s="11"/>
      <c r="L5" s="14"/>
      <c r="M5" s="18"/>
      <c r="N5" s="27" t="s">
        <v>7</v>
      </c>
      <c r="O5" s="27" t="s">
        <v>9</v>
      </c>
      <c r="P5" s="27" t="s">
        <v>10</v>
      </c>
      <c r="Q5" s="27" t="s">
        <v>11</v>
      </c>
      <c r="R5" s="27" t="s">
        <v>12</v>
      </c>
      <c r="S5" s="27" t="s">
        <v>13</v>
      </c>
      <c r="T5" s="6"/>
      <c r="U5" s="1"/>
    </row>
    <row r="6">
      <c r="A6" s="1"/>
      <c r="B6" s="20"/>
      <c r="C6" s="20"/>
      <c r="D6" s="20"/>
      <c r="E6" s="1"/>
      <c r="F6" s="22"/>
      <c r="G6" s="24"/>
      <c r="H6" s="24"/>
      <c r="I6" s="24"/>
      <c r="J6" s="24"/>
      <c r="K6" s="24"/>
      <c r="L6" s="26"/>
      <c r="M6" s="18"/>
      <c r="N6" s="30" t="s">
        <v>15</v>
      </c>
      <c r="O6" s="33">
        <f t="shared" ref="O6:O9" si="1">G13</f>
        <v>45</v>
      </c>
      <c r="P6" s="39">
        <f t="shared" ref="P6:P9" si="2">J13</f>
        <v>21.504</v>
      </c>
      <c r="Q6" s="39">
        <f t="shared" ref="Q6:Q9" si="3">P6/10</f>
        <v>2.1504</v>
      </c>
      <c r="R6" s="42">
        <f t="shared" ref="R6:R9" si="4">P6/P6</f>
        <v>1</v>
      </c>
      <c r="S6" s="33">
        <f t="shared" ref="S6:S9" si="5">O6</f>
        <v>45</v>
      </c>
      <c r="T6" s="44"/>
      <c r="U6" s="1"/>
    </row>
    <row r="7">
      <c r="A7" s="18"/>
      <c r="B7" s="29" t="s">
        <v>8</v>
      </c>
      <c r="C7" s="32"/>
      <c r="D7" s="32"/>
      <c r="E7" s="34"/>
      <c r="F7" s="36" t="s">
        <v>16</v>
      </c>
      <c r="G7" s="38"/>
      <c r="H7" s="38"/>
      <c r="I7" s="38"/>
      <c r="J7" s="38"/>
      <c r="K7" s="38"/>
      <c r="L7" s="41"/>
      <c r="M7" s="34"/>
      <c r="N7" s="30" t="s">
        <v>29</v>
      </c>
      <c r="O7" s="33">
        <f t="shared" si="1"/>
        <v>52.6</v>
      </c>
      <c r="P7" s="39">
        <f t="shared" si="2"/>
        <v>28.5264</v>
      </c>
      <c r="Q7" s="39">
        <f t="shared" si="3"/>
        <v>2.85264</v>
      </c>
      <c r="R7" s="42">
        <f t="shared" si="4"/>
        <v>1</v>
      </c>
      <c r="S7" s="33">
        <f t="shared" si="5"/>
        <v>52.6</v>
      </c>
      <c r="T7" s="6"/>
      <c r="U7" s="6"/>
    </row>
    <row r="8">
      <c r="A8" s="18"/>
      <c r="B8" s="43" t="s">
        <v>25</v>
      </c>
      <c r="C8" s="41"/>
      <c r="D8" s="45" t="s">
        <v>28</v>
      </c>
      <c r="E8" s="47"/>
      <c r="F8" s="27" t="s">
        <v>7</v>
      </c>
      <c r="G8" s="27" t="s">
        <v>9</v>
      </c>
      <c r="H8" s="27" t="s">
        <v>30</v>
      </c>
      <c r="I8" s="27" t="s">
        <v>31</v>
      </c>
      <c r="J8" s="27" t="s">
        <v>32</v>
      </c>
      <c r="K8" s="27" t="s">
        <v>33</v>
      </c>
      <c r="L8" s="27" t="s">
        <v>34</v>
      </c>
      <c r="M8" s="34"/>
      <c r="N8" s="50" t="s">
        <v>38</v>
      </c>
      <c r="O8" s="52">
        <f t="shared" si="1"/>
        <v>55</v>
      </c>
      <c r="P8" s="52">
        <f t="shared" si="2"/>
        <v>30.744</v>
      </c>
      <c r="Q8" s="52">
        <f t="shared" si="3"/>
        <v>3.0744</v>
      </c>
      <c r="R8" s="56">
        <f t="shared" si="4"/>
        <v>1</v>
      </c>
      <c r="S8" s="52">
        <f t="shared" si="5"/>
        <v>55</v>
      </c>
      <c r="T8" s="44"/>
      <c r="U8" s="1"/>
    </row>
    <row r="9">
      <c r="A9" s="18"/>
      <c r="B9" s="55">
        <v>20.0</v>
      </c>
      <c r="C9" s="41"/>
      <c r="D9" s="58">
        <f>B9*2.75</f>
        <v>55</v>
      </c>
      <c r="E9" s="34"/>
      <c r="F9" s="59" t="s">
        <v>53</v>
      </c>
      <c r="G9" s="61">
        <f>B9*1.25</f>
        <v>25</v>
      </c>
      <c r="H9" s="62">
        <f>(B9*D12)+(G9*D13)+(G9*D14)+(G9*D15)+(G9*D16)+B9</f>
        <v>21.976</v>
      </c>
      <c r="I9" s="64">
        <f>G9*D19</f>
        <v>2</v>
      </c>
      <c r="J9" s="66">
        <f t="shared" ref="J9:J20" si="6">I9+K9</f>
        <v>3.024</v>
      </c>
      <c r="K9" s="66">
        <f t="shared" ref="K9:K20" si="7">G9-H9-I9</f>
        <v>1.024</v>
      </c>
      <c r="L9" s="67">
        <f t="shared" ref="L9:L20" si="8">(K9/G9)</f>
        <v>0.04096</v>
      </c>
      <c r="M9" s="34"/>
      <c r="N9" s="30" t="s">
        <v>61</v>
      </c>
      <c r="O9" s="33">
        <f t="shared" si="1"/>
        <v>60</v>
      </c>
      <c r="P9" s="39">
        <f t="shared" si="2"/>
        <v>35.364</v>
      </c>
      <c r="Q9" s="39">
        <f t="shared" si="3"/>
        <v>3.5364</v>
      </c>
      <c r="R9" s="42">
        <f t="shared" si="4"/>
        <v>1</v>
      </c>
      <c r="S9" s="33">
        <f t="shared" si="5"/>
        <v>60</v>
      </c>
      <c r="T9" s="6"/>
      <c r="U9" s="1"/>
    </row>
    <row r="10">
      <c r="A10" s="1"/>
      <c r="B10" s="69"/>
      <c r="D10" s="14"/>
      <c r="E10" s="18"/>
      <c r="F10" s="59" t="s">
        <v>62</v>
      </c>
      <c r="G10" s="61">
        <f>B9*1.5</f>
        <v>30</v>
      </c>
      <c r="H10" s="62">
        <f>(B9*D12)+(G10*D13)+(G10*D14)+(G10*D15)+(G10*D16)+B9</f>
        <v>22.356</v>
      </c>
      <c r="I10" s="64">
        <f>G10*D19</f>
        <v>2.4</v>
      </c>
      <c r="J10" s="66">
        <f t="shared" si="6"/>
        <v>7.644</v>
      </c>
      <c r="K10" s="66">
        <f t="shared" si="7"/>
        <v>5.244</v>
      </c>
      <c r="L10" s="67">
        <f t="shared" si="8"/>
        <v>0.1748</v>
      </c>
      <c r="M10" s="34"/>
      <c r="N10" s="72"/>
      <c r="O10" s="72"/>
      <c r="P10" s="72"/>
      <c r="Q10" s="72"/>
      <c r="R10" s="72"/>
      <c r="S10" s="74"/>
      <c r="T10" s="44"/>
      <c r="U10" s="1"/>
    </row>
    <row r="11">
      <c r="A11" s="18"/>
      <c r="B11" s="75" t="s">
        <v>63</v>
      </c>
      <c r="C11" s="38"/>
      <c r="D11" s="41"/>
      <c r="E11" s="34"/>
      <c r="F11" s="59" t="s">
        <v>64</v>
      </c>
      <c r="G11" s="61">
        <f>B9*1.75</f>
        <v>35</v>
      </c>
      <c r="H11" s="62">
        <f>(B9*D12)+(G11*D13)+(G11*D14)+(G11*D15)+(G11*D16)+B9</f>
        <v>22.736</v>
      </c>
      <c r="I11" s="64">
        <f>G11*D19</f>
        <v>2.8</v>
      </c>
      <c r="J11" s="66">
        <f t="shared" si="6"/>
        <v>12.264</v>
      </c>
      <c r="K11" s="66">
        <f t="shared" si="7"/>
        <v>9.464</v>
      </c>
      <c r="L11" s="67">
        <f t="shared" si="8"/>
        <v>0.2704</v>
      </c>
      <c r="M11" s="34"/>
      <c r="N11" s="77"/>
      <c r="O11" s="77"/>
      <c r="P11" s="77"/>
      <c r="Q11" s="77"/>
      <c r="R11" s="77"/>
      <c r="S11" s="44"/>
      <c r="T11" s="6"/>
      <c r="U11" s="1"/>
    </row>
    <row r="12">
      <c r="A12" s="1"/>
      <c r="B12" s="79" t="s">
        <v>65</v>
      </c>
      <c r="C12" s="41"/>
      <c r="D12" s="81">
        <v>0.0038</v>
      </c>
      <c r="E12" s="18"/>
      <c r="F12" s="59" t="s">
        <v>66</v>
      </c>
      <c r="G12" s="61">
        <f>B9*2</f>
        <v>40</v>
      </c>
      <c r="H12" s="62">
        <f>(B9*D12)+(G12*D13)+(G12*D14)+(G12*D15)+(G12*D16)+B9</f>
        <v>23.116</v>
      </c>
      <c r="I12" s="64">
        <f>G12*D19</f>
        <v>3.2</v>
      </c>
      <c r="J12" s="66">
        <f t="shared" si="6"/>
        <v>16.884</v>
      </c>
      <c r="K12" s="66">
        <f t="shared" si="7"/>
        <v>13.684</v>
      </c>
      <c r="L12" s="67">
        <f t="shared" si="8"/>
        <v>0.3421</v>
      </c>
      <c r="M12" s="34"/>
      <c r="N12" s="36" t="s">
        <v>67</v>
      </c>
      <c r="O12" s="38"/>
      <c r="P12" s="38"/>
      <c r="Q12" s="38"/>
      <c r="R12" s="38"/>
      <c r="S12" s="41"/>
      <c r="T12" s="44"/>
      <c r="U12" s="1"/>
    </row>
    <row r="13">
      <c r="A13" s="18"/>
      <c r="B13" s="79" t="s">
        <v>68</v>
      </c>
      <c r="C13" s="41"/>
      <c r="D13" s="81">
        <v>0.01</v>
      </c>
      <c r="E13" s="34"/>
      <c r="F13" s="83" t="s">
        <v>15</v>
      </c>
      <c r="G13" s="84">
        <f>B9*2.25</f>
        <v>45</v>
      </c>
      <c r="H13" s="86">
        <f>(B9*D12)+(G13*D13)+(G13*D14)+(G13*D15)+(G13*D16)+B9</f>
        <v>23.496</v>
      </c>
      <c r="I13" s="88">
        <f>G13*D19</f>
        <v>3.6</v>
      </c>
      <c r="J13" s="66">
        <f t="shared" si="6"/>
        <v>21.504</v>
      </c>
      <c r="K13" s="90">
        <f t="shared" si="7"/>
        <v>17.904</v>
      </c>
      <c r="L13" s="92">
        <f t="shared" si="8"/>
        <v>0.3978666667</v>
      </c>
      <c r="M13" s="34"/>
      <c r="N13" s="27" t="s">
        <v>7</v>
      </c>
      <c r="O13" s="27" t="s">
        <v>9</v>
      </c>
      <c r="P13" s="27" t="s">
        <v>10</v>
      </c>
      <c r="Q13" s="27" t="s">
        <v>11</v>
      </c>
      <c r="R13" s="27" t="s">
        <v>12</v>
      </c>
      <c r="S13" s="27" t="s">
        <v>13</v>
      </c>
      <c r="T13" s="6"/>
      <c r="U13" s="6"/>
    </row>
    <row r="14">
      <c r="A14" s="18"/>
      <c r="B14" s="79" t="s">
        <v>70</v>
      </c>
      <c r="C14" s="41"/>
      <c r="D14" s="81">
        <v>0.05</v>
      </c>
      <c r="E14" s="34"/>
      <c r="F14" s="83" t="s">
        <v>29</v>
      </c>
      <c r="G14" s="84">
        <f>B9*2.63</f>
        <v>52.6</v>
      </c>
      <c r="H14" s="86">
        <f>(B9*D12)+(G14*D13)+(G14*D14)+(G14*D15)+(G14*D16)+B9</f>
        <v>24.0736</v>
      </c>
      <c r="I14" s="88">
        <f>G14*D19</f>
        <v>4.208</v>
      </c>
      <c r="J14" s="66">
        <f t="shared" si="6"/>
        <v>28.5264</v>
      </c>
      <c r="K14" s="90">
        <f t="shared" si="7"/>
        <v>24.3184</v>
      </c>
      <c r="L14" s="92">
        <f t="shared" si="8"/>
        <v>0.4623269962</v>
      </c>
      <c r="M14" s="34"/>
      <c r="N14" s="30" t="s">
        <v>15</v>
      </c>
      <c r="O14" s="33">
        <f t="shared" ref="O14:O17" si="9">O6</f>
        <v>45</v>
      </c>
      <c r="P14" s="39">
        <f t="shared" ref="P14:P17" si="10">P6*2</f>
        <v>43.008</v>
      </c>
      <c r="Q14" s="39">
        <f t="shared" ref="Q14:Q17" si="11">P14/10</f>
        <v>4.3008</v>
      </c>
      <c r="R14" s="42">
        <v>2.0</v>
      </c>
      <c r="S14" s="33">
        <f t="shared" ref="S14:S17" si="12">O14*2</f>
        <v>90</v>
      </c>
      <c r="T14" s="44"/>
      <c r="U14" s="6"/>
    </row>
    <row r="15">
      <c r="A15" s="18"/>
      <c r="B15" s="79" t="s">
        <v>71</v>
      </c>
      <c r="C15" s="41"/>
      <c r="D15" s="81">
        <v>0.016</v>
      </c>
      <c r="E15" s="34"/>
      <c r="F15" s="93" t="s">
        <v>38</v>
      </c>
      <c r="G15" s="95">
        <f>B9*2.75</f>
        <v>55</v>
      </c>
      <c r="H15" s="97">
        <f>(B9*D12)+(G15*D13)+(G15*D14)+(G15*D15)+(G15*D16)+B9</f>
        <v>24.256</v>
      </c>
      <c r="I15" s="99">
        <f>G15*D19</f>
        <v>4.4</v>
      </c>
      <c r="J15" s="100">
        <f t="shared" si="6"/>
        <v>30.744</v>
      </c>
      <c r="K15" s="97">
        <f t="shared" si="7"/>
        <v>26.344</v>
      </c>
      <c r="L15" s="101">
        <f t="shared" si="8"/>
        <v>0.4789818182</v>
      </c>
      <c r="M15" s="34"/>
      <c r="N15" s="30" t="s">
        <v>29</v>
      </c>
      <c r="O15" s="33">
        <f t="shared" si="9"/>
        <v>52.6</v>
      </c>
      <c r="P15" s="39">
        <f t="shared" si="10"/>
        <v>57.0528</v>
      </c>
      <c r="Q15" s="39">
        <f t="shared" si="11"/>
        <v>5.70528</v>
      </c>
      <c r="R15" s="42">
        <v>2.0</v>
      </c>
      <c r="S15" s="33">
        <f t="shared" si="12"/>
        <v>105.2</v>
      </c>
      <c r="T15" s="6"/>
      <c r="U15" s="6"/>
    </row>
    <row r="16">
      <c r="A16" s="18"/>
      <c r="B16" s="103" t="s">
        <v>73</v>
      </c>
      <c r="C16" s="41"/>
      <c r="D16" s="81">
        <v>0.0</v>
      </c>
      <c r="E16" s="105"/>
      <c r="F16" s="83" t="s">
        <v>61</v>
      </c>
      <c r="G16" s="84">
        <f>B9*3</f>
        <v>60</v>
      </c>
      <c r="H16" s="86">
        <f>(B9*D12)+(G16*D13)+(G16*D14)+(G16*D15)+(G16*D16)+B9</f>
        <v>24.636</v>
      </c>
      <c r="I16" s="88">
        <f>G16*D19</f>
        <v>4.8</v>
      </c>
      <c r="J16" s="66">
        <f t="shared" si="6"/>
        <v>35.364</v>
      </c>
      <c r="K16" s="90">
        <f t="shared" si="7"/>
        <v>30.564</v>
      </c>
      <c r="L16" s="92">
        <f t="shared" si="8"/>
        <v>0.5094</v>
      </c>
      <c r="M16" s="34"/>
      <c r="N16" s="50" t="s">
        <v>38</v>
      </c>
      <c r="O16" s="52">
        <f t="shared" si="9"/>
        <v>55</v>
      </c>
      <c r="P16" s="52">
        <f t="shared" si="10"/>
        <v>61.488</v>
      </c>
      <c r="Q16" s="52">
        <f t="shared" si="11"/>
        <v>6.1488</v>
      </c>
      <c r="R16" s="56">
        <v>2.0</v>
      </c>
      <c r="S16" s="52">
        <f t="shared" si="12"/>
        <v>110</v>
      </c>
      <c r="T16" s="44"/>
      <c r="U16" s="6"/>
    </row>
    <row r="17">
      <c r="A17" s="18"/>
      <c r="B17" s="77"/>
      <c r="C17" s="77"/>
      <c r="D17" s="77"/>
      <c r="E17" s="34"/>
      <c r="F17" s="59" t="s">
        <v>74</v>
      </c>
      <c r="G17" s="61">
        <f>B9*3.25</f>
        <v>65</v>
      </c>
      <c r="H17" s="62">
        <f>(B9*D12)+(G17*D13)+(G17*D14)+(G17*D15)+(G17*D16)+B9</f>
        <v>25.016</v>
      </c>
      <c r="I17" s="64">
        <f>G17*D19</f>
        <v>5.2</v>
      </c>
      <c r="J17" s="66">
        <f t="shared" si="6"/>
        <v>39.984</v>
      </c>
      <c r="K17" s="66">
        <f t="shared" si="7"/>
        <v>34.784</v>
      </c>
      <c r="L17" s="67">
        <f t="shared" si="8"/>
        <v>0.5351384615</v>
      </c>
      <c r="M17" s="34"/>
      <c r="N17" s="30" t="s">
        <v>61</v>
      </c>
      <c r="O17" s="33">
        <f t="shared" si="9"/>
        <v>60</v>
      </c>
      <c r="P17" s="39">
        <f t="shared" si="10"/>
        <v>70.728</v>
      </c>
      <c r="Q17" s="39">
        <f t="shared" si="11"/>
        <v>7.0728</v>
      </c>
      <c r="R17" s="42">
        <v>2.0</v>
      </c>
      <c r="S17" s="33">
        <f t="shared" si="12"/>
        <v>120</v>
      </c>
      <c r="T17" s="6"/>
      <c r="U17" s="1"/>
    </row>
    <row r="18">
      <c r="A18" s="18"/>
      <c r="B18" s="75" t="s">
        <v>75</v>
      </c>
      <c r="C18" s="38"/>
      <c r="D18" s="41"/>
      <c r="E18" s="34"/>
      <c r="F18" s="59" t="s">
        <v>76</v>
      </c>
      <c r="G18" s="61">
        <f>B9*3.5</f>
        <v>70</v>
      </c>
      <c r="H18" s="62">
        <f>(B9*D12)+(G18*D13)+(G18*D14)+(G18*D15)+(G18*D16)+B9</f>
        <v>25.396</v>
      </c>
      <c r="I18" s="64">
        <f>G18*D19</f>
        <v>5.6</v>
      </c>
      <c r="J18" s="66">
        <f t="shared" si="6"/>
        <v>44.604</v>
      </c>
      <c r="K18" s="66">
        <f t="shared" si="7"/>
        <v>39.004</v>
      </c>
      <c r="L18" s="67">
        <f t="shared" si="8"/>
        <v>0.5572</v>
      </c>
      <c r="M18" s="34"/>
      <c r="S18" s="109"/>
      <c r="T18" s="44"/>
      <c r="U18" s="1"/>
    </row>
    <row r="19">
      <c r="A19" s="110"/>
      <c r="B19" s="103" t="s">
        <v>77</v>
      </c>
      <c r="C19" s="41"/>
      <c r="D19" s="112">
        <v>0.08</v>
      </c>
      <c r="E19" s="114"/>
      <c r="F19" s="59" t="s">
        <v>79</v>
      </c>
      <c r="G19" s="61">
        <f>B9*3.75</f>
        <v>75</v>
      </c>
      <c r="H19" s="62">
        <f>(B9*D12)+(G19*D13)+(G19*D14)+(G19*D15)+(G19*D16)+B9</f>
        <v>25.776</v>
      </c>
      <c r="I19" s="64">
        <f>G19*D19</f>
        <v>6</v>
      </c>
      <c r="J19" s="66">
        <f t="shared" si="6"/>
        <v>49.224</v>
      </c>
      <c r="K19" s="66">
        <f t="shared" si="7"/>
        <v>43.224</v>
      </c>
      <c r="L19" s="67">
        <f t="shared" si="8"/>
        <v>0.57632</v>
      </c>
      <c r="M19" s="34"/>
      <c r="N19" s="36" t="s">
        <v>80</v>
      </c>
      <c r="O19" s="38"/>
      <c r="P19" s="38"/>
      <c r="Q19" s="38"/>
      <c r="R19" s="38"/>
      <c r="S19" s="41"/>
      <c r="T19" s="6"/>
      <c r="U19" s="1"/>
    </row>
    <row r="20">
      <c r="A20" s="115"/>
      <c r="B20" s="116"/>
      <c r="C20" s="116"/>
      <c r="D20" s="116"/>
      <c r="E20" s="34"/>
      <c r="F20" s="59" t="s">
        <v>81</v>
      </c>
      <c r="G20" s="61">
        <f>B9*4</f>
        <v>80</v>
      </c>
      <c r="H20" s="62">
        <f>(B9*D12)+(G20*D13)+(G20*D14)+(G20*D15)+(G20*D16)+B9</f>
        <v>26.156</v>
      </c>
      <c r="I20" s="64">
        <f>G20*D19</f>
        <v>6.4</v>
      </c>
      <c r="J20" s="66">
        <f t="shared" si="6"/>
        <v>53.844</v>
      </c>
      <c r="K20" s="66">
        <f t="shared" si="7"/>
        <v>47.444</v>
      </c>
      <c r="L20" s="67">
        <f t="shared" si="8"/>
        <v>0.59305</v>
      </c>
      <c r="M20" s="34"/>
      <c r="N20" s="117" t="s">
        <v>7</v>
      </c>
      <c r="O20" s="117" t="s">
        <v>9</v>
      </c>
      <c r="P20" s="117" t="s">
        <v>10</v>
      </c>
      <c r="Q20" s="27" t="s">
        <v>11</v>
      </c>
      <c r="R20" s="117" t="s">
        <v>12</v>
      </c>
      <c r="S20" s="27" t="s">
        <v>13</v>
      </c>
      <c r="T20" s="44"/>
      <c r="U20" s="1"/>
    </row>
    <row r="21">
      <c r="A21" s="115"/>
      <c r="B21" s="118" t="s">
        <v>83</v>
      </c>
      <c r="C21" s="38"/>
      <c r="D21" s="41"/>
      <c r="E21" s="120"/>
      <c r="F21" s="70"/>
      <c r="G21" s="122"/>
      <c r="H21" s="122"/>
      <c r="I21" s="122"/>
      <c r="J21" s="122"/>
      <c r="K21" s="122"/>
      <c r="L21" s="122"/>
      <c r="M21" s="34"/>
      <c r="N21" s="124" t="s">
        <v>15</v>
      </c>
      <c r="O21" s="126">
        <f t="shared" ref="O21:O24" si="13">O14</f>
        <v>45</v>
      </c>
      <c r="P21" s="128">
        <f t="shared" ref="P21:P24" si="14">P6*3</f>
        <v>64.512</v>
      </c>
      <c r="Q21" s="128">
        <f t="shared" ref="Q21:Q24" si="15">P21/10</f>
        <v>6.4512</v>
      </c>
      <c r="R21" s="42">
        <v>3.0</v>
      </c>
      <c r="S21" s="33">
        <f t="shared" ref="S21:S24" si="16">O21*3</f>
        <v>135</v>
      </c>
      <c r="T21" s="6"/>
      <c r="U21" s="1"/>
    </row>
    <row r="22">
      <c r="A22" s="115"/>
      <c r="B22" s="129" t="s">
        <v>85</v>
      </c>
      <c r="C22" s="38"/>
      <c r="D22" s="41"/>
      <c r="E22" s="130"/>
      <c r="F22" s="131" t="s">
        <v>86</v>
      </c>
      <c r="G22" s="132"/>
      <c r="H22" s="132"/>
      <c r="I22" s="132"/>
      <c r="J22" s="132"/>
      <c r="K22" s="132"/>
      <c r="L22" s="133"/>
      <c r="M22" s="34"/>
      <c r="N22" s="124" t="s">
        <v>29</v>
      </c>
      <c r="O22" s="126">
        <f t="shared" si="13"/>
        <v>52.6</v>
      </c>
      <c r="P22" s="128">
        <f t="shared" si="14"/>
        <v>85.5792</v>
      </c>
      <c r="Q22" s="128">
        <f t="shared" si="15"/>
        <v>8.55792</v>
      </c>
      <c r="R22" s="42">
        <v>3.0</v>
      </c>
      <c r="S22" s="33">
        <f t="shared" si="16"/>
        <v>157.8</v>
      </c>
      <c r="T22" s="6"/>
      <c r="U22" s="1"/>
    </row>
    <row r="23">
      <c r="A23" s="115"/>
      <c r="B23" s="134" t="s">
        <v>88</v>
      </c>
      <c r="C23" s="38"/>
      <c r="D23" s="41"/>
      <c r="E23" s="135"/>
      <c r="F23" s="136" t="s">
        <v>89</v>
      </c>
      <c r="G23" s="136" t="s">
        <v>90</v>
      </c>
      <c r="H23" s="137" t="s">
        <v>91</v>
      </c>
      <c r="I23" s="136" t="s">
        <v>90</v>
      </c>
      <c r="J23" s="136" t="s">
        <v>91</v>
      </c>
      <c r="K23" s="138" t="s">
        <v>90</v>
      </c>
      <c r="L23" s="41"/>
      <c r="M23" s="6"/>
      <c r="N23" s="139" t="s">
        <v>38</v>
      </c>
      <c r="O23" s="141">
        <f t="shared" si="13"/>
        <v>55</v>
      </c>
      <c r="P23" s="141">
        <f t="shared" si="14"/>
        <v>92.232</v>
      </c>
      <c r="Q23" s="141">
        <f t="shared" si="15"/>
        <v>9.2232</v>
      </c>
      <c r="R23" s="56">
        <v>3.0</v>
      </c>
      <c r="S23" s="52">
        <f t="shared" si="16"/>
        <v>165</v>
      </c>
      <c r="T23" s="1"/>
      <c r="U23" s="1"/>
    </row>
    <row r="24">
      <c r="A24" s="115"/>
      <c r="B24" s="143" t="s">
        <v>92</v>
      </c>
      <c r="C24" s="38"/>
      <c r="D24" s="41"/>
      <c r="E24" s="135"/>
      <c r="F24" s="145">
        <v>25.0</v>
      </c>
      <c r="G24" s="146">
        <f>K15*25</f>
        <v>658.6</v>
      </c>
      <c r="H24" s="147">
        <v>100.0</v>
      </c>
      <c r="I24" s="146">
        <f>K15*100</f>
        <v>2634.4</v>
      </c>
      <c r="J24" s="145">
        <v>500.0</v>
      </c>
      <c r="K24" s="148">
        <f>K15*500</f>
        <v>13172</v>
      </c>
      <c r="L24" s="41"/>
      <c r="M24" s="6"/>
      <c r="N24" s="124" t="s">
        <v>61</v>
      </c>
      <c r="O24" s="126">
        <f t="shared" si="13"/>
        <v>60</v>
      </c>
      <c r="P24" s="128">
        <f t="shared" si="14"/>
        <v>106.092</v>
      </c>
      <c r="Q24" s="128">
        <f t="shared" si="15"/>
        <v>10.6092</v>
      </c>
      <c r="R24" s="42">
        <v>3.0</v>
      </c>
      <c r="S24" s="33">
        <f t="shared" si="16"/>
        <v>180</v>
      </c>
      <c r="T24" s="1"/>
      <c r="U24" s="1"/>
    </row>
    <row r="25">
      <c r="A25" s="115"/>
      <c r="B25" s="143" t="s">
        <v>94</v>
      </c>
      <c r="C25" s="38"/>
      <c r="D25" s="41"/>
      <c r="E25" s="135"/>
      <c r="F25" s="145">
        <v>50.0</v>
      </c>
      <c r="G25" s="146">
        <f>K15*50</f>
        <v>1317.2</v>
      </c>
      <c r="H25" s="147">
        <v>250.0</v>
      </c>
      <c r="I25" s="146">
        <f>K15*250</f>
        <v>6586</v>
      </c>
      <c r="J25" s="151">
        <v>1000.0</v>
      </c>
      <c r="K25" s="148">
        <f>K15*1000</f>
        <v>26344</v>
      </c>
      <c r="L25" s="41"/>
      <c r="M25" s="6"/>
      <c r="N25" s="1"/>
      <c r="O25" s="1"/>
      <c r="P25" s="1"/>
      <c r="Q25" s="1"/>
      <c r="R25" s="1"/>
      <c r="S25" s="1"/>
      <c r="T25" s="1"/>
      <c r="U25" s="1"/>
    </row>
    <row r="26">
      <c r="A26" s="115"/>
      <c r="B26" s="152"/>
      <c r="C26" s="152"/>
      <c r="D26" s="152"/>
      <c r="E26" s="135"/>
      <c r="F26" s="153"/>
      <c r="G26" s="24"/>
      <c r="H26" s="24"/>
      <c r="I26" s="24"/>
      <c r="J26" s="24"/>
      <c r="K26" s="24"/>
      <c r="L26" s="26"/>
      <c r="M26" s="6"/>
      <c r="N26" s="1"/>
      <c r="O26" s="1"/>
      <c r="P26" s="1"/>
      <c r="Q26" s="1"/>
      <c r="R26" s="1"/>
      <c r="S26" s="1"/>
      <c r="T26" s="1"/>
      <c r="U26" s="1"/>
    </row>
    <row r="27">
      <c r="A27" s="115"/>
      <c r="B27" s="155"/>
      <c r="C27" s="155"/>
      <c r="D27" s="155"/>
      <c r="E27" s="157"/>
      <c r="F27" s="153" t="s">
        <v>96</v>
      </c>
      <c r="G27" s="24"/>
      <c r="H27" s="24"/>
      <c r="I27" s="24"/>
      <c r="J27" s="24"/>
      <c r="K27" s="24"/>
      <c r="L27" s="26"/>
      <c r="M27" s="1"/>
      <c r="N27" s="1"/>
      <c r="O27" s="1"/>
      <c r="P27" s="1"/>
      <c r="Q27" s="1"/>
      <c r="R27" s="1"/>
      <c r="S27" s="1"/>
      <c r="T27" s="1"/>
      <c r="U27" s="1"/>
    </row>
  </sheetData>
  <mergeCells count="28">
    <mergeCell ref="B22:D22"/>
    <mergeCell ref="B23:D23"/>
    <mergeCell ref="K24:L24"/>
    <mergeCell ref="K25:L25"/>
    <mergeCell ref="N19:S19"/>
    <mergeCell ref="F27:L27"/>
    <mergeCell ref="F26:L26"/>
    <mergeCell ref="B24:D24"/>
    <mergeCell ref="B19:C19"/>
    <mergeCell ref="B21:D21"/>
    <mergeCell ref="B18:D18"/>
    <mergeCell ref="B16:C16"/>
    <mergeCell ref="B15:C15"/>
    <mergeCell ref="B13:C13"/>
    <mergeCell ref="N12:S12"/>
    <mergeCell ref="B12:C12"/>
    <mergeCell ref="N4:S4"/>
    <mergeCell ref="B4:D4"/>
    <mergeCell ref="B14:C14"/>
    <mergeCell ref="F7:L7"/>
    <mergeCell ref="B8:C8"/>
    <mergeCell ref="B9:C9"/>
    <mergeCell ref="B10:D10"/>
    <mergeCell ref="B11:D11"/>
    <mergeCell ref="K23:L23"/>
    <mergeCell ref="B25:D25"/>
    <mergeCell ref="F22:L22"/>
    <mergeCell ref="F2:L6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8.43"/>
    <col customWidth="1" min="3" max="3" width="25.43"/>
    <col customWidth="1" min="4" max="4" width="31.14"/>
    <col customWidth="1" min="5" max="5" width="9.0"/>
    <col customWidth="1" min="6" max="6" width="14.43"/>
    <col customWidth="1" min="7" max="7" width="17.0"/>
    <col customWidth="1" min="8" max="8" width="20.71"/>
    <col customWidth="1" min="9" max="9" width="26.14"/>
    <col customWidth="1" min="10" max="11" width="16.14"/>
    <col customWidth="1" min="13" max="13" width="8.71"/>
    <col customWidth="1" min="14" max="14" width="32.71"/>
    <col customWidth="1" min="15" max="15" width="19.29"/>
    <col customWidth="1" min="16" max="16" width="27.86"/>
    <col customWidth="1" min="17" max="17" width="33.29"/>
    <col customWidth="1" min="18" max="18" width="22.0"/>
    <col customWidth="1" min="19" max="19" width="23.57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>
      <c r="A2" s="1"/>
      <c r="B2" s="1"/>
      <c r="C2" s="1"/>
      <c r="D2" s="1"/>
      <c r="E2" s="1"/>
      <c r="F2" s="2"/>
      <c r="G2" s="3"/>
      <c r="H2" s="3"/>
      <c r="I2" s="3"/>
      <c r="J2" s="3"/>
      <c r="K2" s="3"/>
      <c r="L2" s="4"/>
      <c r="M2" s="1"/>
      <c r="N2" s="5"/>
      <c r="O2" s="5"/>
      <c r="P2" s="5"/>
      <c r="Q2" s="5"/>
      <c r="R2" s="5"/>
      <c r="S2" s="5"/>
      <c r="T2" s="6"/>
      <c r="U2" s="1"/>
    </row>
    <row r="3">
      <c r="A3" s="1"/>
      <c r="B3" s="7" t="s">
        <v>0</v>
      </c>
      <c r="C3" s="9"/>
      <c r="D3" s="9"/>
      <c r="E3" s="1"/>
      <c r="F3" s="11"/>
      <c r="L3" s="14"/>
      <c r="M3" s="1"/>
      <c r="N3" s="5"/>
      <c r="O3" s="5"/>
      <c r="P3" s="5"/>
      <c r="Q3" s="5"/>
      <c r="R3" s="5"/>
      <c r="S3" s="5"/>
      <c r="T3" s="1"/>
      <c r="U3" s="1"/>
    </row>
    <row r="4">
      <c r="A4" s="1"/>
      <c r="B4" s="16" t="s">
        <v>5</v>
      </c>
      <c r="C4" s="17"/>
      <c r="D4" s="17"/>
      <c r="E4" s="1"/>
      <c r="F4" s="11"/>
      <c r="L4" s="14"/>
      <c r="M4" s="1"/>
      <c r="N4" s="5"/>
      <c r="O4" s="5"/>
      <c r="P4" s="5"/>
      <c r="Q4" s="5"/>
      <c r="R4" s="5"/>
      <c r="S4" s="5"/>
      <c r="T4" s="1"/>
      <c r="U4" s="1"/>
    </row>
    <row r="5">
      <c r="A5" s="1"/>
      <c r="B5" s="1"/>
      <c r="C5" s="1"/>
      <c r="D5" s="1"/>
      <c r="E5" s="1"/>
      <c r="F5" s="11"/>
      <c r="L5" s="14"/>
      <c r="M5" s="1"/>
      <c r="N5" s="5"/>
      <c r="O5" s="5"/>
      <c r="P5" s="5"/>
      <c r="Q5" s="5"/>
      <c r="R5" s="5"/>
      <c r="S5" s="5"/>
      <c r="T5" s="1"/>
      <c r="U5" s="1"/>
    </row>
    <row r="6">
      <c r="A6" s="1"/>
      <c r="B6" s="20"/>
      <c r="C6" s="20"/>
      <c r="D6" s="20"/>
      <c r="E6" s="1"/>
      <c r="F6" s="22"/>
      <c r="G6" s="24"/>
      <c r="H6" s="24"/>
      <c r="I6" s="24"/>
      <c r="J6" s="24"/>
      <c r="K6" s="24"/>
      <c r="L6" s="26"/>
      <c r="M6" s="1"/>
      <c r="N6" s="5"/>
      <c r="O6" s="5"/>
      <c r="P6" s="5"/>
      <c r="Q6" s="5"/>
      <c r="R6" s="5"/>
      <c r="S6" s="5"/>
      <c r="T6" s="1"/>
      <c r="U6" s="1"/>
    </row>
    <row r="7">
      <c r="A7" s="18"/>
      <c r="B7" s="29" t="s">
        <v>8</v>
      </c>
      <c r="C7" s="32"/>
      <c r="D7" s="32"/>
      <c r="E7" s="34"/>
      <c r="F7" s="36" t="s">
        <v>16</v>
      </c>
      <c r="G7" s="38"/>
      <c r="H7" s="38"/>
      <c r="I7" s="38"/>
      <c r="J7" s="38"/>
      <c r="K7" s="38"/>
      <c r="L7" s="41"/>
      <c r="M7" s="34"/>
      <c r="N7" s="21" t="s">
        <v>23</v>
      </c>
      <c r="O7" s="23"/>
      <c r="P7" s="23"/>
      <c r="Q7" s="23"/>
      <c r="R7" s="23"/>
      <c r="S7" s="25"/>
      <c r="T7" s="6"/>
      <c r="U7" s="6"/>
    </row>
    <row r="8">
      <c r="A8" s="18"/>
      <c r="B8" s="43" t="s">
        <v>25</v>
      </c>
      <c r="C8" s="41"/>
      <c r="D8" s="45" t="s">
        <v>28</v>
      </c>
      <c r="E8" s="47"/>
      <c r="F8" s="27" t="s">
        <v>7</v>
      </c>
      <c r="G8" s="27" t="s">
        <v>9</v>
      </c>
      <c r="H8" s="27" t="s">
        <v>30</v>
      </c>
      <c r="I8" s="27" t="s">
        <v>31</v>
      </c>
      <c r="J8" s="27" t="s">
        <v>32</v>
      </c>
      <c r="K8" s="27" t="s">
        <v>33</v>
      </c>
      <c r="L8" s="27" t="s">
        <v>34</v>
      </c>
      <c r="M8" s="34"/>
      <c r="N8" s="49" t="s">
        <v>35</v>
      </c>
      <c r="O8" s="49" t="s">
        <v>9</v>
      </c>
      <c r="P8" s="49" t="s">
        <v>41</v>
      </c>
      <c r="Q8" s="49" t="s">
        <v>42</v>
      </c>
      <c r="R8" s="53" t="s">
        <v>43</v>
      </c>
      <c r="S8" s="53" t="s">
        <v>13</v>
      </c>
      <c r="T8" s="44"/>
      <c r="U8" s="1"/>
    </row>
    <row r="9">
      <c r="A9" s="18"/>
      <c r="B9" s="55">
        <v>24.44</v>
      </c>
      <c r="C9" s="41"/>
      <c r="D9" s="58">
        <f>B9*2.75</f>
        <v>67.21</v>
      </c>
      <c r="E9" s="34"/>
      <c r="F9" s="59" t="s">
        <v>53</v>
      </c>
      <c r="G9" s="61">
        <f>B9*1.25</f>
        <v>30.55</v>
      </c>
      <c r="H9" s="62">
        <f>(B9*D12)+(G9*D13)+(G9*D14)+(G9*D15)+(G9*D16)+B9</f>
        <v>26.854672</v>
      </c>
      <c r="I9" s="64">
        <f>G9*D19</f>
        <v>6.11</v>
      </c>
      <c r="J9" s="66">
        <f t="shared" ref="J9:J20" si="1">I9+K9</f>
        <v>3.695328</v>
      </c>
      <c r="K9" s="66">
        <f t="shared" ref="K9:K20" si="2">G9-H9-I9</f>
        <v>-2.414672</v>
      </c>
      <c r="L9" s="67">
        <f t="shared" ref="L9:L20" si="3">(K9/G9)</f>
        <v>-0.07904</v>
      </c>
      <c r="M9" s="34"/>
      <c r="N9" s="52" t="s">
        <v>60</v>
      </c>
      <c r="O9" s="52">
        <v>59.95</v>
      </c>
      <c r="P9" s="52">
        <v>310.0</v>
      </c>
      <c r="Q9" s="52">
        <v>44.6</v>
      </c>
      <c r="R9" s="68">
        <f>P9/Q9</f>
        <v>6.950672646</v>
      </c>
      <c r="S9" s="58">
        <f>O9*R9</f>
        <v>416.6928251</v>
      </c>
      <c r="T9" s="6"/>
      <c r="U9" s="1"/>
    </row>
    <row r="10">
      <c r="A10" s="1"/>
      <c r="B10" s="69"/>
      <c r="D10" s="14"/>
      <c r="E10" s="18"/>
      <c r="F10" s="59" t="s">
        <v>62</v>
      </c>
      <c r="G10" s="61">
        <f>B9*1.5</f>
        <v>36.66</v>
      </c>
      <c r="H10" s="62">
        <f>(B9*D12)+(G10*D13)+(G10*D14)+(G10*D15)+(G10*D16)+B9</f>
        <v>27.319032</v>
      </c>
      <c r="I10" s="64">
        <f>G10*D19</f>
        <v>7.332</v>
      </c>
      <c r="J10" s="66">
        <f t="shared" si="1"/>
        <v>9.340968</v>
      </c>
      <c r="K10" s="66">
        <f t="shared" si="2"/>
        <v>2.008968</v>
      </c>
      <c r="L10" s="67">
        <f t="shared" si="3"/>
        <v>0.0548</v>
      </c>
      <c r="M10" s="34"/>
      <c r="N10" s="70"/>
      <c r="O10" s="70"/>
      <c r="P10" s="70"/>
      <c r="Q10" s="71"/>
      <c r="R10" s="70"/>
      <c r="S10" s="73"/>
      <c r="T10" s="44"/>
      <c r="U10" s="1"/>
    </row>
    <row r="11">
      <c r="A11" s="18"/>
      <c r="B11" s="75" t="s">
        <v>63</v>
      </c>
      <c r="C11" s="38"/>
      <c r="D11" s="41"/>
      <c r="E11" s="34"/>
      <c r="F11" s="59" t="s">
        <v>64</v>
      </c>
      <c r="G11" s="61">
        <f>B9*1.75</f>
        <v>42.77</v>
      </c>
      <c r="H11" s="62">
        <f>(B9*D12)+(G11*D13)+(G11*D14)+(G11*D15)+(G11*D16)+B9</f>
        <v>27.783392</v>
      </c>
      <c r="I11" s="64">
        <f>G11*D19</f>
        <v>8.554</v>
      </c>
      <c r="J11" s="66">
        <f t="shared" si="1"/>
        <v>14.986608</v>
      </c>
      <c r="K11" s="66">
        <f t="shared" si="2"/>
        <v>6.432608</v>
      </c>
      <c r="L11" s="67">
        <f t="shared" si="3"/>
        <v>0.1504</v>
      </c>
      <c r="M11" s="34"/>
      <c r="N11" s="76" t="s">
        <v>35</v>
      </c>
      <c r="O11" s="78" t="s">
        <v>9</v>
      </c>
      <c r="P11" s="80" t="s">
        <v>41</v>
      </c>
      <c r="Q11" s="80" t="s">
        <v>42</v>
      </c>
      <c r="R11" s="82" t="s">
        <v>43</v>
      </c>
      <c r="S11" s="82" t="s">
        <v>13</v>
      </c>
      <c r="T11" s="6"/>
      <c r="U11" s="1"/>
    </row>
    <row r="12">
      <c r="A12" s="1"/>
      <c r="B12" s="79" t="s">
        <v>65</v>
      </c>
      <c r="C12" s="41"/>
      <c r="D12" s="81">
        <v>0.0038</v>
      </c>
      <c r="E12" s="18"/>
      <c r="F12" s="59" t="s">
        <v>66</v>
      </c>
      <c r="G12" s="61">
        <f>B9*2</f>
        <v>48.88</v>
      </c>
      <c r="H12" s="62">
        <f>(B9*D12)+(G12*D13)+(G12*D14)+(G12*D15)+(G12*D16)+B9</f>
        <v>28.247752</v>
      </c>
      <c r="I12" s="64">
        <f>G12*D19</f>
        <v>9.776</v>
      </c>
      <c r="J12" s="66">
        <f t="shared" si="1"/>
        <v>20.632248</v>
      </c>
      <c r="K12" s="66">
        <f t="shared" si="2"/>
        <v>10.856248</v>
      </c>
      <c r="L12" s="67">
        <f t="shared" si="3"/>
        <v>0.2221</v>
      </c>
      <c r="M12" s="34"/>
      <c r="N12" s="85" t="s">
        <v>69</v>
      </c>
      <c r="O12" s="87">
        <v>59.95</v>
      </c>
      <c r="P12" s="87">
        <v>250.0</v>
      </c>
      <c r="Q12" s="87">
        <v>49.0</v>
      </c>
      <c r="R12" s="89">
        <f>P12/Q12</f>
        <v>5.102040816</v>
      </c>
      <c r="S12" s="91">
        <f>O12*R12</f>
        <v>305.8673469</v>
      </c>
      <c r="T12" s="44"/>
      <c r="U12" s="1"/>
    </row>
    <row r="13">
      <c r="A13" s="18"/>
      <c r="B13" s="79" t="s">
        <v>68</v>
      </c>
      <c r="C13" s="41"/>
      <c r="D13" s="81">
        <v>0.01</v>
      </c>
      <c r="E13" s="34"/>
      <c r="F13" s="83" t="s">
        <v>15</v>
      </c>
      <c r="G13" s="84">
        <f>B9*2.25</f>
        <v>54.99</v>
      </c>
      <c r="H13" s="86">
        <f>(B9*D12)+(G13*D13)+(G13*D14)+(G13*D15)+(G13*D16)+B9</f>
        <v>28.712112</v>
      </c>
      <c r="I13" s="88">
        <f>G13*D19</f>
        <v>10.998</v>
      </c>
      <c r="J13" s="66">
        <f t="shared" si="1"/>
        <v>26.277888</v>
      </c>
      <c r="K13" s="90">
        <f t="shared" si="2"/>
        <v>15.279888</v>
      </c>
      <c r="L13" s="92">
        <f t="shared" si="3"/>
        <v>0.2778666667</v>
      </c>
      <c r="M13" s="34"/>
      <c r="N13" s="72"/>
      <c r="O13" s="72"/>
      <c r="P13" s="72"/>
      <c r="Q13" s="72"/>
      <c r="R13" s="72"/>
      <c r="S13" s="74"/>
      <c r="T13" s="6"/>
      <c r="U13" s="6"/>
    </row>
    <row r="14">
      <c r="A14" s="18"/>
      <c r="B14" s="79" t="s">
        <v>70</v>
      </c>
      <c r="C14" s="41"/>
      <c r="D14" s="81">
        <v>0.05</v>
      </c>
      <c r="E14" s="34"/>
      <c r="F14" s="83" t="s">
        <v>29</v>
      </c>
      <c r="G14" s="84">
        <f>B9*2.5</f>
        <v>61.1</v>
      </c>
      <c r="H14" s="86">
        <f>(B9*D12)+(G14*D13)+(G14*D14)+(G14*D15)+(G14*D16)+B9</f>
        <v>29.176472</v>
      </c>
      <c r="I14" s="88">
        <f>G14*D19</f>
        <v>12.22</v>
      </c>
      <c r="J14" s="66">
        <f t="shared" si="1"/>
        <v>31.923528</v>
      </c>
      <c r="K14" s="90">
        <f t="shared" si="2"/>
        <v>19.703528</v>
      </c>
      <c r="L14" s="92">
        <f t="shared" si="3"/>
        <v>0.32248</v>
      </c>
      <c r="M14" s="34"/>
      <c r="N14" s="94" t="s">
        <v>35</v>
      </c>
      <c r="O14" s="96" t="s">
        <v>9</v>
      </c>
      <c r="P14" s="98" t="s">
        <v>41</v>
      </c>
      <c r="Q14" s="98" t="s">
        <v>42</v>
      </c>
      <c r="R14" s="82" t="s">
        <v>43</v>
      </c>
      <c r="S14" s="82" t="s">
        <v>13</v>
      </c>
      <c r="T14" s="44"/>
      <c r="U14" s="6"/>
    </row>
    <row r="15">
      <c r="A15" s="18"/>
      <c r="B15" s="79" t="s">
        <v>71</v>
      </c>
      <c r="C15" s="41"/>
      <c r="D15" s="81">
        <v>0.016</v>
      </c>
      <c r="E15" s="34"/>
      <c r="F15" s="93" t="s">
        <v>38</v>
      </c>
      <c r="G15" s="95">
        <f>B9*2.75</f>
        <v>67.21</v>
      </c>
      <c r="H15" s="97">
        <f>(B9*D12)+(G15*D13)+(G15*D14)+(G15*D15)+(G15*D16)+B9</f>
        <v>29.640832</v>
      </c>
      <c r="I15" s="99">
        <f>G15*D19</f>
        <v>13.442</v>
      </c>
      <c r="J15" s="100">
        <f t="shared" si="1"/>
        <v>37.569168</v>
      </c>
      <c r="K15" s="97">
        <f t="shared" si="2"/>
        <v>24.127168</v>
      </c>
      <c r="L15" s="101">
        <f t="shared" si="3"/>
        <v>0.3589818182</v>
      </c>
      <c r="M15" s="34"/>
      <c r="N15" s="102" t="s">
        <v>72</v>
      </c>
      <c r="O15" s="104">
        <v>297.0</v>
      </c>
      <c r="P15" s="104">
        <v>500.0</v>
      </c>
      <c r="Q15" s="104">
        <v>100.0</v>
      </c>
      <c r="R15" s="89">
        <f>P15/Q15</f>
        <v>5</v>
      </c>
      <c r="S15" s="91">
        <f>O15*R15</f>
        <v>1485</v>
      </c>
      <c r="T15" s="6"/>
      <c r="U15" s="6"/>
    </row>
    <row r="16">
      <c r="A16" s="18"/>
      <c r="B16" s="103" t="s">
        <v>73</v>
      </c>
      <c r="C16" s="41"/>
      <c r="D16" s="81">
        <v>0.0</v>
      </c>
      <c r="E16" s="105"/>
      <c r="F16" s="83" t="s">
        <v>61</v>
      </c>
      <c r="G16" s="84">
        <f>B9*3</f>
        <v>73.32</v>
      </c>
      <c r="H16" s="86">
        <f>(B9*D12)+(G16*D13)+(G16*D14)+(G16*D15)+(G16*D16)+B9</f>
        <v>30.105192</v>
      </c>
      <c r="I16" s="88">
        <f>G16*D19</f>
        <v>14.664</v>
      </c>
      <c r="J16" s="66">
        <f t="shared" si="1"/>
        <v>43.214808</v>
      </c>
      <c r="K16" s="90">
        <f t="shared" si="2"/>
        <v>28.550808</v>
      </c>
      <c r="L16" s="92">
        <f t="shared" si="3"/>
        <v>0.3894</v>
      </c>
      <c r="M16" s="34"/>
      <c r="N16" s="72"/>
      <c r="O16" s="72"/>
      <c r="P16" s="72"/>
      <c r="Q16" s="72"/>
      <c r="R16" s="72"/>
      <c r="S16" s="74"/>
      <c r="T16" s="44"/>
      <c r="U16" s="6"/>
    </row>
    <row r="17">
      <c r="A17" s="18"/>
      <c r="B17" s="77"/>
      <c r="C17" s="77"/>
      <c r="D17" s="77"/>
      <c r="E17" s="34"/>
      <c r="F17" s="59" t="s">
        <v>74</v>
      </c>
      <c r="G17" s="61">
        <f>B9*3.25</f>
        <v>79.43</v>
      </c>
      <c r="H17" s="62">
        <f>(B9*D12)+(G17*D13)+(G17*D14)+(G17*D15)+(G17*D16)+B9</f>
        <v>30.569552</v>
      </c>
      <c r="I17" s="64">
        <f>G17*D19</f>
        <v>15.886</v>
      </c>
      <c r="J17" s="66">
        <f t="shared" si="1"/>
        <v>48.860448</v>
      </c>
      <c r="K17" s="66">
        <f t="shared" si="2"/>
        <v>32.974448</v>
      </c>
      <c r="L17" s="67">
        <f t="shared" si="3"/>
        <v>0.4151384615</v>
      </c>
      <c r="M17" s="34"/>
      <c r="N17" s="106" t="s">
        <v>35</v>
      </c>
      <c r="O17" s="107" t="s">
        <v>9</v>
      </c>
      <c r="P17" s="108" t="s">
        <v>41</v>
      </c>
      <c r="Q17" s="108" t="s">
        <v>42</v>
      </c>
      <c r="R17" s="82" t="s">
        <v>43</v>
      </c>
      <c r="S17" s="82" t="s">
        <v>13</v>
      </c>
      <c r="T17" s="6"/>
      <c r="U17" s="1"/>
    </row>
    <row r="18">
      <c r="A18" s="18"/>
      <c r="B18" s="75" t="s">
        <v>75</v>
      </c>
      <c r="C18" s="38"/>
      <c r="D18" s="41"/>
      <c r="E18" s="34"/>
      <c r="F18" s="59" t="s">
        <v>76</v>
      </c>
      <c r="G18" s="61">
        <f>B9*3.5</f>
        <v>85.54</v>
      </c>
      <c r="H18" s="62">
        <f>(B9*D12)+(G18*D13)+(G18*D14)+(G18*D15)+(G18*D16)+B9</f>
        <v>31.033912</v>
      </c>
      <c r="I18" s="64">
        <f>G18*D19</f>
        <v>17.108</v>
      </c>
      <c r="J18" s="66">
        <f t="shared" si="1"/>
        <v>54.506088</v>
      </c>
      <c r="K18" s="66">
        <f t="shared" si="2"/>
        <v>37.398088</v>
      </c>
      <c r="L18" s="67">
        <f t="shared" si="3"/>
        <v>0.4372</v>
      </c>
      <c r="M18" s="34"/>
      <c r="N18" s="111" t="s">
        <v>78</v>
      </c>
      <c r="O18" s="113">
        <v>99.97</v>
      </c>
      <c r="P18" s="113">
        <v>1000.0</v>
      </c>
      <c r="Q18" s="113">
        <v>39.95</v>
      </c>
      <c r="R18" s="89">
        <f>P18/Q18</f>
        <v>25.03128911</v>
      </c>
      <c r="S18" s="91">
        <f>O18*R18</f>
        <v>2502.377972</v>
      </c>
      <c r="T18" s="44"/>
      <c r="U18" s="1"/>
    </row>
    <row r="19">
      <c r="A19" s="110"/>
      <c r="B19" s="103" t="s">
        <v>77</v>
      </c>
      <c r="C19" s="41"/>
      <c r="D19" s="81">
        <v>0.2</v>
      </c>
      <c r="E19" s="114"/>
      <c r="F19" s="59" t="s">
        <v>79</v>
      </c>
      <c r="G19" s="61">
        <f>B9*3.75</f>
        <v>91.65</v>
      </c>
      <c r="H19" s="62">
        <f>(B9*D12)+(G19*D13)+(G19*D14)+(G19*D15)+(G19*D16)+B9</f>
        <v>31.498272</v>
      </c>
      <c r="I19" s="64">
        <f>G19*D19</f>
        <v>18.33</v>
      </c>
      <c r="J19" s="66">
        <f t="shared" si="1"/>
        <v>60.151728</v>
      </c>
      <c r="K19" s="66">
        <f t="shared" si="2"/>
        <v>41.821728</v>
      </c>
      <c r="L19" s="67">
        <f t="shared" si="3"/>
        <v>0.45632</v>
      </c>
      <c r="M19" s="34"/>
      <c r="N19" s="72"/>
      <c r="O19" s="72"/>
      <c r="P19" s="72"/>
      <c r="Q19" s="72"/>
      <c r="R19" s="72"/>
      <c r="S19" s="74"/>
      <c r="T19" s="6"/>
      <c r="U19" s="1"/>
    </row>
    <row r="20">
      <c r="A20" s="115"/>
      <c r="B20" s="116"/>
      <c r="C20" s="116"/>
      <c r="D20" s="116"/>
      <c r="E20" s="34"/>
      <c r="F20" s="59" t="s">
        <v>82</v>
      </c>
      <c r="G20" s="61">
        <f>B9*6</f>
        <v>146.64</v>
      </c>
      <c r="H20" s="62">
        <f>(B9*D12)+(G20*D13)+(G20*D14)+(G20*D15)+(G20*D16)+B9</f>
        <v>35.677512</v>
      </c>
      <c r="I20" s="64">
        <f>G20*D19</f>
        <v>29.328</v>
      </c>
      <c r="J20" s="66">
        <f t="shared" si="1"/>
        <v>110.962488</v>
      </c>
      <c r="K20" s="66">
        <f t="shared" si="2"/>
        <v>81.634488</v>
      </c>
      <c r="L20" s="67">
        <f t="shared" si="3"/>
        <v>0.5567</v>
      </c>
      <c r="M20" s="34"/>
      <c r="N20" s="119" t="s">
        <v>35</v>
      </c>
      <c r="O20" s="121" t="s">
        <v>9</v>
      </c>
      <c r="P20" s="123" t="s">
        <v>41</v>
      </c>
      <c r="Q20" s="123" t="s">
        <v>42</v>
      </c>
      <c r="R20" s="82" t="s">
        <v>43</v>
      </c>
      <c r="S20" s="82" t="s">
        <v>13</v>
      </c>
      <c r="T20" s="44"/>
      <c r="U20" s="1"/>
    </row>
    <row r="21">
      <c r="A21" s="115"/>
      <c r="B21" s="118" t="s">
        <v>83</v>
      </c>
      <c r="C21" s="38"/>
      <c r="D21" s="41"/>
      <c r="E21" s="120"/>
      <c r="F21" s="70"/>
      <c r="G21" s="122"/>
      <c r="H21" s="122"/>
      <c r="I21" s="122"/>
      <c r="J21" s="122"/>
      <c r="K21" s="122"/>
      <c r="L21" s="122"/>
      <c r="M21" s="34"/>
      <c r="N21" s="125" t="s">
        <v>84</v>
      </c>
      <c r="O21" s="127">
        <v>79.95</v>
      </c>
      <c r="P21" s="127">
        <v>1500.0</v>
      </c>
      <c r="Q21" s="127">
        <v>29.32</v>
      </c>
      <c r="R21" s="89">
        <f>P21/Q21</f>
        <v>51.15961801</v>
      </c>
      <c r="S21" s="91">
        <f>O21*R21</f>
        <v>4090.21146</v>
      </c>
      <c r="T21" s="6"/>
      <c r="U21" s="1"/>
    </row>
    <row r="22">
      <c r="A22" s="115"/>
      <c r="B22" s="129" t="s">
        <v>85</v>
      </c>
      <c r="C22" s="38"/>
      <c r="D22" s="41"/>
      <c r="E22" s="130"/>
      <c r="F22" s="131" t="s">
        <v>86</v>
      </c>
      <c r="G22" s="132"/>
      <c r="H22" s="132"/>
      <c r="I22" s="132"/>
      <c r="J22" s="132"/>
      <c r="K22" s="132"/>
      <c r="L22" s="133"/>
      <c r="M22" s="34"/>
      <c r="N22" s="72"/>
      <c r="O22" s="72"/>
      <c r="P22" s="72"/>
      <c r="Q22" s="72"/>
      <c r="R22" s="72"/>
      <c r="S22" s="74"/>
      <c r="T22" s="6"/>
      <c r="U22" s="1"/>
    </row>
    <row r="23">
      <c r="A23" s="115"/>
      <c r="B23" s="134" t="s">
        <v>87</v>
      </c>
      <c r="C23" s="38"/>
      <c r="D23" s="41"/>
      <c r="E23" s="135"/>
      <c r="F23" s="136" t="s">
        <v>89</v>
      </c>
      <c r="G23" s="136" t="s">
        <v>90</v>
      </c>
      <c r="H23" s="137" t="s">
        <v>91</v>
      </c>
      <c r="I23" s="136" t="s">
        <v>90</v>
      </c>
      <c r="J23" s="136" t="s">
        <v>91</v>
      </c>
      <c r="K23" s="138" t="s">
        <v>90</v>
      </c>
      <c r="L23" s="41"/>
      <c r="M23" s="6"/>
      <c r="N23" s="140" t="s">
        <v>35</v>
      </c>
      <c r="O23" s="142" t="s">
        <v>9</v>
      </c>
      <c r="P23" s="144" t="s">
        <v>41</v>
      </c>
      <c r="Q23" s="144" t="s">
        <v>42</v>
      </c>
      <c r="R23" s="82" t="s">
        <v>43</v>
      </c>
      <c r="S23" s="82" t="s">
        <v>13</v>
      </c>
      <c r="T23" s="1"/>
      <c r="U23" s="1"/>
    </row>
    <row r="24">
      <c r="A24" s="115"/>
      <c r="B24" s="143" t="s">
        <v>92</v>
      </c>
      <c r="C24" s="38"/>
      <c r="D24" s="41"/>
      <c r="E24" s="135"/>
      <c r="F24" s="145">
        <v>25.0</v>
      </c>
      <c r="G24" s="146">
        <f>K15*25</f>
        <v>603.1792</v>
      </c>
      <c r="H24" s="147">
        <v>100.0</v>
      </c>
      <c r="I24" s="146">
        <f>K15*100</f>
        <v>2412.7168</v>
      </c>
      <c r="J24" s="145">
        <v>500.0</v>
      </c>
      <c r="K24" s="148">
        <f>K15*500</f>
        <v>12063.584</v>
      </c>
      <c r="L24" s="41"/>
      <c r="M24" s="6"/>
      <c r="N24" s="149" t="s">
        <v>93</v>
      </c>
      <c r="O24" s="150">
        <v>49.95</v>
      </c>
      <c r="P24" s="150">
        <v>2000.0</v>
      </c>
      <c r="Q24" s="150">
        <v>15.0</v>
      </c>
      <c r="R24" s="89">
        <f>P24/Q24</f>
        <v>133.3333333</v>
      </c>
      <c r="S24" s="91">
        <f>O24*R24</f>
        <v>6660</v>
      </c>
      <c r="T24" s="1"/>
      <c r="U24" s="1"/>
    </row>
    <row r="25">
      <c r="A25" s="115"/>
      <c r="B25" s="143" t="s">
        <v>94</v>
      </c>
      <c r="C25" s="38"/>
      <c r="D25" s="41"/>
      <c r="E25" s="135"/>
      <c r="F25" s="145">
        <v>50.0</v>
      </c>
      <c r="G25" s="146">
        <f>K15*50</f>
        <v>1206.3584</v>
      </c>
      <c r="H25" s="147">
        <v>250.0</v>
      </c>
      <c r="I25" s="146">
        <f>K15*250</f>
        <v>6031.792</v>
      </c>
      <c r="J25" s="151">
        <v>1000.0</v>
      </c>
      <c r="K25" s="148">
        <f>K15*1000</f>
        <v>24127.168</v>
      </c>
      <c r="L25" s="41"/>
      <c r="M25" s="6"/>
      <c r="N25" s="72"/>
      <c r="O25" s="72"/>
      <c r="P25" s="72"/>
      <c r="Q25" s="72"/>
      <c r="R25" s="70"/>
      <c r="S25" s="73"/>
      <c r="T25" s="1"/>
      <c r="U25" s="1"/>
    </row>
    <row r="26">
      <c r="A26" s="115"/>
      <c r="B26" s="152"/>
      <c r="C26" s="152"/>
      <c r="D26" s="152"/>
      <c r="E26" s="135"/>
      <c r="F26" s="153"/>
      <c r="G26" s="24"/>
      <c r="H26" s="24"/>
      <c r="I26" s="24"/>
      <c r="J26" s="24"/>
      <c r="K26" s="24"/>
      <c r="L26" s="26"/>
      <c r="M26" s="6"/>
      <c r="N26" s="72"/>
      <c r="O26" s="72"/>
      <c r="P26" s="72"/>
      <c r="Q26" s="154"/>
      <c r="R26" s="156" t="s">
        <v>95</v>
      </c>
      <c r="S26" s="158">
        <f>S9+S12+S15+S18+S21+S24</f>
        <v>15460.1496</v>
      </c>
      <c r="T26" s="6"/>
      <c r="U26" s="1"/>
    </row>
    <row r="27">
      <c r="A27" s="115"/>
      <c r="B27" s="155"/>
      <c r="C27" s="155"/>
      <c r="D27" s="155"/>
      <c r="E27" s="157"/>
      <c r="F27" s="153" t="s">
        <v>96</v>
      </c>
      <c r="G27" s="24"/>
      <c r="H27" s="24"/>
      <c r="I27" s="24"/>
      <c r="J27" s="24"/>
      <c r="K27" s="24"/>
      <c r="L27" s="26"/>
      <c r="M27" s="1"/>
      <c r="N27" s="72"/>
      <c r="O27" s="72"/>
      <c r="P27" s="72"/>
      <c r="Q27" s="72"/>
      <c r="R27" s="72"/>
      <c r="S27" s="74"/>
      <c r="T27" s="1"/>
      <c r="U27" s="1"/>
    </row>
  </sheetData>
  <mergeCells count="26">
    <mergeCell ref="F7:L7"/>
    <mergeCell ref="N7:S7"/>
    <mergeCell ref="B22:D22"/>
    <mergeCell ref="B21:D21"/>
    <mergeCell ref="B18:D18"/>
    <mergeCell ref="B19:C19"/>
    <mergeCell ref="B25:D25"/>
    <mergeCell ref="B24:D24"/>
    <mergeCell ref="B23:D23"/>
    <mergeCell ref="F26:L26"/>
    <mergeCell ref="F27:L27"/>
    <mergeCell ref="K25:L25"/>
    <mergeCell ref="K24:L24"/>
    <mergeCell ref="K23:L23"/>
    <mergeCell ref="F22:L22"/>
    <mergeCell ref="B13:C13"/>
    <mergeCell ref="B12:C12"/>
    <mergeCell ref="B11:D11"/>
    <mergeCell ref="B10:D10"/>
    <mergeCell ref="F2:L6"/>
    <mergeCell ref="B8:C8"/>
    <mergeCell ref="B9:C9"/>
    <mergeCell ref="B14:C14"/>
    <mergeCell ref="B16:C16"/>
    <mergeCell ref="B15:C15"/>
    <mergeCell ref="B4:D4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9.14"/>
    <col customWidth="1" min="2" max="2" width="5.86"/>
    <col customWidth="1" min="7" max="7" width="10.57"/>
    <col customWidth="1" min="8" max="8" width="17.0"/>
    <col customWidth="1" min="13" max="13" width="17.14"/>
  </cols>
  <sheetData>
    <row r="1">
      <c r="A1" s="8" t="s">
        <v>1</v>
      </c>
      <c r="E1" s="10"/>
      <c r="F1" s="12" t="s">
        <v>2</v>
      </c>
      <c r="J1" s="10"/>
      <c r="K1" s="13" t="s">
        <v>3</v>
      </c>
    </row>
    <row r="2">
      <c r="A2" s="15" t="s">
        <v>4</v>
      </c>
      <c r="C2" s="19">
        <v>1000.0</v>
      </c>
      <c r="D2" s="28">
        <f t="shared" ref="D2:D17" si="1">C2-3</f>
        <v>997</v>
      </c>
      <c r="E2" s="10"/>
      <c r="F2" s="31" t="s">
        <v>14</v>
      </c>
      <c r="I2" s="35">
        <v>3000.0</v>
      </c>
      <c r="J2" s="10"/>
      <c r="K2" s="31" t="s">
        <v>17</v>
      </c>
      <c r="L2" s="37">
        <f>D18-I9</f>
        <v>6534</v>
      </c>
    </row>
    <row r="3">
      <c r="A3" s="15" t="s">
        <v>18</v>
      </c>
      <c r="C3" s="19">
        <v>1000.0</v>
      </c>
      <c r="D3" s="28">
        <f t="shared" si="1"/>
        <v>997</v>
      </c>
      <c r="E3" s="10"/>
      <c r="F3" s="15" t="s">
        <v>19</v>
      </c>
      <c r="I3" s="35">
        <v>2000.0</v>
      </c>
      <c r="J3" s="10"/>
      <c r="K3" s="31"/>
      <c r="L3" s="31"/>
    </row>
    <row r="4">
      <c r="A4" s="15" t="s">
        <v>20</v>
      </c>
      <c r="C4" s="19">
        <v>1000.0</v>
      </c>
      <c r="D4" s="28">
        <f t="shared" si="1"/>
        <v>997</v>
      </c>
      <c r="E4" s="10"/>
      <c r="F4" s="40" t="s">
        <v>21</v>
      </c>
      <c r="I4" s="35">
        <v>1000.0</v>
      </c>
      <c r="J4" s="10"/>
      <c r="K4" s="31" t="s">
        <v>22</v>
      </c>
      <c r="L4" s="37">
        <f>L2/2</f>
        <v>3267</v>
      </c>
    </row>
    <row r="5">
      <c r="A5" s="15" t="s">
        <v>24</v>
      </c>
      <c r="C5" s="19">
        <v>1000.0</v>
      </c>
      <c r="D5" s="28">
        <f t="shared" si="1"/>
        <v>997</v>
      </c>
      <c r="E5" s="10"/>
      <c r="F5" s="40" t="s">
        <v>26</v>
      </c>
      <c r="I5" s="35">
        <v>200.0</v>
      </c>
      <c r="J5" s="10"/>
      <c r="K5" s="46" t="s">
        <v>27</v>
      </c>
      <c r="L5" s="48">
        <f>L2/2</f>
        <v>3267</v>
      </c>
    </row>
    <row r="6">
      <c r="A6" s="15" t="s">
        <v>36</v>
      </c>
      <c r="C6" s="19">
        <v>1000.0</v>
      </c>
      <c r="D6" s="28">
        <f t="shared" si="1"/>
        <v>997</v>
      </c>
      <c r="E6" s="10"/>
      <c r="F6" s="40" t="s">
        <v>37</v>
      </c>
      <c r="I6" s="35">
        <v>3000.0</v>
      </c>
      <c r="J6" s="10"/>
    </row>
    <row r="7">
      <c r="A7" s="15" t="s">
        <v>39</v>
      </c>
      <c r="C7" s="19">
        <v>1000.0</v>
      </c>
      <c r="D7" s="28">
        <f t="shared" si="1"/>
        <v>997</v>
      </c>
      <c r="E7" s="10"/>
      <c r="F7" s="40" t="s">
        <v>40</v>
      </c>
      <c r="I7" s="35">
        <v>18.0</v>
      </c>
      <c r="J7" s="10"/>
      <c r="K7" s="51" t="s">
        <v>44</v>
      </c>
      <c r="L7" s="35">
        <v>1000.0</v>
      </c>
      <c r="M7" s="46" t="s">
        <v>45</v>
      </c>
    </row>
    <row r="8">
      <c r="A8" s="15" t="s">
        <v>46</v>
      </c>
      <c r="C8" s="19">
        <v>1000.0</v>
      </c>
      <c r="D8" s="28">
        <f t="shared" si="1"/>
        <v>997</v>
      </c>
      <c r="E8" s="10"/>
      <c r="F8" s="40" t="s">
        <v>47</v>
      </c>
      <c r="I8" s="35">
        <v>200.0</v>
      </c>
      <c r="J8" s="10"/>
    </row>
    <row r="9">
      <c r="A9" s="15" t="s">
        <v>48</v>
      </c>
      <c r="C9" s="19">
        <v>1000.0</v>
      </c>
      <c r="D9" s="28">
        <f t="shared" si="1"/>
        <v>997</v>
      </c>
      <c r="E9" s="10"/>
      <c r="F9" s="54" t="s">
        <v>49</v>
      </c>
      <c r="I9" s="57">
        <f>SUM(I2:I8)</f>
        <v>9418</v>
      </c>
      <c r="J9" s="10"/>
    </row>
    <row r="10">
      <c r="A10" s="15" t="s">
        <v>50</v>
      </c>
      <c r="C10" s="19">
        <v>1000.0</v>
      </c>
      <c r="D10" s="28">
        <f t="shared" si="1"/>
        <v>997</v>
      </c>
      <c r="E10" s="10"/>
      <c r="F10" s="40"/>
      <c r="J10" s="10"/>
    </row>
    <row r="11">
      <c r="A11" s="15" t="s">
        <v>51</v>
      </c>
      <c r="C11" s="19">
        <v>1000.0</v>
      </c>
      <c r="D11" s="28">
        <f t="shared" si="1"/>
        <v>997</v>
      </c>
      <c r="E11" s="10"/>
      <c r="F11" s="40"/>
      <c r="J11" s="10"/>
    </row>
    <row r="12">
      <c r="A12" s="15" t="s">
        <v>52</v>
      </c>
      <c r="C12" s="19">
        <v>1000.0</v>
      </c>
      <c r="D12" s="28">
        <f t="shared" si="1"/>
        <v>997</v>
      </c>
      <c r="E12" s="10"/>
      <c r="F12" s="40"/>
      <c r="J12" s="10"/>
      <c r="K12" s="51" t="s">
        <v>54</v>
      </c>
      <c r="L12" s="60">
        <f>L4-L7</f>
        <v>2267</v>
      </c>
    </row>
    <row r="13">
      <c r="A13" s="15" t="s">
        <v>55</v>
      </c>
      <c r="C13" s="19">
        <v>1000.0</v>
      </c>
      <c r="D13" s="28">
        <f t="shared" si="1"/>
        <v>997</v>
      </c>
      <c r="E13" s="10"/>
      <c r="F13" s="40"/>
      <c r="J13" s="10"/>
    </row>
    <row r="14">
      <c r="A14" s="15" t="s">
        <v>56</v>
      </c>
      <c r="C14" s="19">
        <v>1000.0</v>
      </c>
      <c r="D14" s="28">
        <f t="shared" si="1"/>
        <v>997</v>
      </c>
      <c r="E14" s="10"/>
      <c r="F14" s="40"/>
      <c r="J14" s="10"/>
    </row>
    <row r="15">
      <c r="A15" s="15" t="s">
        <v>57</v>
      </c>
      <c r="C15" s="19">
        <v>1000.0</v>
      </c>
      <c r="D15" s="28">
        <f t="shared" si="1"/>
        <v>997</v>
      </c>
      <c r="E15" s="10"/>
      <c r="F15" s="40"/>
      <c r="J15" s="10"/>
    </row>
    <row r="16">
      <c r="A16" s="15" t="s">
        <v>58</v>
      </c>
      <c r="C16" s="19">
        <v>1000.0</v>
      </c>
      <c r="D16" s="28">
        <f t="shared" si="1"/>
        <v>997</v>
      </c>
      <c r="E16" s="10"/>
      <c r="F16" s="40"/>
      <c r="J16" s="10"/>
    </row>
    <row r="17">
      <c r="A17" s="15" t="s">
        <v>59</v>
      </c>
      <c r="C17" s="19">
        <v>1000.0</v>
      </c>
      <c r="D17" s="28">
        <f t="shared" si="1"/>
        <v>997</v>
      </c>
      <c r="E17" s="10"/>
      <c r="F17" s="40"/>
      <c r="J17" s="10"/>
    </row>
    <row r="18">
      <c r="A18" s="63" t="s">
        <v>49</v>
      </c>
      <c r="D18" s="65">
        <f>SUM(D2:D17)</f>
        <v>15952</v>
      </c>
      <c r="E18" s="10"/>
      <c r="F18" s="40"/>
      <c r="J18" s="10"/>
    </row>
    <row r="19">
      <c r="E19" s="10"/>
      <c r="J19" s="10"/>
    </row>
  </sheetData>
  <mergeCells count="152">
    <mergeCell ref="A24:B24"/>
    <mergeCell ref="A27:B27"/>
    <mergeCell ref="A26:B26"/>
    <mergeCell ref="A25:B25"/>
    <mergeCell ref="A17:B17"/>
    <mergeCell ref="A16:B16"/>
    <mergeCell ref="A18:C18"/>
    <mergeCell ref="A23:B23"/>
    <mergeCell ref="A19:B19"/>
    <mergeCell ref="A20:B20"/>
    <mergeCell ref="A28:B28"/>
    <mergeCell ref="F9:H9"/>
    <mergeCell ref="F10:H10"/>
    <mergeCell ref="F17:H17"/>
    <mergeCell ref="F16:H16"/>
    <mergeCell ref="F18:H18"/>
    <mergeCell ref="A10:B10"/>
    <mergeCell ref="A9:B9"/>
    <mergeCell ref="A8:B8"/>
    <mergeCell ref="A6:B6"/>
    <mergeCell ref="A7:B7"/>
    <mergeCell ref="A4:B4"/>
    <mergeCell ref="A5:B5"/>
    <mergeCell ref="F8:H8"/>
    <mergeCell ref="F7:H7"/>
    <mergeCell ref="A67:B67"/>
    <mergeCell ref="A61:B61"/>
    <mergeCell ref="A38:B38"/>
    <mergeCell ref="A34:B34"/>
    <mergeCell ref="A39:B39"/>
    <mergeCell ref="A45:B45"/>
    <mergeCell ref="A46:B46"/>
    <mergeCell ref="A31:B31"/>
    <mergeCell ref="A30:B30"/>
    <mergeCell ref="A40:B40"/>
    <mergeCell ref="F2:H2"/>
    <mergeCell ref="F5:H5"/>
    <mergeCell ref="F4:H4"/>
    <mergeCell ref="F3:H3"/>
    <mergeCell ref="F13:H13"/>
    <mergeCell ref="F12:H12"/>
    <mergeCell ref="A14:B14"/>
    <mergeCell ref="A13:B13"/>
    <mergeCell ref="A11:B11"/>
    <mergeCell ref="A12:B12"/>
    <mergeCell ref="F14:H14"/>
    <mergeCell ref="F15:H15"/>
    <mergeCell ref="A15:B15"/>
    <mergeCell ref="K1:N1"/>
    <mergeCell ref="F1:I1"/>
    <mergeCell ref="A3:B3"/>
    <mergeCell ref="A2:B2"/>
    <mergeCell ref="A1:D1"/>
    <mergeCell ref="F6:H6"/>
    <mergeCell ref="F11:H11"/>
    <mergeCell ref="A126:B126"/>
    <mergeCell ref="A125:B125"/>
    <mergeCell ref="A128:B128"/>
    <mergeCell ref="A123:B123"/>
    <mergeCell ref="A119:B119"/>
    <mergeCell ref="A118:B118"/>
    <mergeCell ref="A117:B117"/>
    <mergeCell ref="A120:B120"/>
    <mergeCell ref="A106:B106"/>
    <mergeCell ref="A107:B107"/>
    <mergeCell ref="A109:B109"/>
    <mergeCell ref="A108:B108"/>
    <mergeCell ref="A104:B104"/>
    <mergeCell ref="A105:B105"/>
    <mergeCell ref="A103:B103"/>
    <mergeCell ref="A102:B102"/>
    <mergeCell ref="A100:B100"/>
    <mergeCell ref="A101:B101"/>
    <mergeCell ref="A88:B88"/>
    <mergeCell ref="A87:B87"/>
    <mergeCell ref="A96:B96"/>
    <mergeCell ref="A97:B97"/>
    <mergeCell ref="A110:B110"/>
    <mergeCell ref="A112:B112"/>
    <mergeCell ref="A132:B132"/>
    <mergeCell ref="A133:B133"/>
    <mergeCell ref="A131:B131"/>
    <mergeCell ref="A130:B130"/>
    <mergeCell ref="A94:B94"/>
    <mergeCell ref="A98:B98"/>
    <mergeCell ref="A99:B99"/>
    <mergeCell ref="A127:B127"/>
    <mergeCell ref="A114:B114"/>
    <mergeCell ref="A115:B115"/>
    <mergeCell ref="A116:B116"/>
    <mergeCell ref="A122:B122"/>
    <mergeCell ref="A121:B121"/>
    <mergeCell ref="A124:B124"/>
    <mergeCell ref="A85:B85"/>
    <mergeCell ref="A76:B76"/>
    <mergeCell ref="A77:B77"/>
    <mergeCell ref="A78:B78"/>
    <mergeCell ref="A79:B79"/>
    <mergeCell ref="A72:B72"/>
    <mergeCell ref="A74:B74"/>
    <mergeCell ref="A70:B70"/>
    <mergeCell ref="A69:B69"/>
    <mergeCell ref="A65:B65"/>
    <mergeCell ref="A66:B66"/>
    <mergeCell ref="A62:B62"/>
    <mergeCell ref="A63:B63"/>
    <mergeCell ref="A64:B64"/>
    <mergeCell ref="A75:B75"/>
    <mergeCell ref="A83:B83"/>
    <mergeCell ref="A84:B84"/>
    <mergeCell ref="A93:B93"/>
    <mergeCell ref="A91:B91"/>
    <mergeCell ref="A90:B90"/>
    <mergeCell ref="A68:B68"/>
    <mergeCell ref="A71:B71"/>
    <mergeCell ref="A73:B73"/>
    <mergeCell ref="A82:B82"/>
    <mergeCell ref="A21:B21"/>
    <mergeCell ref="A22:B22"/>
    <mergeCell ref="A32:B32"/>
    <mergeCell ref="A29:B29"/>
    <mergeCell ref="A129:B129"/>
    <mergeCell ref="A113:B113"/>
    <mergeCell ref="A81:B81"/>
    <mergeCell ref="A33:B33"/>
    <mergeCell ref="A47:B47"/>
    <mergeCell ref="A43:B43"/>
    <mergeCell ref="A44:B44"/>
    <mergeCell ref="A37:B37"/>
    <mergeCell ref="A36:B36"/>
    <mergeCell ref="A35:B35"/>
    <mergeCell ref="A111:B111"/>
    <mergeCell ref="A86:B86"/>
    <mergeCell ref="A95:B95"/>
    <mergeCell ref="A92:B92"/>
    <mergeCell ref="A89:B89"/>
    <mergeCell ref="A60:B60"/>
    <mergeCell ref="A59:B59"/>
    <mergeCell ref="A56:B56"/>
    <mergeCell ref="A54:B54"/>
    <mergeCell ref="A55:B55"/>
    <mergeCell ref="A53:B53"/>
    <mergeCell ref="A51:B51"/>
    <mergeCell ref="A52:B52"/>
    <mergeCell ref="A50:B50"/>
    <mergeCell ref="A80:B80"/>
    <mergeCell ref="A57:B57"/>
    <mergeCell ref="A58:B58"/>
    <mergeCell ref="A48:B48"/>
    <mergeCell ref="A49:B49"/>
    <mergeCell ref="A42:B42"/>
    <mergeCell ref="A41:B41"/>
  </mergeCells>
  <drawing r:id="rId1"/>
</worksheet>
</file>