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E9E6E6E-81A2-4E69-9B64-91856B7F24E2}" xr6:coauthVersionLast="47" xr6:coauthVersionMax="47" xr10:uidLastSave="{00000000-0000-0000-0000-000000000000}"/>
  <bookViews>
    <workbookView xWindow="900" yWindow="345" windowWidth="22905" windowHeight="15030" xr2:uid="{216E849F-A3C1-478A-8816-D5D2D948053B}"/>
  </bookViews>
  <sheets>
    <sheet name="INSTRUÇÕES" sheetId="13" r:id="rId1"/>
    <sheet name="FII" sheetId="3" r:id="rId2"/>
    <sheet name="VALUATION TIJOLO" sheetId="6" r:id="rId3"/>
    <sheet name="VALUATION PAPEL" sheetId="7" r:id="rId4"/>
    <sheet name="STATUS INVEST FII" sheetId="14" r:id="rId5"/>
    <sheet name="ATIVOS-GESTÃO" sheetId="8" state="hidden" r:id="rId6"/>
    <sheet name="DATA-COM" sheetId="11" state="hidden" r:id="rId7"/>
  </sheets>
  <definedNames>
    <definedName name="_xlnm.Print_Area" localSheetId="1">FII!$A$1:$K$312</definedName>
    <definedName name="TICKE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6" i="3" l="1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24" i="3"/>
  <c r="O125" i="3"/>
  <c r="O126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39" i="3"/>
  <c r="O140" i="3"/>
  <c r="O141" i="3"/>
  <c r="O142" i="3"/>
  <c r="O143" i="3"/>
  <c r="O144" i="3"/>
  <c r="O145" i="3"/>
  <c r="O146" i="3"/>
  <c r="O147" i="3"/>
  <c r="O148" i="3"/>
  <c r="O149" i="3"/>
  <c r="O150" i="3"/>
  <c r="O151" i="3"/>
  <c r="O152" i="3"/>
  <c r="O153" i="3"/>
  <c r="O154" i="3"/>
  <c r="O155" i="3"/>
  <c r="O156" i="3"/>
  <c r="O157" i="3"/>
  <c r="O158" i="3"/>
  <c r="O159" i="3"/>
  <c r="O160" i="3"/>
  <c r="O161" i="3"/>
  <c r="O162" i="3"/>
  <c r="O163" i="3"/>
  <c r="O164" i="3"/>
  <c r="O165" i="3"/>
  <c r="O166" i="3"/>
  <c r="O167" i="3"/>
  <c r="O168" i="3"/>
  <c r="O169" i="3"/>
  <c r="O170" i="3"/>
  <c r="O171" i="3"/>
  <c r="O172" i="3"/>
  <c r="O173" i="3"/>
  <c r="O174" i="3"/>
  <c r="O175" i="3"/>
  <c r="O176" i="3"/>
  <c r="O177" i="3"/>
  <c r="O178" i="3"/>
  <c r="O179" i="3"/>
  <c r="O180" i="3"/>
  <c r="O181" i="3"/>
  <c r="O182" i="3"/>
  <c r="O183" i="3"/>
  <c r="O184" i="3"/>
  <c r="O185" i="3"/>
  <c r="O186" i="3"/>
  <c r="O187" i="3"/>
  <c r="O188" i="3"/>
  <c r="O189" i="3"/>
  <c r="O190" i="3"/>
  <c r="O191" i="3"/>
  <c r="O192" i="3"/>
  <c r="O193" i="3"/>
  <c r="O194" i="3"/>
  <c r="O195" i="3"/>
  <c r="O196" i="3"/>
  <c r="O197" i="3"/>
  <c r="O198" i="3"/>
  <c r="O199" i="3"/>
  <c r="O200" i="3"/>
  <c r="O201" i="3"/>
  <c r="O202" i="3"/>
  <c r="O203" i="3"/>
  <c r="O204" i="3"/>
  <c r="O205" i="3"/>
  <c r="O206" i="3"/>
  <c r="O207" i="3"/>
  <c r="O208" i="3"/>
  <c r="O209" i="3"/>
  <c r="O210" i="3"/>
  <c r="O211" i="3"/>
  <c r="O212" i="3"/>
  <c r="O213" i="3"/>
  <c r="O214" i="3"/>
  <c r="O215" i="3"/>
  <c r="O216" i="3"/>
  <c r="O217" i="3"/>
  <c r="O218" i="3"/>
  <c r="O219" i="3"/>
  <c r="O220" i="3"/>
  <c r="O221" i="3"/>
  <c r="O222" i="3"/>
  <c r="O223" i="3"/>
  <c r="O224" i="3"/>
  <c r="O225" i="3"/>
  <c r="O226" i="3"/>
  <c r="O227" i="3"/>
  <c r="O228" i="3"/>
  <c r="O229" i="3"/>
  <c r="O230" i="3"/>
  <c r="O231" i="3"/>
  <c r="O232" i="3"/>
  <c r="O233" i="3"/>
  <c r="O234" i="3"/>
  <c r="O235" i="3"/>
  <c r="O236" i="3"/>
  <c r="O237" i="3"/>
  <c r="O238" i="3"/>
  <c r="O239" i="3"/>
  <c r="O240" i="3"/>
  <c r="O241" i="3"/>
  <c r="O242" i="3"/>
  <c r="O243" i="3"/>
  <c r="O244" i="3"/>
  <c r="O245" i="3"/>
  <c r="O246" i="3"/>
  <c r="O247" i="3"/>
  <c r="O248" i="3"/>
  <c r="O249" i="3"/>
  <c r="O250" i="3"/>
  <c r="O251" i="3"/>
  <c r="O252" i="3"/>
  <c r="O253" i="3"/>
  <c r="O254" i="3"/>
  <c r="O255" i="3"/>
  <c r="O256" i="3"/>
  <c r="O257" i="3"/>
  <c r="O258" i="3"/>
  <c r="O259" i="3"/>
  <c r="O260" i="3"/>
  <c r="O261" i="3"/>
  <c r="O262" i="3"/>
  <c r="O263" i="3"/>
  <c r="O264" i="3"/>
  <c r="O265" i="3"/>
  <c r="O266" i="3"/>
  <c r="O267" i="3"/>
  <c r="O268" i="3"/>
  <c r="O269" i="3"/>
  <c r="O270" i="3"/>
  <c r="O271" i="3"/>
  <c r="O272" i="3"/>
  <c r="O273" i="3"/>
  <c r="O274" i="3"/>
  <c r="O275" i="3"/>
  <c r="O276" i="3"/>
  <c r="O277" i="3"/>
  <c r="O278" i="3"/>
  <c r="O279" i="3"/>
  <c r="O280" i="3"/>
  <c r="O281" i="3"/>
  <c r="O282" i="3"/>
  <c r="O283" i="3"/>
  <c r="O284" i="3"/>
  <c r="O285" i="3"/>
  <c r="O286" i="3"/>
  <c r="O287" i="3"/>
  <c r="O288" i="3"/>
  <c r="O289" i="3"/>
  <c r="O290" i="3"/>
  <c r="O291" i="3"/>
  <c r="O292" i="3"/>
  <c r="O293" i="3"/>
  <c r="O294" i="3"/>
  <c r="O295" i="3"/>
  <c r="O296" i="3"/>
  <c r="O297" i="3"/>
  <c r="O298" i="3"/>
  <c r="O299" i="3"/>
  <c r="O300" i="3"/>
  <c r="O301" i="3"/>
  <c r="O302" i="3"/>
  <c r="O303" i="3"/>
  <c r="O304" i="3"/>
  <c r="O305" i="3"/>
  <c r="O306" i="3"/>
  <c r="O307" i="3"/>
  <c r="O308" i="3"/>
  <c r="O309" i="3"/>
  <c r="O310" i="3"/>
  <c r="O311" i="3"/>
  <c r="O312" i="3"/>
  <c r="O313" i="3"/>
  <c r="O314" i="3"/>
  <c r="O315" i="3"/>
  <c r="O316" i="3"/>
  <c r="O317" i="3"/>
  <c r="O318" i="3"/>
  <c r="O319" i="3"/>
  <c r="O320" i="3"/>
  <c r="O321" i="3"/>
  <c r="O322" i="3"/>
  <c r="O323" i="3"/>
  <c r="O324" i="3"/>
  <c r="O325" i="3"/>
  <c r="O326" i="3"/>
  <c r="O327" i="3"/>
  <c r="O328" i="3"/>
  <c r="O329" i="3"/>
  <c r="O330" i="3"/>
  <c r="O331" i="3"/>
  <c r="O332" i="3"/>
  <c r="O333" i="3"/>
  <c r="O334" i="3"/>
  <c r="O335" i="3"/>
  <c r="O336" i="3"/>
  <c r="O337" i="3"/>
  <c r="O338" i="3"/>
  <c r="O339" i="3"/>
  <c r="O340" i="3"/>
  <c r="O341" i="3"/>
  <c r="O342" i="3"/>
  <c r="O343" i="3"/>
  <c r="O344" i="3"/>
  <c r="O345" i="3"/>
  <c r="O346" i="3"/>
  <c r="O347" i="3"/>
  <c r="O348" i="3"/>
  <c r="O349" i="3"/>
  <c r="O350" i="3"/>
  <c r="O351" i="3"/>
  <c r="O352" i="3"/>
  <c r="O353" i="3"/>
  <c r="O354" i="3"/>
  <c r="O355" i="3"/>
  <c r="O356" i="3"/>
  <c r="O357" i="3"/>
  <c r="O358" i="3"/>
  <c r="O359" i="3"/>
  <c r="O360" i="3"/>
  <c r="O361" i="3"/>
  <c r="O362" i="3"/>
  <c r="O363" i="3"/>
  <c r="O364" i="3"/>
  <c r="O365" i="3"/>
  <c r="O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1" i="3"/>
  <c r="N212" i="3"/>
  <c r="N213" i="3"/>
  <c r="N214" i="3"/>
  <c r="N215" i="3"/>
  <c r="N216" i="3"/>
  <c r="N217" i="3"/>
  <c r="N218" i="3"/>
  <c r="N219" i="3"/>
  <c r="N220" i="3"/>
  <c r="N221" i="3"/>
  <c r="N222" i="3"/>
  <c r="N223" i="3"/>
  <c r="N224" i="3"/>
  <c r="N225" i="3"/>
  <c r="N226" i="3"/>
  <c r="N227" i="3"/>
  <c r="N228" i="3"/>
  <c r="N229" i="3"/>
  <c r="N230" i="3"/>
  <c r="N231" i="3"/>
  <c r="N232" i="3"/>
  <c r="N233" i="3"/>
  <c r="N234" i="3"/>
  <c r="N235" i="3"/>
  <c r="N236" i="3"/>
  <c r="N237" i="3"/>
  <c r="N238" i="3"/>
  <c r="N239" i="3"/>
  <c r="N240" i="3"/>
  <c r="N241" i="3"/>
  <c r="N242" i="3"/>
  <c r="N243" i="3"/>
  <c r="N244" i="3"/>
  <c r="N245" i="3"/>
  <c r="N246" i="3"/>
  <c r="N247" i="3"/>
  <c r="N248" i="3"/>
  <c r="N249" i="3"/>
  <c r="N250" i="3"/>
  <c r="N251" i="3"/>
  <c r="N252" i="3"/>
  <c r="N253" i="3"/>
  <c r="N254" i="3"/>
  <c r="N255" i="3"/>
  <c r="N256" i="3"/>
  <c r="N257" i="3"/>
  <c r="N258" i="3"/>
  <c r="N259" i="3"/>
  <c r="N260" i="3"/>
  <c r="N261" i="3"/>
  <c r="N262" i="3"/>
  <c r="N263" i="3"/>
  <c r="N264" i="3"/>
  <c r="N265" i="3"/>
  <c r="N266" i="3"/>
  <c r="N267" i="3"/>
  <c r="N268" i="3"/>
  <c r="N269" i="3"/>
  <c r="N270" i="3"/>
  <c r="N271" i="3"/>
  <c r="N272" i="3"/>
  <c r="N273" i="3"/>
  <c r="N274" i="3"/>
  <c r="N275" i="3"/>
  <c r="N276" i="3"/>
  <c r="N277" i="3"/>
  <c r="N278" i="3"/>
  <c r="N279" i="3"/>
  <c r="N280" i="3"/>
  <c r="N281" i="3"/>
  <c r="N282" i="3"/>
  <c r="N283" i="3"/>
  <c r="N284" i="3"/>
  <c r="N285" i="3"/>
  <c r="N286" i="3"/>
  <c r="N287" i="3"/>
  <c r="N288" i="3"/>
  <c r="N289" i="3"/>
  <c r="N290" i="3"/>
  <c r="N291" i="3"/>
  <c r="N292" i="3"/>
  <c r="N293" i="3"/>
  <c r="N294" i="3"/>
  <c r="N295" i="3"/>
  <c r="N296" i="3"/>
  <c r="N297" i="3"/>
  <c r="N298" i="3"/>
  <c r="N299" i="3"/>
  <c r="N300" i="3"/>
  <c r="N301" i="3"/>
  <c r="N302" i="3"/>
  <c r="N303" i="3"/>
  <c r="N304" i="3"/>
  <c r="N305" i="3"/>
  <c r="N306" i="3"/>
  <c r="N307" i="3"/>
  <c r="N308" i="3"/>
  <c r="N309" i="3"/>
  <c r="N310" i="3"/>
  <c r="N311" i="3"/>
  <c r="N312" i="3"/>
  <c r="N313" i="3"/>
  <c r="N314" i="3"/>
  <c r="N315" i="3"/>
  <c r="N316" i="3"/>
  <c r="N317" i="3"/>
  <c r="N318" i="3"/>
  <c r="N319" i="3"/>
  <c r="N320" i="3"/>
  <c r="N321" i="3"/>
  <c r="N322" i="3"/>
  <c r="N323" i="3"/>
  <c r="N324" i="3"/>
  <c r="N325" i="3"/>
  <c r="N326" i="3"/>
  <c r="N327" i="3"/>
  <c r="N328" i="3"/>
  <c r="N329" i="3"/>
  <c r="N330" i="3"/>
  <c r="N331" i="3"/>
  <c r="N332" i="3"/>
  <c r="N333" i="3"/>
  <c r="N334" i="3"/>
  <c r="N335" i="3"/>
  <c r="N336" i="3"/>
  <c r="N337" i="3"/>
  <c r="N338" i="3"/>
  <c r="N339" i="3"/>
  <c r="N340" i="3"/>
  <c r="N341" i="3"/>
  <c r="N342" i="3"/>
  <c r="N343" i="3"/>
  <c r="N344" i="3"/>
  <c r="N345" i="3"/>
  <c r="N346" i="3"/>
  <c r="N347" i="3"/>
  <c r="N348" i="3"/>
  <c r="N349" i="3"/>
  <c r="N350" i="3"/>
  <c r="N351" i="3"/>
  <c r="N352" i="3"/>
  <c r="N353" i="3"/>
  <c r="N354" i="3"/>
  <c r="N355" i="3"/>
  <c r="N356" i="3"/>
  <c r="N357" i="3"/>
  <c r="N358" i="3"/>
  <c r="N359" i="3"/>
  <c r="N360" i="3"/>
  <c r="N361" i="3"/>
  <c r="N362" i="3"/>
  <c r="N363" i="3"/>
  <c r="N364" i="3"/>
  <c r="N365" i="3"/>
  <c r="N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2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3" i="3"/>
  <c r="L264" i="3"/>
  <c r="L265" i="3"/>
  <c r="L266" i="3"/>
  <c r="L267" i="3"/>
  <c r="L268" i="3"/>
  <c r="L269" i="3"/>
  <c r="L270" i="3"/>
  <c r="L271" i="3"/>
  <c r="L272" i="3"/>
  <c r="L273" i="3"/>
  <c r="L274" i="3"/>
  <c r="L275" i="3"/>
  <c r="L276" i="3"/>
  <c r="L277" i="3"/>
  <c r="L278" i="3"/>
  <c r="L279" i="3"/>
  <c r="L280" i="3"/>
  <c r="L281" i="3"/>
  <c r="L282" i="3"/>
  <c r="L283" i="3"/>
  <c r="L284" i="3"/>
  <c r="L285" i="3"/>
  <c r="L286" i="3"/>
  <c r="L287" i="3"/>
  <c r="L288" i="3"/>
  <c r="L289" i="3"/>
  <c r="L290" i="3"/>
  <c r="L291" i="3"/>
  <c r="L292" i="3"/>
  <c r="L293" i="3"/>
  <c r="L294" i="3"/>
  <c r="L295" i="3"/>
  <c r="L296" i="3"/>
  <c r="L297" i="3"/>
  <c r="L298" i="3"/>
  <c r="L299" i="3"/>
  <c r="L300" i="3"/>
  <c r="L301" i="3"/>
  <c r="L302" i="3"/>
  <c r="L303" i="3"/>
  <c r="L304" i="3"/>
  <c r="L305" i="3"/>
  <c r="L306" i="3"/>
  <c r="L307" i="3"/>
  <c r="L308" i="3"/>
  <c r="L309" i="3"/>
  <c r="L310" i="3"/>
  <c r="L311" i="3"/>
  <c r="L312" i="3"/>
  <c r="L313" i="3"/>
  <c r="L314" i="3"/>
  <c r="L315" i="3"/>
  <c r="L316" i="3"/>
  <c r="L317" i="3"/>
  <c r="L318" i="3"/>
  <c r="L319" i="3"/>
  <c r="L320" i="3"/>
  <c r="L321" i="3"/>
  <c r="L322" i="3"/>
  <c r="L323" i="3"/>
  <c r="L324" i="3"/>
  <c r="L325" i="3"/>
  <c r="L326" i="3"/>
  <c r="L327" i="3"/>
  <c r="L328" i="3"/>
  <c r="L329" i="3"/>
  <c r="L330" i="3"/>
  <c r="L331" i="3"/>
  <c r="L332" i="3"/>
  <c r="L333" i="3"/>
  <c r="L334" i="3"/>
  <c r="L335" i="3"/>
  <c r="L336" i="3"/>
  <c r="L337" i="3"/>
  <c r="L338" i="3"/>
  <c r="L339" i="3"/>
  <c r="L340" i="3"/>
  <c r="L341" i="3"/>
  <c r="L342" i="3"/>
  <c r="L343" i="3"/>
  <c r="L344" i="3"/>
  <c r="L345" i="3"/>
  <c r="L346" i="3"/>
  <c r="L347" i="3"/>
  <c r="L348" i="3"/>
  <c r="L349" i="3"/>
  <c r="L350" i="3"/>
  <c r="L351" i="3"/>
  <c r="L352" i="3"/>
  <c r="L353" i="3"/>
  <c r="L354" i="3"/>
  <c r="L355" i="3"/>
  <c r="L356" i="3"/>
  <c r="L357" i="3"/>
  <c r="L358" i="3"/>
  <c r="L359" i="3"/>
  <c r="L360" i="3"/>
  <c r="L361" i="3"/>
  <c r="L362" i="3"/>
  <c r="L363" i="3"/>
  <c r="L364" i="3"/>
  <c r="L365" i="3"/>
  <c r="L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I356" i="3"/>
  <c r="I357" i="3"/>
  <c r="I358" i="3"/>
  <c r="I359" i="3"/>
  <c r="I360" i="3"/>
  <c r="I361" i="3"/>
  <c r="I362" i="3"/>
  <c r="I363" i="3"/>
  <c r="I364" i="3"/>
  <c r="I365" i="3"/>
  <c r="I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H300" i="3"/>
  <c r="H301" i="3"/>
  <c r="H302" i="3"/>
  <c r="H303" i="3"/>
  <c r="H304" i="3"/>
  <c r="H305" i="3"/>
  <c r="H306" i="3"/>
  <c r="H307" i="3"/>
  <c r="H308" i="3"/>
  <c r="H309" i="3"/>
  <c r="H310" i="3"/>
  <c r="H311" i="3"/>
  <c r="H312" i="3"/>
  <c r="H313" i="3"/>
  <c r="H314" i="3"/>
  <c r="H315" i="3"/>
  <c r="H316" i="3"/>
  <c r="H317" i="3"/>
  <c r="H318" i="3"/>
  <c r="H319" i="3"/>
  <c r="H320" i="3"/>
  <c r="H321" i="3"/>
  <c r="H322" i="3"/>
  <c r="H323" i="3"/>
  <c r="H324" i="3"/>
  <c r="H325" i="3"/>
  <c r="H326" i="3"/>
  <c r="H327" i="3"/>
  <c r="H328" i="3"/>
  <c r="H329" i="3"/>
  <c r="H330" i="3"/>
  <c r="H331" i="3"/>
  <c r="H332" i="3"/>
  <c r="H333" i="3"/>
  <c r="H334" i="3"/>
  <c r="H335" i="3"/>
  <c r="H336" i="3"/>
  <c r="H337" i="3"/>
  <c r="H338" i="3"/>
  <c r="H339" i="3"/>
  <c r="H340" i="3"/>
  <c r="H341" i="3"/>
  <c r="H342" i="3"/>
  <c r="H343" i="3"/>
  <c r="H344" i="3"/>
  <c r="H345" i="3"/>
  <c r="H346" i="3"/>
  <c r="H347" i="3"/>
  <c r="H348" i="3"/>
  <c r="H349" i="3"/>
  <c r="H350" i="3"/>
  <c r="H351" i="3"/>
  <c r="H352" i="3"/>
  <c r="H353" i="3"/>
  <c r="H354" i="3"/>
  <c r="H355" i="3"/>
  <c r="H356" i="3"/>
  <c r="H357" i="3"/>
  <c r="H358" i="3"/>
  <c r="H359" i="3"/>
  <c r="H360" i="3"/>
  <c r="H361" i="3"/>
  <c r="H362" i="3"/>
  <c r="H363" i="3"/>
  <c r="H364" i="3"/>
  <c r="H365" i="3"/>
  <c r="H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F361" i="3"/>
  <c r="F362" i="3"/>
  <c r="F363" i="3"/>
  <c r="F364" i="3"/>
  <c r="F365" i="3"/>
  <c r="F25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364" i="3"/>
  <c r="E365" i="3"/>
  <c r="E26" i="3"/>
  <c r="E25" i="3"/>
  <c r="D365" i="3"/>
  <c r="D364" i="3"/>
  <c r="D363" i="3"/>
  <c r="D362" i="3"/>
  <c r="D361" i="3"/>
  <c r="D360" i="3"/>
  <c r="D359" i="3"/>
  <c r="D358" i="3"/>
  <c r="D357" i="3"/>
  <c r="D356" i="3"/>
  <c r="D355" i="3"/>
  <c r="D354" i="3"/>
  <c r="D353" i="3"/>
  <c r="D352" i="3"/>
  <c r="D351" i="3"/>
  <c r="D350" i="3"/>
  <c r="D349" i="3"/>
  <c r="D348" i="3"/>
  <c r="D347" i="3"/>
  <c r="D346" i="3"/>
  <c r="D345" i="3"/>
  <c r="D344" i="3"/>
  <c r="D343" i="3"/>
  <c r="D342" i="3"/>
  <c r="D341" i="3"/>
  <c r="D340" i="3"/>
  <c r="D339" i="3"/>
  <c r="D338" i="3"/>
  <c r="D337" i="3"/>
  <c r="D336" i="3"/>
  <c r="D335" i="3"/>
  <c r="D334" i="3"/>
  <c r="D333" i="3"/>
  <c r="D332" i="3"/>
  <c r="D331" i="3"/>
  <c r="D330" i="3"/>
  <c r="D329" i="3"/>
  <c r="D328" i="3"/>
  <c r="D327" i="3"/>
  <c r="D326" i="3"/>
  <c r="D325" i="3"/>
  <c r="D324" i="3"/>
  <c r="D323" i="3"/>
  <c r="D322" i="3"/>
  <c r="D321" i="3"/>
  <c r="D320" i="3"/>
  <c r="D319" i="3"/>
  <c r="D318" i="3"/>
  <c r="D317" i="3"/>
  <c r="D316" i="3"/>
  <c r="D315" i="3"/>
  <c r="D314" i="3"/>
  <c r="D313" i="3"/>
  <c r="D312" i="3"/>
  <c r="D311" i="3"/>
  <c r="D310" i="3"/>
  <c r="D309" i="3"/>
  <c r="D308" i="3"/>
  <c r="D307" i="3"/>
  <c r="D306" i="3"/>
  <c r="D305" i="3"/>
  <c r="D304" i="3"/>
  <c r="D303" i="3"/>
  <c r="D302" i="3"/>
  <c r="D301" i="3"/>
  <c r="D300" i="3"/>
  <c r="D299" i="3"/>
  <c r="D298" i="3"/>
  <c r="D297" i="3"/>
  <c r="D296" i="3"/>
  <c r="D295" i="3"/>
  <c r="D294" i="3"/>
  <c r="D293" i="3"/>
  <c r="D292" i="3"/>
  <c r="D291" i="3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72" i="3"/>
  <c r="D271" i="3"/>
  <c r="D270" i="3"/>
  <c r="D269" i="3"/>
  <c r="D268" i="3"/>
  <c r="D267" i="3"/>
  <c r="D266" i="3"/>
  <c r="D265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1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6" i="3"/>
  <c r="D165" i="3"/>
  <c r="D164" i="3"/>
  <c r="D163" i="3"/>
  <c r="D162" i="3"/>
  <c r="D161" i="3"/>
  <c r="D160" i="3"/>
  <c r="D159" i="3"/>
  <c r="D158" i="3"/>
  <c r="D157" i="3"/>
  <c r="D156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C7" i="6"/>
  <c r="C6" i="6"/>
  <c r="C365" i="3"/>
  <c r="C364" i="3"/>
  <c r="C363" i="3"/>
  <c r="C362" i="3"/>
  <c r="C361" i="3"/>
  <c r="C360" i="3"/>
  <c r="C359" i="3"/>
  <c r="C358" i="3"/>
  <c r="C357" i="3"/>
  <c r="C356" i="3"/>
  <c r="C355" i="3"/>
  <c r="C354" i="3"/>
  <c r="C353" i="3"/>
  <c r="C352" i="3"/>
  <c r="C351" i="3"/>
  <c r="C350" i="3"/>
  <c r="C349" i="3"/>
  <c r="C348" i="3"/>
  <c r="C347" i="3"/>
  <c r="C346" i="3"/>
  <c r="C345" i="3"/>
  <c r="C344" i="3"/>
  <c r="C343" i="3"/>
  <c r="C342" i="3"/>
  <c r="C341" i="3"/>
  <c r="C340" i="3"/>
  <c r="C339" i="3"/>
  <c r="C338" i="3"/>
  <c r="C337" i="3"/>
  <c r="C336" i="3"/>
  <c r="C335" i="3"/>
  <c r="C334" i="3"/>
  <c r="C333" i="3"/>
  <c r="C332" i="3"/>
  <c r="C331" i="3"/>
  <c r="C330" i="3"/>
  <c r="C329" i="3"/>
  <c r="C328" i="3"/>
  <c r="C327" i="3"/>
  <c r="C326" i="3"/>
  <c r="C325" i="3"/>
  <c r="C324" i="3"/>
  <c r="C323" i="3"/>
  <c r="C322" i="3"/>
  <c r="C321" i="3"/>
  <c r="C320" i="3"/>
  <c r="C319" i="3"/>
  <c r="C318" i="3"/>
  <c r="C317" i="3"/>
  <c r="C316" i="3"/>
  <c r="C315" i="3"/>
  <c r="C314" i="3"/>
  <c r="C313" i="3"/>
  <c r="C312" i="3"/>
  <c r="C311" i="3"/>
  <c r="C310" i="3"/>
  <c r="C309" i="3"/>
  <c r="C308" i="3"/>
  <c r="C307" i="3"/>
  <c r="C306" i="3"/>
  <c r="C305" i="3"/>
  <c r="C304" i="3"/>
  <c r="C303" i="3"/>
  <c r="C302" i="3"/>
  <c r="C301" i="3"/>
  <c r="C300" i="3"/>
  <c r="C299" i="3"/>
  <c r="C298" i="3"/>
  <c r="C297" i="3"/>
  <c r="C296" i="3"/>
  <c r="C295" i="3"/>
  <c r="C294" i="3"/>
  <c r="C293" i="3"/>
  <c r="C292" i="3"/>
  <c r="C291" i="3"/>
  <c r="C290" i="3"/>
  <c r="C289" i="3"/>
  <c r="C288" i="3"/>
  <c r="C287" i="3"/>
  <c r="C286" i="3"/>
  <c r="C285" i="3"/>
  <c r="C284" i="3"/>
  <c r="C283" i="3"/>
  <c r="C282" i="3"/>
  <c r="C281" i="3"/>
  <c r="C280" i="3"/>
  <c r="C279" i="3"/>
  <c r="C278" i="3"/>
  <c r="C277" i="3"/>
  <c r="C276" i="3"/>
  <c r="C275" i="3"/>
  <c r="C274" i="3"/>
  <c r="C273" i="3"/>
  <c r="C272" i="3"/>
  <c r="C271" i="3"/>
  <c r="C270" i="3"/>
  <c r="C269" i="3"/>
  <c r="C268" i="3"/>
  <c r="C267" i="3"/>
  <c r="C266" i="3"/>
  <c r="C265" i="3"/>
  <c r="C264" i="3"/>
  <c r="C263" i="3"/>
  <c r="C262" i="3"/>
  <c r="C261" i="3"/>
  <c r="C260" i="3"/>
  <c r="C259" i="3"/>
  <c r="C258" i="3"/>
  <c r="C257" i="3"/>
  <c r="C256" i="3"/>
  <c r="C255" i="3"/>
  <c r="C254" i="3"/>
  <c r="C253" i="3"/>
  <c r="C252" i="3"/>
  <c r="C251" i="3"/>
  <c r="C250" i="3"/>
  <c r="C249" i="3"/>
  <c r="C248" i="3"/>
  <c r="C247" i="3"/>
  <c r="C246" i="3"/>
  <c r="C245" i="3"/>
  <c r="C244" i="3"/>
  <c r="C243" i="3"/>
  <c r="C242" i="3"/>
  <c r="C241" i="3"/>
  <c r="C240" i="3"/>
  <c r="C239" i="3"/>
  <c r="C238" i="3"/>
  <c r="C237" i="3"/>
  <c r="C236" i="3"/>
  <c r="C235" i="3"/>
  <c r="C234" i="3"/>
  <c r="C233" i="3"/>
  <c r="C232" i="3"/>
  <c r="C231" i="3"/>
  <c r="C230" i="3"/>
  <c r="C229" i="3"/>
  <c r="C228" i="3"/>
  <c r="C227" i="3"/>
  <c r="C226" i="3"/>
  <c r="C225" i="3"/>
  <c r="C224" i="3"/>
  <c r="C223" i="3"/>
  <c r="C222" i="3"/>
  <c r="C221" i="3"/>
  <c r="C220" i="3"/>
  <c r="C219" i="3"/>
  <c r="C218" i="3"/>
  <c r="C217" i="3"/>
  <c r="C216" i="3"/>
  <c r="C215" i="3"/>
  <c r="C214" i="3"/>
  <c r="C213" i="3"/>
  <c r="C212" i="3"/>
  <c r="C211" i="3"/>
  <c r="C210" i="3"/>
  <c r="C209" i="3"/>
  <c r="C208" i="3"/>
  <c r="C207" i="3"/>
  <c r="C206" i="3"/>
  <c r="C205" i="3"/>
  <c r="C204" i="3"/>
  <c r="C203" i="3"/>
  <c r="C202" i="3"/>
  <c r="C201" i="3"/>
  <c r="C200" i="3"/>
  <c r="C199" i="3"/>
  <c r="C198" i="3"/>
  <c r="C197" i="3"/>
  <c r="C196" i="3"/>
  <c r="C195" i="3"/>
  <c r="C194" i="3"/>
  <c r="C193" i="3"/>
  <c r="C192" i="3"/>
  <c r="C191" i="3"/>
  <c r="C190" i="3"/>
  <c r="C189" i="3"/>
  <c r="C188" i="3"/>
  <c r="C187" i="3"/>
  <c r="C186" i="3"/>
  <c r="C185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4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29" i="3"/>
  <c r="M330" i="3"/>
  <c r="M331" i="3"/>
  <c r="M332" i="3"/>
  <c r="M333" i="3"/>
  <c r="M334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K25" i="3"/>
  <c r="J25" i="3"/>
  <c r="M25" i="3" l="1"/>
  <c r="N23" i="3" l="1"/>
  <c r="E23" i="3"/>
  <c r="D23" i="3"/>
  <c r="F23" i="3"/>
  <c r="G23" i="3"/>
  <c r="H23" i="3"/>
  <c r="I23" i="3"/>
  <c r="O23" i="3"/>
  <c r="C24" i="7" l="1"/>
  <c r="H23" i="7"/>
  <c r="G23" i="7"/>
  <c r="D23" i="7"/>
  <c r="F23" i="7" s="1"/>
  <c r="J22" i="7"/>
  <c r="H22" i="7"/>
  <c r="G22" i="7"/>
  <c r="F22" i="7"/>
  <c r="H21" i="7"/>
  <c r="G21" i="7"/>
  <c r="F21" i="7"/>
  <c r="H20" i="7"/>
  <c r="G20" i="7"/>
  <c r="F20" i="7"/>
  <c r="H19" i="7"/>
  <c r="G19" i="7"/>
  <c r="D19" i="7"/>
  <c r="F19" i="7" s="1"/>
  <c r="H18" i="7"/>
  <c r="G18" i="7"/>
  <c r="D18" i="7"/>
  <c r="F18" i="7" s="1"/>
  <c r="H17" i="7"/>
  <c r="G17" i="7"/>
  <c r="D17" i="7"/>
  <c r="F17" i="7" s="1"/>
  <c r="H16" i="7"/>
  <c r="G16" i="7"/>
  <c r="D16" i="7"/>
  <c r="F16" i="7" s="1"/>
  <c r="I23" i="7" l="1"/>
  <c r="J23" i="7" s="1"/>
  <c r="I21" i="7"/>
  <c r="J21" i="7" s="1"/>
  <c r="C8" i="6"/>
  <c r="E41" i="6" s="1"/>
  <c r="I20" i="7"/>
  <c r="J20" i="7" s="1"/>
  <c r="I18" i="7"/>
  <c r="J18" i="7" s="1"/>
  <c r="I17" i="7"/>
  <c r="J17" i="7" s="1"/>
  <c r="D36" i="6"/>
  <c r="D53" i="6"/>
  <c r="I16" i="7"/>
  <c r="I19" i="7"/>
  <c r="J19" i="7" s="1"/>
  <c r="E24" i="6" l="1"/>
  <c r="I24" i="7"/>
  <c r="J16" i="7"/>
  <c r="J24" i="7" s="1"/>
  <c r="K24" i="7" s="1"/>
  <c r="C34" i="7" s="1"/>
  <c r="D34" i="7" s="1"/>
  <c r="C29" i="7" l="1"/>
  <c r="D29" i="7" s="1"/>
  <c r="C35" i="7"/>
  <c r="D35" i="7" s="1"/>
  <c r="C38" i="7"/>
  <c r="D38" i="7" s="1"/>
  <c r="C36" i="7"/>
  <c r="D36" i="7" s="1"/>
  <c r="C33" i="7"/>
  <c r="D33" i="7" s="1"/>
  <c r="C37" i="7"/>
  <c r="D37" i="7" s="1"/>
  <c r="C31" i="7"/>
  <c r="D31" i="7" s="1"/>
  <c r="C30" i="7"/>
  <c r="D30" i="7" s="1"/>
  <c r="C32" i="7"/>
  <c r="D32" i="7" s="1"/>
  <c r="C24" i="6" l="1"/>
  <c r="C25" i="6" s="1"/>
  <c r="C26" i="6" s="1"/>
  <c r="H41" i="6"/>
  <c r="E42" i="6" s="1"/>
  <c r="C41" i="6"/>
  <c r="D20" i="6"/>
  <c r="F20" i="6" s="1"/>
  <c r="D19" i="6"/>
  <c r="F19" i="6" s="1"/>
  <c r="D18" i="6"/>
  <c r="F18" i="6" s="1"/>
  <c r="D17" i="6"/>
  <c r="F17" i="6" s="1"/>
  <c r="C13" i="6" s="1"/>
  <c r="C11" i="6" l="1"/>
  <c r="D24" i="6"/>
  <c r="C27" i="6"/>
  <c r="D26" i="6"/>
  <c r="D41" i="6"/>
  <c r="H42" i="6"/>
  <c r="E43" i="6" s="1"/>
  <c r="C42" i="6"/>
  <c r="D42" i="6" s="1"/>
  <c r="D25" i="6"/>
  <c r="O22" i="3" l="1"/>
  <c r="C43" i="6"/>
  <c r="D43" i="6" s="1"/>
  <c r="H43" i="6"/>
  <c r="E44" i="6" s="1"/>
  <c r="C28" i="6"/>
  <c r="D27" i="6"/>
  <c r="O17" i="3"/>
  <c r="O11" i="3"/>
  <c r="O20" i="3"/>
  <c r="O13" i="3"/>
  <c r="O19" i="3"/>
  <c r="O12" i="3"/>
  <c r="O14" i="3"/>
  <c r="O16" i="3"/>
  <c r="O15" i="3"/>
  <c r="O18" i="3"/>
  <c r="O9" i="3"/>
  <c r="O21" i="3"/>
  <c r="O10" i="3"/>
  <c r="N22" i="3" l="1"/>
  <c r="H44" i="6"/>
  <c r="E45" i="6" s="1"/>
  <c r="C44" i="6"/>
  <c r="D44" i="6" s="1"/>
  <c r="C29" i="6"/>
  <c r="D28" i="6"/>
  <c r="N17" i="3"/>
  <c r="N21" i="3"/>
  <c r="N9" i="3"/>
  <c r="N20" i="3"/>
  <c r="N16" i="3"/>
  <c r="N14" i="3"/>
  <c r="N12" i="3"/>
  <c r="N10" i="3"/>
  <c r="N15" i="3"/>
  <c r="N18" i="3"/>
  <c r="N19" i="3"/>
  <c r="N13" i="3"/>
  <c r="N11" i="3"/>
  <c r="C30" i="6" l="1"/>
  <c r="D29" i="6"/>
  <c r="C45" i="6"/>
  <c r="D45" i="6" s="1"/>
  <c r="H45" i="6"/>
  <c r="E46" i="6" s="1"/>
  <c r="I22" i="3" l="1"/>
  <c r="H22" i="3"/>
  <c r="F22" i="3"/>
  <c r="E22" i="3"/>
  <c r="G22" i="3"/>
  <c r="D22" i="3"/>
  <c r="H46" i="6"/>
  <c r="E47" i="6" s="1"/>
  <c r="C46" i="6"/>
  <c r="D46" i="6" s="1"/>
  <c r="C31" i="6"/>
  <c r="D30" i="6"/>
  <c r="I20" i="3"/>
  <c r="H20" i="3"/>
  <c r="H21" i="3"/>
  <c r="G20" i="3"/>
  <c r="G21" i="3"/>
  <c r="F20" i="3"/>
  <c r="F21" i="3"/>
  <c r="E20" i="3"/>
  <c r="E21" i="3"/>
  <c r="I21" i="3"/>
  <c r="D20" i="3"/>
  <c r="D21" i="3"/>
  <c r="C32" i="6" l="1"/>
  <c r="D31" i="6"/>
  <c r="C47" i="6"/>
  <c r="D47" i="6" s="1"/>
  <c r="H47" i="6"/>
  <c r="E48" i="6" s="1"/>
  <c r="F19" i="3"/>
  <c r="I19" i="3"/>
  <c r="E19" i="3"/>
  <c r="G19" i="3"/>
  <c r="D19" i="3"/>
  <c r="H19" i="3"/>
  <c r="D9" i="3" l="1"/>
  <c r="C48" i="6"/>
  <c r="D48" i="6" s="1"/>
  <c r="H48" i="6"/>
  <c r="E49" i="6" s="1"/>
  <c r="C33" i="6"/>
  <c r="D32" i="6"/>
  <c r="G16" i="3"/>
  <c r="I16" i="3"/>
  <c r="H16" i="3"/>
  <c r="E17" i="3"/>
  <c r="F17" i="3"/>
  <c r="G17" i="3"/>
  <c r="H17" i="3"/>
  <c r="G10" i="3"/>
  <c r="I10" i="3"/>
  <c r="G11" i="3"/>
  <c r="E12" i="3"/>
  <c r="F13" i="3"/>
  <c r="E14" i="3"/>
  <c r="D18" i="3"/>
  <c r="I15" i="3"/>
  <c r="F16" i="3"/>
  <c r="F12" i="3"/>
  <c r="G15" i="3"/>
  <c r="I9" i="3"/>
  <c r="H14" i="3"/>
  <c r="D10" i="3"/>
  <c r="I12" i="3"/>
  <c r="I14" i="3"/>
  <c r="H18" i="3"/>
  <c r="E15" i="3"/>
  <c r="H9" i="3"/>
  <c r="F11" i="3"/>
  <c r="H15" i="3"/>
  <c r="H13" i="3"/>
  <c r="G14" i="3"/>
  <c r="F9" i="3"/>
  <c r="G18" i="3"/>
  <c r="D15" i="3"/>
  <c r="G12" i="3"/>
  <c r="I17" i="3"/>
  <c r="I13" i="3"/>
  <c r="I18" i="3"/>
  <c r="F10" i="3"/>
  <c r="I11" i="3"/>
  <c r="D17" i="3"/>
  <c r="D13" i="3"/>
  <c r="F18" i="3"/>
  <c r="E16" i="3"/>
  <c r="D11" i="3"/>
  <c r="G13" i="3"/>
  <c r="F14" i="3"/>
  <c r="H12" i="3"/>
  <c r="F15" i="3"/>
  <c r="H10" i="3"/>
  <c r="G9" i="3"/>
  <c r="H11" i="3"/>
  <c r="D16" i="3"/>
  <c r="D12" i="3"/>
  <c r="E13" i="3"/>
  <c r="D14" i="3"/>
  <c r="E18" i="3"/>
  <c r="E10" i="3"/>
  <c r="C49" i="6" l="1"/>
  <c r="D49" i="6" s="1"/>
  <c r="H49" i="6"/>
  <c r="E50" i="6" s="1"/>
  <c r="C34" i="6"/>
  <c r="D34" i="6" s="1"/>
  <c r="D33" i="6"/>
  <c r="E11" i="3"/>
  <c r="E9" i="3"/>
  <c r="B6" i="3"/>
  <c r="D35" i="6" l="1"/>
  <c r="D37" i="6" s="1"/>
  <c r="H50" i="6"/>
  <c r="C50" i="6"/>
  <c r="C51" i="6" l="1"/>
  <c r="D51" i="6" s="1"/>
  <c r="D50" i="6"/>
  <c r="D52" i="6" l="1"/>
  <c r="D54" i="6" s="1"/>
</calcChain>
</file>

<file path=xl/sharedStrings.xml><?xml version="1.0" encoding="utf-8"?>
<sst xmlns="http://schemas.openxmlformats.org/spreadsheetml/2006/main" count="3388" uniqueCount="556">
  <si>
    <t>DY</t>
  </si>
  <si>
    <t>P/VP</t>
  </si>
  <si>
    <t>SHOPPING</t>
  </si>
  <si>
    <t>DATA</t>
  </si>
  <si>
    <t>LOGÍSTICO - INDUSTRIAL</t>
  </si>
  <si>
    <t>RECEBÍVEIS - IGPM</t>
  </si>
  <si>
    <t>RECEBÍVEIS - IPCA</t>
  </si>
  <si>
    <t>RECEBÍVEIS - CDI</t>
  </si>
  <si>
    <t>BARI11</t>
  </si>
  <si>
    <t>HABT11</t>
  </si>
  <si>
    <t>HCTR11</t>
  </si>
  <si>
    <t>TORD11</t>
  </si>
  <si>
    <t>BTCR11</t>
  </si>
  <si>
    <t>CPTS11</t>
  </si>
  <si>
    <t>KNIP11</t>
  </si>
  <si>
    <t>KNHY11</t>
  </si>
  <si>
    <t>MCCI11</t>
  </si>
  <si>
    <t>RBIV11</t>
  </si>
  <si>
    <t>RECR11</t>
  </si>
  <si>
    <t>VRTA11</t>
  </si>
  <si>
    <t>XPCI11</t>
  </si>
  <si>
    <t>BCRI11</t>
  </si>
  <si>
    <t>FEXC11</t>
  </si>
  <si>
    <t>IRDM11</t>
  </si>
  <si>
    <t>KNCR11</t>
  </si>
  <si>
    <t>MXRF11</t>
  </si>
  <si>
    <t>RBRR11</t>
  </si>
  <si>
    <t>RBRY11</t>
  </si>
  <si>
    <t>SADI11</t>
  </si>
  <si>
    <t>ALZR11</t>
  </si>
  <si>
    <t>QAGR11</t>
  </si>
  <si>
    <t>BRCO11</t>
  </si>
  <si>
    <t>BTLG11</t>
  </si>
  <si>
    <t>EURO11</t>
  </si>
  <si>
    <t>GGRC11</t>
  </si>
  <si>
    <t>HGLG11</t>
  </si>
  <si>
    <t>LVBI11</t>
  </si>
  <si>
    <t>SDIL11</t>
  </si>
  <si>
    <t>VILG11</t>
  </si>
  <si>
    <t>XPLG11</t>
  </si>
  <si>
    <t>ABCP11</t>
  </si>
  <si>
    <t>FIGS11</t>
  </si>
  <si>
    <t>FVPQ11</t>
  </si>
  <si>
    <t>GSFI11</t>
  </si>
  <si>
    <t>HGBS11</t>
  </si>
  <si>
    <t>HSML11</t>
  </si>
  <si>
    <t>MALL11</t>
  </si>
  <si>
    <t>PQDP11</t>
  </si>
  <si>
    <t>VISC11</t>
  </si>
  <si>
    <t>VSHO11</t>
  </si>
  <si>
    <t>XPML11</t>
  </si>
  <si>
    <t>HCRI11</t>
  </si>
  <si>
    <t>NSLU11</t>
  </si>
  <si>
    <t>NVHO11</t>
  </si>
  <si>
    <t>HTMX11</t>
  </si>
  <si>
    <t>MGHT11</t>
  </si>
  <si>
    <t>XPHT11</t>
  </si>
  <si>
    <t>MFII11</t>
  </si>
  <si>
    <t>ALMI11</t>
  </si>
  <si>
    <t>BBFI11B</t>
  </si>
  <si>
    <t>BBPO11</t>
  </si>
  <si>
    <t>CBOP11</t>
  </si>
  <si>
    <t>CEOC11</t>
  </si>
  <si>
    <t>CNES11</t>
  </si>
  <si>
    <t>CTXT11</t>
  </si>
  <si>
    <t>DOMC11</t>
  </si>
  <si>
    <t>DRIT11B</t>
  </si>
  <si>
    <t>EDFO11B</t>
  </si>
  <si>
    <t>EDGA11</t>
  </si>
  <si>
    <t>FAMB11B</t>
  </si>
  <si>
    <t>FMOF11</t>
  </si>
  <si>
    <t>FPAB11</t>
  </si>
  <si>
    <t>GTWR11</t>
  </si>
  <si>
    <t>HGPO11</t>
  </si>
  <si>
    <t>HGRE11</t>
  </si>
  <si>
    <t>NEWU11</t>
  </si>
  <si>
    <t>ONEF11</t>
  </si>
  <si>
    <t>PATC11</t>
  </si>
  <si>
    <t>PRSV11</t>
  </si>
  <si>
    <t>RBCO11</t>
  </si>
  <si>
    <t>RCRB11</t>
  </si>
  <si>
    <t>RNGO11</t>
  </si>
  <si>
    <t>SPTW11</t>
  </si>
  <si>
    <t>TEPP11</t>
  </si>
  <si>
    <t>THRA11</t>
  </si>
  <si>
    <t>TRNT11</t>
  </si>
  <si>
    <t>VINO11</t>
  </si>
  <si>
    <t>VLOL11</t>
  </si>
  <si>
    <t>XPCM11</t>
  </si>
  <si>
    <t>XTED11</t>
  </si>
  <si>
    <t>CXTL11</t>
  </si>
  <si>
    <t>FIIP11B</t>
  </si>
  <si>
    <t>GRLV11</t>
  </si>
  <si>
    <t>HLOG11</t>
  </si>
  <si>
    <t>LGCP11</t>
  </si>
  <si>
    <t>PQAG11</t>
  </si>
  <si>
    <t>RBRL11</t>
  </si>
  <si>
    <t>VTLT11</t>
  </si>
  <si>
    <t>BBRC11</t>
  </si>
  <si>
    <t>BNFS11</t>
  </si>
  <si>
    <t>FAED11</t>
  </si>
  <si>
    <t>FCFL11</t>
  </si>
  <si>
    <t>HUSC11</t>
  </si>
  <si>
    <t>OULG11</t>
  </si>
  <si>
    <t>RBRP11</t>
  </si>
  <si>
    <t>RBVA11</t>
  </si>
  <si>
    <t>TGAR11</t>
  </si>
  <si>
    <t>TRXF11</t>
  </si>
  <si>
    <t>URPR11</t>
  </si>
  <si>
    <t>VGIP11</t>
  </si>
  <si>
    <t>ATSA11</t>
  </si>
  <si>
    <t>BPML11</t>
  </si>
  <si>
    <t>FIVN11</t>
  </si>
  <si>
    <t>FLRP11</t>
  </si>
  <si>
    <t>HMOC11</t>
  </si>
  <si>
    <t>HPDP11</t>
  </si>
  <si>
    <t>JRDM11</t>
  </si>
  <si>
    <t>LASC11</t>
  </si>
  <si>
    <t>RBGS11</t>
  </si>
  <si>
    <t>SCPF11</t>
  </si>
  <si>
    <t>SHPH11</t>
  </si>
  <si>
    <t>WPLZ11</t>
  </si>
  <si>
    <t>HOTEL</t>
  </si>
  <si>
    <t>HOSPITAL</t>
  </si>
  <si>
    <t>LAJES CORPORATIVAS</t>
  </si>
  <si>
    <t>OUTROS</t>
  </si>
  <si>
    <t>AFCR11</t>
  </si>
  <si>
    <t>ARCT11</t>
  </si>
  <si>
    <t>ARRI11</t>
  </si>
  <si>
    <t>BCFF11</t>
  </si>
  <si>
    <t>BCIA11</t>
  </si>
  <si>
    <t>BICR11</t>
  </si>
  <si>
    <t>BPFF11</t>
  </si>
  <si>
    <t>BRCR11</t>
  </si>
  <si>
    <t>BZLI11</t>
  </si>
  <si>
    <t>CARE11</t>
  </si>
  <si>
    <t>CPFF11</t>
  </si>
  <si>
    <t>CRFF11</t>
  </si>
  <si>
    <t>CVBI11</t>
  </si>
  <si>
    <t>CXCE11B</t>
  </si>
  <si>
    <t>CXRI11</t>
  </si>
  <si>
    <t>DMAC11</t>
  </si>
  <si>
    <t>FATN11</t>
  </si>
  <si>
    <t>FIIB11</t>
  </si>
  <si>
    <t>FLMA11</t>
  </si>
  <si>
    <t>GCFF11</t>
  </si>
  <si>
    <t>HBRH11</t>
  </si>
  <si>
    <t>HBTT11</t>
  </si>
  <si>
    <t>HFOF11</t>
  </si>
  <si>
    <t>HGCR11</t>
  </si>
  <si>
    <t>HGFF11</t>
  </si>
  <si>
    <t>HGRU11</t>
  </si>
  <si>
    <t>IBFF11</t>
  </si>
  <si>
    <t>JPPA11</t>
  </si>
  <si>
    <t>JSRE11</t>
  </si>
  <si>
    <t>KFOF11</t>
  </si>
  <si>
    <t>KNRE11</t>
  </si>
  <si>
    <t>KNRI11</t>
  </si>
  <si>
    <t>LUGG11</t>
  </si>
  <si>
    <t>MAXR11</t>
  </si>
  <si>
    <t>MBRF11</t>
  </si>
  <si>
    <t>MFAI11</t>
  </si>
  <si>
    <t>MGFF11</t>
  </si>
  <si>
    <t>MORE11</t>
  </si>
  <si>
    <t>NEWL11</t>
  </si>
  <si>
    <t>NVIF11B</t>
  </si>
  <si>
    <t>OUFF11</t>
  </si>
  <si>
    <t>OUJP11</t>
  </si>
  <si>
    <t>PABY11</t>
  </si>
  <si>
    <t>PATL11</t>
  </si>
  <si>
    <t>PLCR11</t>
  </si>
  <si>
    <t>PLRI11</t>
  </si>
  <si>
    <t>PORD11</t>
  </si>
  <si>
    <t>RBBV11</t>
  </si>
  <si>
    <t>RBCB11</t>
  </si>
  <si>
    <t>RBDS11</t>
  </si>
  <si>
    <t>RBED11</t>
  </si>
  <si>
    <t>RBFF11</t>
  </si>
  <si>
    <t>RBRD11</t>
  </si>
  <si>
    <t>RBRF11</t>
  </si>
  <si>
    <t>RBVO11</t>
  </si>
  <si>
    <t>RDPD11</t>
  </si>
  <si>
    <t>RECT11</t>
  </si>
  <si>
    <t>RFOF11</t>
  </si>
  <si>
    <t>RNDP11</t>
  </si>
  <si>
    <t>RVBI11</t>
  </si>
  <si>
    <t>SARE11</t>
  </si>
  <si>
    <t>SPVJ11</t>
  </si>
  <si>
    <t>VCJR11</t>
  </si>
  <si>
    <t>VGIR11</t>
  </si>
  <si>
    <t>VIFI11</t>
  </si>
  <si>
    <t>VOTS11</t>
  </si>
  <si>
    <t>VVPR11</t>
  </si>
  <si>
    <t>WTSP11B</t>
  </si>
  <si>
    <t>XPIN11</t>
  </si>
  <si>
    <t>XPPR11</t>
  </si>
  <si>
    <t>XPSF11</t>
  </si>
  <si>
    <t>TICKER</t>
  </si>
  <si>
    <t>PRECO</t>
  </si>
  <si>
    <t>LIQUIDEZ MEDIA DIARIA</t>
  </si>
  <si>
    <t>PERCENTUAL EM CAIXA</t>
  </si>
  <si>
    <t>CAGR DIVIDENDOS 3 ANOS</t>
  </si>
  <si>
    <t xml:space="preserve"> CAGR VALOR CORA 3 ANOS</t>
  </si>
  <si>
    <t>PATRIMONIO</t>
  </si>
  <si>
    <t>N COTISTAS</t>
  </si>
  <si>
    <t>GESTAO</t>
  </si>
  <si>
    <t>Passiva</t>
  </si>
  <si>
    <t>TFOF11</t>
  </si>
  <si>
    <t>Ativa</t>
  </si>
  <si>
    <t>TRXB11</t>
  </si>
  <si>
    <t>VERE11</t>
  </si>
  <si>
    <t>XPHT12</t>
  </si>
  <si>
    <t>NPAR11</t>
  </si>
  <si>
    <t>SHOP11</t>
  </si>
  <si>
    <t>FOFT11</t>
  </si>
  <si>
    <t>FPNG11</t>
  </si>
  <si>
    <t>FVBI11</t>
  </si>
  <si>
    <t>LFTT11</t>
  </si>
  <si>
    <t>PBLV11</t>
  </si>
  <si>
    <t>SPAF11</t>
  </si>
  <si>
    <t>STRX11</t>
  </si>
  <si>
    <t>TBOF11</t>
  </si>
  <si>
    <t>JTPR11</t>
  </si>
  <si>
    <t>ELDO11B</t>
  </si>
  <si>
    <t>SHDP11B</t>
  </si>
  <si>
    <t>ARFI11B</t>
  </si>
  <si>
    <t>TORM13</t>
  </si>
  <si>
    <t>TOUR11</t>
  </si>
  <si>
    <t>BMII11</t>
  </si>
  <si>
    <t>BVAR11</t>
  </si>
  <si>
    <t>ANCR11B</t>
  </si>
  <si>
    <t>HSAF11</t>
  </si>
  <si>
    <t>FCAS11</t>
  </si>
  <si>
    <t>FTCE11B</t>
  </si>
  <si>
    <t>PVBI11</t>
  </si>
  <si>
    <t>RCRI11B</t>
  </si>
  <si>
    <t>REIT11</t>
  </si>
  <si>
    <t>TCPF11</t>
  </si>
  <si>
    <t>FISC11</t>
  </si>
  <si>
    <t>FISD11</t>
  </si>
  <si>
    <t>BBIM11</t>
  </si>
  <si>
    <t>BRIM11</t>
  </si>
  <si>
    <t>BLCP11</t>
  </si>
  <si>
    <t>DAMT11B</t>
  </si>
  <si>
    <t>JPPC11</t>
  </si>
  <si>
    <t>KINP11</t>
  </si>
  <si>
    <t>FINF11</t>
  </si>
  <si>
    <t>HOSI11</t>
  </si>
  <si>
    <t>HRDF11</t>
  </si>
  <si>
    <t>HUSI11</t>
  </si>
  <si>
    <t>LOFT11B</t>
  </si>
  <si>
    <t>BPRP11</t>
  </si>
  <si>
    <t>BREV11</t>
  </si>
  <si>
    <t>TSNC11</t>
  </si>
  <si>
    <t>RBIR11</t>
  </si>
  <si>
    <t>CFHI11</t>
  </si>
  <si>
    <t>--</t>
  </si>
  <si>
    <t>RCFA11</t>
  </si>
  <si>
    <t>RCFF11</t>
  </si>
  <si>
    <t>RSPD11</t>
  </si>
  <si>
    <t>SFND11</t>
  </si>
  <si>
    <t>AQLL11</t>
  </si>
  <si>
    <t>ATCR11</t>
  </si>
  <si>
    <t>BLMO11</t>
  </si>
  <si>
    <t>DOVL11B</t>
  </si>
  <si>
    <t>BRHT11B</t>
  </si>
  <si>
    <t>ERPA11</t>
  </si>
  <si>
    <t>GESE11B</t>
  </si>
  <si>
    <t>ORPD11</t>
  </si>
  <si>
    <t>IFIE11</t>
  </si>
  <si>
    <t>LATR11B</t>
  </si>
  <si>
    <t>PRSN11B</t>
  </si>
  <si>
    <t>PATB11</t>
  </si>
  <si>
    <t>PRTS11</t>
  </si>
  <si>
    <t>RBRM11</t>
  </si>
  <si>
    <t>RBRS11</t>
  </si>
  <si>
    <t>VLJS11</t>
  </si>
  <si>
    <t>VSEC11</t>
  </si>
  <si>
    <t>VTPL11</t>
  </si>
  <si>
    <t>RBTS11</t>
  </si>
  <si>
    <t>VXXV11</t>
  </si>
  <si>
    <t>SAIC11B</t>
  </si>
  <si>
    <t>VPSI11</t>
  </si>
  <si>
    <t>CAIXA</t>
  </si>
  <si>
    <t>CAGR DIV 3A</t>
  </si>
  <si>
    <t xml:space="preserve"> CAGR COTA 3A</t>
  </si>
  <si>
    <t>PATRIMÔNIO</t>
  </si>
  <si>
    <t>FUNDOS DE FUNDOS</t>
  </si>
  <si>
    <t>AGÊNCIA BANCARIA</t>
  </si>
  <si>
    <t>MULTI</t>
  </si>
  <si>
    <t>MONO</t>
  </si>
  <si>
    <t>ATIVOS</t>
  </si>
  <si>
    <t>LOCATÁRIO</t>
  </si>
  <si>
    <t>-</t>
  </si>
  <si>
    <t>EDUCACIONAL</t>
  </si>
  <si>
    <t>INCORPORAÇÃO</t>
  </si>
  <si>
    <t>RESIDENCIAL</t>
  </si>
  <si>
    <t>GESTÃO</t>
  </si>
  <si>
    <t>COTISTAS</t>
  </si>
  <si>
    <t>SETOR</t>
  </si>
  <si>
    <t>AIEC11</t>
  </si>
  <si>
    <t>RZTR11</t>
  </si>
  <si>
    <t>KNSC11</t>
  </si>
  <si>
    <t>BMLC11</t>
  </si>
  <si>
    <t>RELG11</t>
  </si>
  <si>
    <t>HREC11</t>
  </si>
  <si>
    <t>KEVE11</t>
  </si>
  <si>
    <t>RRCI11</t>
  </si>
  <si>
    <t>CJCT11</t>
  </si>
  <si>
    <t>HCST11</t>
  </si>
  <si>
    <t>DEVA11</t>
  </si>
  <si>
    <t>RMAI11</t>
  </si>
  <si>
    <t>KISU11</t>
  </si>
  <si>
    <t>HSLG11</t>
  </si>
  <si>
    <t>MGCR11</t>
  </si>
  <si>
    <t>HSRE11</t>
  </si>
  <si>
    <t>HAAA11</t>
  </si>
  <si>
    <t>GALG11</t>
  </si>
  <si>
    <t>RZAK11</t>
  </si>
  <si>
    <t>MINT11</t>
  </si>
  <si>
    <t>BBFO11</t>
  </si>
  <si>
    <t>OURE11</t>
  </si>
  <si>
    <t>BRIP11</t>
  </si>
  <si>
    <t>FLCR11</t>
  </si>
  <si>
    <t>CXCO11</t>
  </si>
  <si>
    <t>MORC11</t>
  </si>
  <si>
    <t>MVFI11</t>
  </si>
  <si>
    <t>NAVT11</t>
  </si>
  <si>
    <t>BLMG11</t>
  </si>
  <si>
    <t>BLMR11</t>
  </si>
  <si>
    <t>RBHY11</t>
  </si>
  <si>
    <t>BTAL11</t>
  </si>
  <si>
    <t>CJFI11</t>
  </si>
  <si>
    <t>BTSG11</t>
  </si>
  <si>
    <t>BTWR11</t>
  </si>
  <si>
    <t>BZEL11</t>
  </si>
  <si>
    <t>JFLL11</t>
  </si>
  <si>
    <t>MTOF11</t>
  </si>
  <si>
    <t>RECX11</t>
  </si>
  <si>
    <t>DLMT11</t>
  </si>
  <si>
    <t>GCRI11</t>
  </si>
  <si>
    <t>ERCR11</t>
  </si>
  <si>
    <t>MGLG11</t>
  </si>
  <si>
    <t>SEQR11</t>
  </si>
  <si>
    <t>SBCL11</t>
  </si>
  <si>
    <t>TCIN11</t>
  </si>
  <si>
    <t>MOFF11</t>
  </si>
  <si>
    <t>SOLR11</t>
  </si>
  <si>
    <t>ATWN11</t>
  </si>
  <si>
    <t>CORM11</t>
  </si>
  <si>
    <t>HBCR11</t>
  </si>
  <si>
    <t>HGIC11</t>
  </si>
  <si>
    <t>RBLG11</t>
  </si>
  <si>
    <t>SALI11</t>
  </si>
  <si>
    <t>BRLA11</t>
  </si>
  <si>
    <t>CCRF11</t>
  </si>
  <si>
    <t>BLMC11</t>
  </si>
  <si>
    <t>AFHI11</t>
  </si>
  <si>
    <t>AFOF11</t>
  </si>
  <si>
    <t>BICE11</t>
  </si>
  <si>
    <t>HCHG11</t>
  </si>
  <si>
    <t>EGYR11</t>
  </si>
  <si>
    <t>ESTQ11</t>
  </si>
  <si>
    <t>EVBI11</t>
  </si>
  <si>
    <t>IFID11</t>
  </si>
  <si>
    <t>JBFO11</t>
  </si>
  <si>
    <t>LKDV11</t>
  </si>
  <si>
    <t>LSPA11</t>
  </si>
  <si>
    <t>PEMA11</t>
  </si>
  <si>
    <t>ROOF11</t>
  </si>
  <si>
    <t>PLOG11</t>
  </si>
  <si>
    <t>PNDL11</t>
  </si>
  <si>
    <t>PNPR11</t>
  </si>
  <si>
    <t>SJAU11</t>
  </si>
  <si>
    <t>VGHF11</t>
  </si>
  <si>
    <t>VIDS11</t>
  </si>
  <si>
    <t>VSLH11</t>
  </si>
  <si>
    <t>VTPA11</t>
  </si>
  <si>
    <t>VTRT11</t>
  </si>
  <si>
    <t>VTVI11</t>
  </si>
  <si>
    <t>VTXI11</t>
  </si>
  <si>
    <t>YUFI11</t>
  </si>
  <si>
    <t>ZIFI11</t>
  </si>
  <si>
    <t>TSER11</t>
  </si>
  <si>
    <t>LIQUIDEZ DIÁRIA</t>
  </si>
  <si>
    <t>MONITOR DE FII</t>
  </si>
  <si>
    <t>PREMISSAS</t>
  </si>
  <si>
    <t>PRÊMIO DE RISCO DO CAP RATE</t>
  </si>
  <si>
    <t>CAP RATE TERMINAL</t>
  </si>
  <si>
    <t>TAXA DE CRESCIMENTO</t>
  </si>
  <si>
    <t>Shopping</t>
  </si>
  <si>
    <t>TAXA DE DESCONTO</t>
  </si>
  <si>
    <t>Logístico/Industrial</t>
  </si>
  <si>
    <t>QUANTIDADE DE ANOS</t>
  </si>
  <si>
    <t>Lajes</t>
  </si>
  <si>
    <t>TAXA DO IPCA + 2035</t>
  </si>
  <si>
    <t>PRÊMIO DE RISCO DO DESCONTO</t>
  </si>
  <si>
    <t>CENÁRIO 1 - USANDO TAXA DE CRESCIMETNO CONSTANTE</t>
  </si>
  <si>
    <t>ANO</t>
  </si>
  <si>
    <t>RENDA FUTURA</t>
  </si>
  <si>
    <t>DESCONTANDO A VALOR PRESENTE</t>
  </si>
  <si>
    <t>DIVIDENDO MENSAL</t>
  </si>
  <si>
    <t>DESINVESTIMENTO</t>
  </si>
  <si>
    <t>VALOR JUSTO</t>
  </si>
  <si>
    <t>CENÁRIO 2 - CRESCIMENTO VARIÁVEL</t>
  </si>
  <si>
    <t>DIVIDENDO MÉDIO MENSAL</t>
  </si>
  <si>
    <t>IPCA</t>
  </si>
  <si>
    <t>DIVIDENDO</t>
  </si>
  <si>
    <t>PREÇO DA COTA</t>
  </si>
  <si>
    <t>DESCONTO</t>
  </si>
  <si>
    <t>FII</t>
  </si>
  <si>
    <t>QMFF11</t>
  </si>
  <si>
    <t>VALUATION PAPEL</t>
  </si>
  <si>
    <t>INDICADORES</t>
  </si>
  <si>
    <t>CDI</t>
  </si>
  <si>
    <t>IGP-M</t>
  </si>
  <si>
    <t>IGP-DI</t>
  </si>
  <si>
    <t>INPC</t>
  </si>
  <si>
    <t>DESPESA</t>
  </si>
  <si>
    <t>VALOR PATRIMONIAL</t>
  </si>
  <si>
    <t>COTAÇÃO</t>
  </si>
  <si>
    <t>COMPOSIÇÃO DO FUNDO</t>
  </si>
  <si>
    <t>INDICADOR</t>
  </si>
  <si>
    <t>PERCENTUAL DO PL</t>
  </si>
  <si>
    <t>TAXA</t>
  </si>
  <si>
    <t>TAXA+</t>
  </si>
  <si>
    <t>TAXA TOTAL</t>
  </si>
  <si>
    <t>DESPESAS</t>
  </si>
  <si>
    <t>DIVIDENDO ANUAL</t>
  </si>
  <si>
    <t>Pré-Fixado</t>
  </si>
  <si>
    <t>TOTAL</t>
  </si>
  <si>
    <t>PROJEÇÕES</t>
  </si>
  <si>
    <t>COTA</t>
  </si>
  <si>
    <t>VALUATION TIJOLO</t>
  </si>
  <si>
    <t>JSAF11</t>
  </si>
  <si>
    <t>BTRA11</t>
  </si>
  <si>
    <t>SNFF11</t>
  </si>
  <si>
    <t>EQIN11</t>
  </si>
  <si>
    <t>SNCI11</t>
  </si>
  <si>
    <t>TELD11</t>
  </si>
  <si>
    <t>CVPR11</t>
  </si>
  <si>
    <t>RBHG11</t>
  </si>
  <si>
    <t>MATV11</t>
  </si>
  <si>
    <t>VJFD11</t>
  </si>
  <si>
    <t>HGRS11</t>
  </si>
  <si>
    <t>MCHY11</t>
  </si>
  <si>
    <t>VIUR11</t>
  </si>
  <si>
    <t>XBXO11</t>
  </si>
  <si>
    <t>DVFF11</t>
  </si>
  <si>
    <t>TJKB11</t>
  </si>
  <si>
    <t>CACR11</t>
  </si>
  <si>
    <t>MCHF11</t>
  </si>
  <si>
    <t>CYCR11</t>
  </si>
  <si>
    <t>MMPD11</t>
  </si>
  <si>
    <t>QAMI11</t>
  </si>
  <si>
    <t>SFRO11</t>
  </si>
  <si>
    <t>IBCR11</t>
  </si>
  <si>
    <t>APTO11</t>
  </si>
  <si>
    <t>BTSI11</t>
  </si>
  <si>
    <t>PRZS11</t>
  </si>
  <si>
    <t>LPLP11</t>
  </si>
  <si>
    <t>CXAG11</t>
  </si>
  <si>
    <t>BLCA11</t>
  </si>
  <si>
    <t>EQIR11</t>
  </si>
  <si>
    <t>QIRI11</t>
  </si>
  <si>
    <t>GAME11</t>
  </si>
  <si>
    <t>RBRI11</t>
  </si>
  <si>
    <t>GZIT11</t>
  </si>
  <si>
    <t>BIME11</t>
  </si>
  <si>
    <t>GTLG11</t>
  </si>
  <si>
    <t>MGIM11</t>
  </si>
  <si>
    <t>SIGR11</t>
  </si>
  <si>
    <t>EXES11</t>
  </si>
  <si>
    <t>IRIM11</t>
  </si>
  <si>
    <t>IDFI11</t>
  </si>
  <si>
    <t>PURB11</t>
  </si>
  <si>
    <t>VCRR11</t>
  </si>
  <si>
    <t xml:space="preserve">MULT </t>
  </si>
  <si>
    <t xml:space="preserve">MONO </t>
  </si>
  <si>
    <t>AGRO</t>
  </si>
  <si>
    <t>RZAG11</t>
  </si>
  <si>
    <t>JGPX11</t>
  </si>
  <si>
    <t>EQIA11</t>
  </si>
  <si>
    <t>VGIA11</t>
  </si>
  <si>
    <t>XPCA11</t>
  </si>
  <si>
    <t xml:space="preserve">primeiro </t>
  </si>
  <si>
    <t>QIFF11</t>
  </si>
  <si>
    <t>BMLC11B</t>
  </si>
  <si>
    <t>DIA ÚTIL</t>
  </si>
  <si>
    <t>DATA-COM         (Dia Útil)</t>
  </si>
  <si>
    <t>RURA11</t>
  </si>
  <si>
    <t/>
  </si>
  <si>
    <t>MMVE11</t>
  </si>
  <si>
    <t>ITIT11</t>
  </si>
  <si>
    <t>BLUR11</t>
  </si>
  <si>
    <t>SRVD11</t>
  </si>
  <si>
    <t>ITIP11</t>
  </si>
  <si>
    <t>LAVF11</t>
  </si>
  <si>
    <t>SEED11</t>
  </si>
  <si>
    <t xml:space="preserve">Último </t>
  </si>
  <si>
    <t xml:space="preserve">Décimo </t>
  </si>
  <si>
    <t xml:space="preserve">Décimo primeiro </t>
  </si>
  <si>
    <t xml:space="preserve">Quinto </t>
  </si>
  <si>
    <t xml:space="preserve">Décimo Quinto </t>
  </si>
  <si>
    <t xml:space="preserve">Sétimo </t>
  </si>
  <si>
    <t xml:space="preserve">Décimo Terceiro </t>
  </si>
  <si>
    <t xml:space="preserve">Quarto </t>
  </si>
  <si>
    <t xml:space="preserve">Décimo Quarto </t>
  </si>
  <si>
    <t xml:space="preserve">Décimo Sexto </t>
  </si>
  <si>
    <t xml:space="preserve">Sexto </t>
  </si>
  <si>
    <t xml:space="preserve">Oitavo </t>
  </si>
  <si>
    <t xml:space="preserve">Nono </t>
  </si>
  <si>
    <t xml:space="preserve">Décimo Segundo </t>
  </si>
  <si>
    <t xml:space="preserve">Segundo </t>
  </si>
  <si>
    <t>ATUALIZAÇÃO DOS DADOS STATUS INVEST</t>
  </si>
  <si>
    <t>GooglePlanilhas</t>
  </si>
  <si>
    <t>Outra opção de baixar a planilha atualizada:</t>
  </si>
  <si>
    <t>1) Baixar no site do status invest a planilha na Busca</t>
  </si>
  <si>
    <t>Copie o endereço abaixo no seu navegador e clique enter. O Arquivo baixará automaticamente.</t>
  </si>
  <si>
    <t>2) Clicar em "Busca"</t>
  </si>
  <si>
    <t>3) Clicar em "Download"</t>
  </si>
  <si>
    <t>4) Abrir o arquivo baixado no Excel</t>
  </si>
  <si>
    <t>4) Abrir a Planilha de Valuation</t>
  </si>
  <si>
    <t>5) Clicar na setinha do canto superior direito entre os numeros das linhas e as letras das colunas para selecionar tudo</t>
  </si>
  <si>
    <t>5) Clicar na aba "Dados Status Invest"</t>
  </si>
  <si>
    <t>6) Control + C</t>
  </si>
  <si>
    <t>7) Abrir a Planilha de Valuation</t>
  </si>
  <si>
    <t>8) Clicar na aba "Dados Status Invest"</t>
  </si>
  <si>
    <t>9) Clicar na setinha do canto superior direito entre os numeros das linhas e as letras das colunas para selecionar tudo</t>
  </si>
  <si>
    <t>10) Control + V</t>
  </si>
  <si>
    <t>Se desconfigurar:</t>
  </si>
  <si>
    <t>Verificar se o idioma do computador nas configurações e do excel esta em Português (Aba "Ferrramentas"&gt; "Idioma")</t>
  </si>
  <si>
    <t>Clicar em: "Ferramentas" &gt; "Opções" &gt; "Internacional" e alterar o Separador Decimal (tira a virgula e coloca ponto) e o Separador de Milhar (tira o ponto e coloca virgula)</t>
  </si>
  <si>
    <t>Outra opção: Aba "Arquivo" (no menu avançado de alguns Excel) &gt; "Opções" &gt; desmarque a caixa de seleção usar separadores do sistema e depois digite novos separadores nas caixas separador decimal (coloca ponto) e separador de milhar (coloca vírgula)</t>
  </si>
  <si>
    <t>KIVO11</t>
  </si>
  <si>
    <t>https://statusinvest.com.br/category/advancedsearchresultexport?search=%7B%22Segment%22%3A%22%22%2C%22Gestao%22%3A%22%22%2C%22my_range%22%3A%220%3B20%22%2C%22dy%22%3A%7B%22Item1%22%3Anull%2C%22Item2%22%3Anull%7D%2C%22p_vp%22%3A%7B%22Item1%22%3Anull%2C%22Item2%22%3Anull%7D%2C%22percentualcaixa%22%3A%7B%22Item1%22%3Anull%2C%22Item2%22%3Anull%7D%2C%22numerocotistas%22%3A%7B%22Item1%22%3Anull%2C%22Item2%22%3Anull%7D%2C%22dividend_cagr%22%3A%7B%22Item1%22%3Anull%2C%22Item2%22%3Anull%7D%2C%22cota_cagr%22%3A%7B%22Item1%22%3Anull%2C%22Item2%22%3Anull%7D%2C%22liquidezmediadiaria%22%3A%7B%22Item1%22%3Anull%2C%22Item2%22%3Anull%7D%2C%22patrimonio%22%3A%7B%22Item1%22%3Anull%2C%22Item2%22%3Anull%7D%7D&amp;CategoryType=2</t>
  </si>
  <si>
    <t>https://statusinvest.com.br/fundos-imobiliarios/busca-avancada</t>
  </si>
  <si>
    <t>No Numbers do Mac não funciona!</t>
  </si>
  <si>
    <t>Libre Office</t>
  </si>
  <si>
    <t>6) Clicar em "Arquivos"</t>
  </si>
  <si>
    <t>7) Clicar em "Importar"</t>
  </si>
  <si>
    <t>8) Clicar em "Upload"</t>
  </si>
  <si>
    <t>9) Apagar os dados dessa aba</t>
  </si>
  <si>
    <t>9) Selecionar o arquivo .csv que fez o Download no site e que você gravou no google drive</t>
  </si>
  <si>
    <t>10) Clicar na célula A1</t>
  </si>
  <si>
    <t>10) Em Importar local, mudar de "Criar planilha" para "Substituir página atual"</t>
  </si>
  <si>
    <t>11) Control + V</t>
  </si>
  <si>
    <t>11) Em Tipo de separador, mudar de "Detectar automaticamente" para "Personalizado"</t>
  </si>
  <si>
    <r>
      <t>12) Digitar "</t>
    </r>
    <r>
      <rPr>
        <b/>
        <sz val="11"/>
        <color theme="1"/>
        <rFont val="Arial"/>
        <family val="2"/>
      </rPr>
      <t>;</t>
    </r>
    <r>
      <rPr>
        <sz val="11"/>
        <color theme="1"/>
        <rFont val="Arial"/>
        <family val="2"/>
      </rPr>
      <t>" no quadrado branco que aparece embaixo de "Separador personalizado"</t>
    </r>
  </si>
  <si>
    <t>13) Desclicar a opção "Converter texto em numeros"</t>
  </si>
  <si>
    <t>14) Clicar em " Importar dados"</t>
  </si>
  <si>
    <t>ULTIMO DIVIDENDO</t>
  </si>
  <si>
    <t>VALOR PATRIMONIAL COTA</t>
  </si>
  <si>
    <t xml:space="preserve"> N COTAS</t>
  </si>
  <si>
    <t>KCRE11</t>
  </si>
  <si>
    <t>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</si>
</sst>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#,##0_ ;\-#,##0\ "/>
    <numFmt numFmtId="165" formatCode="0.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2"/>
      <color rgb="FF392077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5"/>
      <color rgb="FFFAAD29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i/>
      <sz val="11"/>
      <color theme="1"/>
      <name val="Arial"/>
      <family val="2"/>
    </font>
    <font>
      <b/>
      <sz val="11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9207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/>
      <top/>
      <bottom style="thin">
        <color theme="0"/>
      </bottom>
      <diagonal/>
    </border>
    <border>
      <left/>
      <right style="medium">
        <color indexed="64"/>
      </right>
      <top/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/>
    <xf numFmtId="0" fontId="19" fillId="0" borderId="0"/>
    <xf numFmtId="0" fontId="20" fillId="0" borderId="0" applyNumberFormat="0" applyFill="0" applyBorder="0" applyAlignment="0" applyProtection="0"/>
  </cellStyleXfs>
  <cellXfs count="289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Border="1"/>
    <xf numFmtId="44" fontId="5" fillId="2" borderId="7" xfId="1" applyFont="1" applyFill="1" applyBorder="1" applyAlignment="1">
      <alignment horizontal="center"/>
    </xf>
    <xf numFmtId="10" fontId="2" fillId="2" borderId="8" xfId="2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10" fontId="5" fillId="2" borderId="8" xfId="2" applyNumberFormat="1" applyFont="1" applyFill="1" applyBorder="1"/>
    <xf numFmtId="10" fontId="5" fillId="2" borderId="8" xfId="2" applyNumberFormat="1" applyFont="1" applyFill="1" applyBorder="1" applyAlignment="1">
      <alignment horizontal="center"/>
    </xf>
    <xf numFmtId="44" fontId="5" fillId="2" borderId="10" xfId="1" applyFont="1" applyFill="1" applyBorder="1" applyAlignment="1">
      <alignment horizontal="center"/>
    </xf>
    <xf numFmtId="10" fontId="2" fillId="2" borderId="2" xfId="2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0" fontId="5" fillId="2" borderId="2" xfId="2" applyNumberFormat="1" applyFont="1" applyFill="1" applyBorder="1"/>
    <xf numFmtId="10" fontId="5" fillId="2" borderId="2" xfId="2" applyNumberFormat="1" applyFont="1" applyFill="1" applyBorder="1" applyAlignment="1">
      <alignment horizontal="center"/>
    </xf>
    <xf numFmtId="44" fontId="5" fillId="2" borderId="12" xfId="1" applyFont="1" applyFill="1" applyBorder="1" applyAlignment="1">
      <alignment horizontal="center"/>
    </xf>
    <xf numFmtId="10" fontId="2" fillId="2" borderId="13" xfId="2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10" fontId="5" fillId="2" borderId="13" xfId="2" applyNumberFormat="1" applyFont="1" applyFill="1" applyBorder="1"/>
    <xf numFmtId="10" fontId="5" fillId="2" borderId="13" xfId="2" applyNumberFormat="1" applyFont="1" applyFill="1" applyBorder="1" applyAlignment="1">
      <alignment horizontal="center"/>
    </xf>
    <xf numFmtId="44" fontId="5" fillId="2" borderId="8" xfId="1" applyFont="1" applyFill="1" applyBorder="1" applyAlignment="1">
      <alignment horizontal="center"/>
    </xf>
    <xf numFmtId="44" fontId="5" fillId="2" borderId="2" xfId="1" applyFont="1" applyFill="1" applyBorder="1" applyAlignment="1">
      <alignment horizontal="center"/>
    </xf>
    <xf numFmtId="44" fontId="5" fillId="2" borderId="13" xfId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/>
    </xf>
    <xf numFmtId="10" fontId="4" fillId="2" borderId="2" xfId="0" applyNumberFormat="1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10" fontId="4" fillId="2" borderId="8" xfId="0" applyNumberFormat="1" applyFont="1" applyFill="1" applyBorder="1" applyAlignment="1">
      <alignment horizontal="center"/>
    </xf>
    <xf numFmtId="2" fontId="2" fillId="2" borderId="13" xfId="0" applyNumberFormat="1" applyFont="1" applyFill="1" applyBorder="1" applyAlignment="1">
      <alignment horizontal="center"/>
    </xf>
    <xf numFmtId="10" fontId="4" fillId="2" borderId="13" xfId="0" applyNumberFormat="1" applyFont="1" applyFill="1" applyBorder="1" applyAlignment="1">
      <alignment horizontal="center"/>
    </xf>
    <xf numFmtId="10" fontId="2" fillId="2" borderId="7" xfId="2" applyNumberFormat="1" applyFont="1" applyFill="1" applyBorder="1" applyAlignment="1">
      <alignment horizontal="center"/>
    </xf>
    <xf numFmtId="10" fontId="2" fillId="2" borderId="10" xfId="2" applyNumberFormat="1" applyFont="1" applyFill="1" applyBorder="1" applyAlignment="1">
      <alignment horizontal="center"/>
    </xf>
    <xf numFmtId="10" fontId="2" fillId="2" borderId="12" xfId="2" applyNumberFormat="1" applyFont="1" applyFill="1" applyBorder="1" applyAlignment="1">
      <alignment horizontal="center"/>
    </xf>
    <xf numFmtId="10" fontId="5" fillId="2" borderId="8" xfId="0" applyNumberFormat="1" applyFont="1" applyFill="1" applyBorder="1" applyAlignment="1">
      <alignment horizontal="center"/>
    </xf>
    <xf numFmtId="10" fontId="5" fillId="2" borderId="2" xfId="0" applyNumberFormat="1" applyFont="1" applyFill="1" applyBorder="1" applyAlignment="1">
      <alignment horizontal="center"/>
    </xf>
    <xf numFmtId="10" fontId="5" fillId="2" borderId="13" xfId="0" applyNumberFormat="1" applyFont="1" applyFill="1" applyBorder="1" applyAlignment="1">
      <alignment horizontal="center"/>
    </xf>
    <xf numFmtId="44" fontId="5" fillId="2" borderId="31" xfId="1" applyFont="1" applyFill="1" applyBorder="1" applyAlignment="1">
      <alignment horizontal="center"/>
    </xf>
    <xf numFmtId="44" fontId="5" fillId="2" borderId="33" xfId="1" applyFont="1" applyFill="1" applyBorder="1" applyAlignment="1">
      <alignment horizontal="center"/>
    </xf>
    <xf numFmtId="10" fontId="2" fillId="2" borderId="34" xfId="2" applyNumberFormat="1" applyFont="1" applyFill="1" applyBorder="1" applyAlignment="1">
      <alignment horizontal="center"/>
    </xf>
    <xf numFmtId="0" fontId="2" fillId="2" borderId="34" xfId="0" applyFont="1" applyFill="1" applyBorder="1" applyAlignment="1">
      <alignment horizontal="center"/>
    </xf>
    <xf numFmtId="10" fontId="5" fillId="2" borderId="34" xfId="2" applyNumberFormat="1" applyFont="1" applyFill="1" applyBorder="1"/>
    <xf numFmtId="10" fontId="5" fillId="2" borderId="34" xfId="2" applyNumberFormat="1" applyFont="1" applyFill="1" applyBorder="1" applyAlignment="1">
      <alignment horizontal="center"/>
    </xf>
    <xf numFmtId="44" fontId="5" fillId="2" borderId="34" xfId="1" applyFont="1" applyFill="1" applyBorder="1" applyAlignment="1">
      <alignment horizontal="center"/>
    </xf>
    <xf numFmtId="0" fontId="5" fillId="2" borderId="34" xfId="0" applyFont="1" applyFill="1" applyBorder="1" applyAlignment="1">
      <alignment horizontal="center" vertical="center"/>
    </xf>
    <xf numFmtId="44" fontId="5" fillId="2" borderId="29" xfId="1" applyFont="1" applyFill="1" applyBorder="1" applyAlignment="1">
      <alignment horizontal="center"/>
    </xf>
    <xf numFmtId="10" fontId="2" fillId="2" borderId="31" xfId="2" applyNumberFormat="1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10" fontId="5" fillId="2" borderId="31" xfId="2" applyNumberFormat="1" applyFont="1" applyFill="1" applyBorder="1"/>
    <xf numFmtId="10" fontId="5" fillId="2" borderId="31" xfId="2" applyNumberFormat="1" applyFont="1" applyFill="1" applyBorder="1" applyAlignment="1">
      <alignment horizontal="center"/>
    </xf>
    <xf numFmtId="164" fontId="5" fillId="2" borderId="2" xfId="1" applyNumberFormat="1" applyFont="1" applyFill="1" applyBorder="1" applyAlignment="1">
      <alignment horizontal="center"/>
    </xf>
    <xf numFmtId="164" fontId="5" fillId="2" borderId="8" xfId="1" applyNumberFormat="1" applyFont="1" applyFill="1" applyBorder="1" applyAlignment="1">
      <alignment horizontal="center"/>
    </xf>
    <xf numFmtId="44" fontId="0" fillId="0" borderId="9" xfId="1" applyFont="1" applyBorder="1"/>
    <xf numFmtId="44" fontId="0" fillId="0" borderId="11" xfId="1" applyFont="1" applyBorder="1"/>
    <xf numFmtId="164" fontId="5" fillId="2" borderId="13" xfId="1" applyNumberFormat="1" applyFont="1" applyFill="1" applyBorder="1" applyAlignment="1">
      <alignment horizontal="center"/>
    </xf>
    <xf numFmtId="44" fontId="0" fillId="0" borderId="14" xfId="1" applyFont="1" applyBorder="1"/>
    <xf numFmtId="164" fontId="5" fillId="2" borderId="34" xfId="1" applyNumberFormat="1" applyFont="1" applyFill="1" applyBorder="1" applyAlignment="1">
      <alignment horizontal="center"/>
    </xf>
    <xf numFmtId="44" fontId="0" fillId="0" borderId="35" xfId="1" applyFont="1" applyBorder="1"/>
    <xf numFmtId="44" fontId="0" fillId="0" borderId="9" xfId="1" applyFont="1" applyBorder="1" applyAlignment="1">
      <alignment horizontal="center"/>
    </xf>
    <xf numFmtId="44" fontId="0" fillId="0" borderId="11" xfId="1" applyFont="1" applyBorder="1" applyAlignment="1">
      <alignment horizontal="center"/>
    </xf>
    <xf numFmtId="44" fontId="0" fillId="0" borderId="14" xfId="1" applyFont="1" applyBorder="1" applyAlignment="1">
      <alignment horizontal="center"/>
    </xf>
    <xf numFmtId="10" fontId="8" fillId="3" borderId="0" xfId="2" quotePrefix="1" applyNumberFormat="1" applyFont="1" applyFill="1" applyBorder="1" applyAlignment="1">
      <alignment vertical="center"/>
    </xf>
    <xf numFmtId="0" fontId="4" fillId="3" borderId="4" xfId="0" applyFont="1" applyFill="1" applyBorder="1"/>
    <xf numFmtId="0" fontId="5" fillId="3" borderId="4" xfId="0" applyFont="1" applyFill="1" applyBorder="1"/>
    <xf numFmtId="0" fontId="5" fillId="3" borderId="4" xfId="0" applyFont="1" applyFill="1" applyBorder="1" applyAlignment="1">
      <alignment horizontal="center" vertical="center"/>
    </xf>
    <xf numFmtId="0" fontId="0" fillId="3" borderId="4" xfId="0" applyFill="1" applyBorder="1"/>
    <xf numFmtId="0" fontId="0" fillId="3" borderId="5" xfId="0" applyFill="1" applyBorder="1"/>
    <xf numFmtId="0" fontId="4" fillId="3" borderId="0" xfId="0" applyFont="1" applyFill="1" applyBorder="1"/>
    <xf numFmtId="0" fontId="5" fillId="3" borderId="0" xfId="0" applyFont="1" applyFill="1" applyBorder="1"/>
    <xf numFmtId="0" fontId="5" fillId="3" borderId="0" xfId="0" applyFont="1" applyFill="1" applyBorder="1" applyAlignment="1">
      <alignment horizontal="center" vertical="center"/>
    </xf>
    <xf numFmtId="0" fontId="0" fillId="3" borderId="0" xfId="0" applyFill="1" applyBorder="1"/>
    <xf numFmtId="0" fontId="0" fillId="3" borderId="6" xfId="0" applyFill="1" applyBorder="1"/>
    <xf numFmtId="0" fontId="4" fillId="3" borderId="20" xfId="0" applyFont="1" applyFill="1" applyBorder="1"/>
    <xf numFmtId="0" fontId="5" fillId="3" borderId="20" xfId="0" applyFont="1" applyFill="1" applyBorder="1"/>
    <xf numFmtId="0" fontId="5" fillId="3" borderId="20" xfId="0" applyFont="1" applyFill="1" applyBorder="1" applyAlignment="1">
      <alignment horizontal="center" vertical="center"/>
    </xf>
    <xf numFmtId="0" fontId="0" fillId="3" borderId="20" xfId="0" applyFill="1" applyBorder="1"/>
    <xf numFmtId="0" fontId="0" fillId="3" borderId="21" xfId="0" applyFill="1" applyBorder="1"/>
    <xf numFmtId="164" fontId="5" fillId="2" borderId="31" xfId="1" applyNumberFormat="1" applyFont="1" applyFill="1" applyBorder="1" applyAlignment="1">
      <alignment horizontal="center"/>
    </xf>
    <xf numFmtId="44" fontId="0" fillId="0" borderId="32" xfId="1" applyFont="1" applyBorder="1"/>
    <xf numFmtId="0" fontId="0" fillId="3" borderId="3" xfId="0" applyFill="1" applyBorder="1"/>
    <xf numFmtId="0" fontId="0" fillId="3" borderId="5" xfId="0" applyFill="1" applyBorder="1" applyAlignment="1">
      <alignment horizontal="center"/>
    </xf>
    <xf numFmtId="0" fontId="3" fillId="5" borderId="38" xfId="0" applyFont="1" applyFill="1" applyBorder="1"/>
    <xf numFmtId="10" fontId="0" fillId="4" borderId="39" xfId="0" applyNumberFormat="1" applyFill="1" applyBorder="1" applyAlignment="1">
      <alignment horizontal="center"/>
    </xf>
    <xf numFmtId="0" fontId="3" fillId="5" borderId="15" xfId="0" applyFont="1" applyFill="1" applyBorder="1"/>
    <xf numFmtId="10" fontId="0" fillId="0" borderId="41" xfId="2" applyNumberFormat="1" applyFont="1" applyBorder="1" applyAlignment="1">
      <alignment horizontal="center"/>
    </xf>
    <xf numFmtId="9" fontId="0" fillId="4" borderId="9" xfId="0" applyNumberFormat="1" applyFill="1" applyBorder="1" applyAlignment="1">
      <alignment horizontal="center"/>
    </xf>
    <xf numFmtId="10" fontId="0" fillId="6" borderId="42" xfId="2" applyNumberFormat="1" applyFont="1" applyFill="1" applyBorder="1" applyAlignment="1">
      <alignment horizontal="center"/>
    </xf>
    <xf numFmtId="9" fontId="0" fillId="4" borderId="11" xfId="0" applyNumberFormat="1" applyFill="1" applyBorder="1" applyAlignment="1">
      <alignment horizontal="center"/>
    </xf>
    <xf numFmtId="0" fontId="3" fillId="5" borderId="16" xfId="0" applyFont="1" applyFill="1" applyBorder="1"/>
    <xf numFmtId="9" fontId="0" fillId="4" borderId="14" xfId="0" applyNumberFormat="1" applyFill="1" applyBorder="1" applyAlignment="1">
      <alignment horizontal="center"/>
    </xf>
    <xf numFmtId="0" fontId="3" fillId="5" borderId="43" xfId="0" applyFont="1" applyFill="1" applyBorder="1" applyAlignment="1">
      <alignment horizontal="center" vertical="center"/>
    </xf>
    <xf numFmtId="0" fontId="3" fillId="5" borderId="44" xfId="0" applyFont="1" applyFill="1" applyBorder="1" applyAlignment="1">
      <alignment horizontal="center" vertical="center" wrapText="1"/>
    </xf>
    <xf numFmtId="0" fontId="3" fillId="5" borderId="44" xfId="0" applyFont="1" applyFill="1" applyBorder="1" applyAlignment="1">
      <alignment horizontal="center" vertical="center"/>
    </xf>
    <xf numFmtId="0" fontId="3" fillId="5" borderId="4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0" fontId="0" fillId="0" borderId="7" xfId="2" applyNumberFormat="1" applyFont="1" applyBorder="1" applyAlignment="1">
      <alignment horizontal="center"/>
    </xf>
    <xf numFmtId="10" fontId="0" fillId="0" borderId="8" xfId="2" applyNumberFormat="1" applyFont="1" applyBorder="1" applyAlignment="1">
      <alignment horizontal="center"/>
    </xf>
    <xf numFmtId="10" fontId="0" fillId="4" borderId="8" xfId="2" applyNumberFormat="1" applyFont="1" applyFill="1" applyBorder="1" applyAlignment="1">
      <alignment horizontal="center"/>
    </xf>
    <xf numFmtId="10" fontId="0" fillId="6" borderId="42" xfId="0" applyNumberFormat="1" applyFill="1" applyBorder="1" applyAlignment="1">
      <alignment horizontal="center"/>
    </xf>
    <xf numFmtId="10" fontId="0" fillId="0" borderId="10" xfId="2" applyNumberFormat="1" applyFont="1" applyBorder="1" applyAlignment="1">
      <alignment horizontal="center"/>
    </xf>
    <xf numFmtId="10" fontId="0" fillId="0" borderId="2" xfId="2" applyNumberFormat="1" applyFont="1" applyBorder="1" applyAlignment="1">
      <alignment horizontal="center"/>
    </xf>
    <xf numFmtId="10" fontId="0" fillId="4" borderId="2" xfId="2" applyNumberFormat="1" applyFont="1" applyFill="1" applyBorder="1" applyAlignment="1">
      <alignment horizontal="center"/>
    </xf>
    <xf numFmtId="10" fontId="0" fillId="4" borderId="35" xfId="0" applyNumberFormat="1" applyFill="1" applyBorder="1" applyAlignment="1">
      <alignment horizontal="center"/>
    </xf>
    <xf numFmtId="10" fontId="0" fillId="4" borderId="11" xfId="0" applyNumberFormat="1" applyFill="1" applyBorder="1" applyAlignment="1">
      <alignment horizontal="center"/>
    </xf>
    <xf numFmtId="10" fontId="0" fillId="0" borderId="12" xfId="2" applyNumberFormat="1" applyFont="1" applyBorder="1" applyAlignment="1">
      <alignment horizontal="center"/>
    </xf>
    <xf numFmtId="10" fontId="0" fillId="0" borderId="13" xfId="2" applyNumberFormat="1" applyFont="1" applyBorder="1" applyAlignment="1">
      <alignment horizontal="center"/>
    </xf>
    <xf numFmtId="10" fontId="0" fillId="4" borderId="13" xfId="2" applyNumberFormat="1" applyFont="1" applyFill="1" applyBorder="1" applyAlignment="1">
      <alignment horizontal="center"/>
    </xf>
    <xf numFmtId="10" fontId="0" fillId="4" borderId="14" xfId="0" applyNumberFormat="1" applyFill="1" applyBorder="1" applyAlignment="1">
      <alignment horizontal="center"/>
    </xf>
    <xf numFmtId="44" fontId="0" fillId="0" borderId="0" xfId="0" applyNumberFormat="1" applyAlignment="1">
      <alignment horizontal="center"/>
    </xf>
    <xf numFmtId="0" fontId="3" fillId="5" borderId="47" xfId="0" applyFont="1" applyFill="1" applyBorder="1" applyAlignment="1">
      <alignment horizontal="center"/>
    </xf>
    <xf numFmtId="0" fontId="3" fillId="5" borderId="48" xfId="0" applyFont="1" applyFill="1" applyBorder="1"/>
    <xf numFmtId="44" fontId="3" fillId="5" borderId="49" xfId="1" applyFont="1" applyFill="1" applyBorder="1" applyAlignment="1">
      <alignment horizontal="center"/>
    </xf>
    <xf numFmtId="0" fontId="3" fillId="5" borderId="45" xfId="0" applyFont="1" applyFill="1" applyBorder="1" applyAlignment="1">
      <alignment horizontal="center" vertical="center" wrapText="1"/>
    </xf>
    <xf numFmtId="0" fontId="0" fillId="0" borderId="50" xfId="0" applyBorder="1" applyAlignment="1">
      <alignment horizontal="center"/>
    </xf>
    <xf numFmtId="10" fontId="0" fillId="0" borderId="8" xfId="0" applyNumberFormat="1" applyBorder="1"/>
    <xf numFmtId="0" fontId="0" fillId="0" borderId="2" xfId="0" applyBorder="1" applyAlignment="1">
      <alignment horizontal="center"/>
    </xf>
    <xf numFmtId="10" fontId="0" fillId="0" borderId="2" xfId="0" applyNumberFormat="1" applyBorder="1"/>
    <xf numFmtId="0" fontId="0" fillId="0" borderId="13" xfId="0" applyBorder="1" applyAlignment="1">
      <alignment horizontal="center"/>
    </xf>
    <xf numFmtId="10" fontId="0" fillId="0" borderId="13" xfId="0" applyNumberFormat="1" applyBorder="1"/>
    <xf numFmtId="10" fontId="3" fillId="5" borderId="49" xfId="2" applyNumberFormat="1" applyFont="1" applyFill="1" applyBorder="1" applyAlignment="1">
      <alignment horizontal="center"/>
    </xf>
    <xf numFmtId="10" fontId="0" fillId="0" borderId="0" xfId="2" applyNumberFormat="1" applyFont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42" xfId="0" applyFill="1" applyBorder="1"/>
    <xf numFmtId="0" fontId="0" fillId="0" borderId="20" xfId="0" applyFill="1" applyBorder="1"/>
    <xf numFmtId="0" fontId="6" fillId="2" borderId="15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3" borderId="18" xfId="0" applyFont="1" applyFill="1" applyBorder="1" applyAlignment="1">
      <alignment horizontal="left"/>
    </xf>
    <xf numFmtId="0" fontId="4" fillId="3" borderId="19" xfId="0" applyFont="1" applyFill="1" applyBorder="1" applyAlignment="1">
      <alignment horizontal="left"/>
    </xf>
    <xf numFmtId="0" fontId="6" fillId="2" borderId="17" xfId="0" applyFont="1" applyFill="1" applyBorder="1" applyAlignment="1">
      <alignment horizontal="left"/>
    </xf>
    <xf numFmtId="0" fontId="6" fillId="2" borderId="22" xfId="0" applyFont="1" applyFill="1" applyBorder="1" applyAlignment="1">
      <alignment horizontal="left"/>
    </xf>
    <xf numFmtId="0" fontId="4" fillId="2" borderId="22" xfId="0" applyFont="1" applyFill="1" applyBorder="1" applyAlignment="1">
      <alignment horizontal="left"/>
    </xf>
    <xf numFmtId="0" fontId="6" fillId="2" borderId="16" xfId="0" applyFont="1" applyFill="1" applyBorder="1" applyAlignment="1">
      <alignment horizontal="left"/>
    </xf>
    <xf numFmtId="0" fontId="0" fillId="0" borderId="0" xfId="0" applyFont="1" applyBorder="1"/>
    <xf numFmtId="0" fontId="5" fillId="2" borderId="51" xfId="0" applyFont="1" applyFill="1" applyBorder="1" applyAlignment="1">
      <alignment horizontal="center" vertical="center"/>
    </xf>
    <xf numFmtId="0" fontId="0" fillId="4" borderId="7" xfId="0" applyFill="1" applyBorder="1"/>
    <xf numFmtId="10" fontId="0" fillId="0" borderId="9" xfId="0" applyNumberFormat="1" applyBorder="1"/>
    <xf numFmtId="0" fontId="0" fillId="4" borderId="10" xfId="0" applyFill="1" applyBorder="1"/>
    <xf numFmtId="10" fontId="0" fillId="0" borderId="11" xfId="0" applyNumberFormat="1" applyBorder="1"/>
    <xf numFmtId="0" fontId="0" fillId="4" borderId="12" xfId="0" applyFill="1" applyBorder="1"/>
    <xf numFmtId="0" fontId="3" fillId="4" borderId="47" xfId="0" applyFont="1" applyFill="1" applyBorder="1" applyAlignment="1">
      <alignment horizontal="center" vertical="center"/>
    </xf>
    <xf numFmtId="0" fontId="3" fillId="4" borderId="48" xfId="0" applyFont="1" applyFill="1" applyBorder="1" applyAlignment="1">
      <alignment horizontal="center" vertical="center"/>
    </xf>
    <xf numFmtId="0" fontId="3" fillId="4" borderId="49" xfId="0" applyFont="1" applyFill="1" applyBorder="1" applyAlignment="1">
      <alignment horizontal="center" vertical="center"/>
    </xf>
    <xf numFmtId="0" fontId="0" fillId="4" borderId="33" xfId="0" applyFill="1" applyBorder="1"/>
    <xf numFmtId="10" fontId="0" fillId="0" borderId="34" xfId="2" applyNumberFormat="1" applyFont="1" applyBorder="1"/>
    <xf numFmtId="10" fontId="0" fillId="4" borderId="34" xfId="0" applyNumberFormat="1" applyFill="1" applyBorder="1"/>
    <xf numFmtId="165" fontId="0" fillId="4" borderId="34" xfId="0" applyNumberFormat="1" applyFill="1" applyBorder="1" applyAlignment="1">
      <alignment horizontal="center"/>
    </xf>
    <xf numFmtId="44" fontId="0" fillId="4" borderId="34" xfId="1" applyFont="1" applyFill="1" applyBorder="1"/>
    <xf numFmtId="44" fontId="0" fillId="4" borderId="34" xfId="0" applyNumberFormat="1" applyFill="1" applyBorder="1"/>
    <xf numFmtId="44" fontId="0" fillId="4" borderId="35" xfId="0" applyNumberFormat="1" applyFill="1" applyBorder="1"/>
    <xf numFmtId="10" fontId="0" fillId="0" borderId="2" xfId="2" applyNumberFormat="1" applyFont="1" applyBorder="1"/>
    <xf numFmtId="10" fontId="0" fillId="4" borderId="2" xfId="0" applyNumberFormat="1" applyFill="1" applyBorder="1"/>
    <xf numFmtId="165" fontId="0" fillId="4" borderId="2" xfId="0" applyNumberFormat="1" applyFill="1" applyBorder="1" applyAlignment="1">
      <alignment horizontal="center"/>
    </xf>
    <xf numFmtId="44" fontId="0" fillId="4" borderId="2" xfId="1" applyFont="1" applyFill="1" applyBorder="1"/>
    <xf numFmtId="44" fontId="0" fillId="4" borderId="2" xfId="0" applyNumberFormat="1" applyFill="1" applyBorder="1"/>
    <xf numFmtId="44" fontId="0" fillId="4" borderId="11" xfId="0" applyNumberFormat="1" applyFill="1" applyBorder="1"/>
    <xf numFmtId="9" fontId="0" fillId="4" borderId="2" xfId="2" applyFont="1" applyFill="1" applyBorder="1"/>
    <xf numFmtId="10" fontId="0" fillId="4" borderId="13" xfId="2" applyNumberFormat="1" applyFont="1" applyFill="1" applyBorder="1"/>
    <xf numFmtId="10" fontId="0" fillId="0" borderId="13" xfId="2" applyNumberFormat="1" applyFont="1" applyBorder="1"/>
    <xf numFmtId="10" fontId="0" fillId="4" borderId="13" xfId="0" applyNumberFormat="1" applyFill="1" applyBorder="1"/>
    <xf numFmtId="165" fontId="0" fillId="4" borderId="13" xfId="0" applyNumberFormat="1" applyFill="1" applyBorder="1" applyAlignment="1">
      <alignment horizontal="center"/>
    </xf>
    <xf numFmtId="44" fontId="0" fillId="4" borderId="13" xfId="1" applyFont="1" applyFill="1" applyBorder="1"/>
    <xf numFmtId="44" fontId="0" fillId="4" borderId="13" xfId="0" applyNumberFormat="1" applyFill="1" applyBorder="1"/>
    <xf numFmtId="44" fontId="0" fillId="4" borderId="14" xfId="0" applyNumberFormat="1" applyFill="1" applyBorder="1"/>
    <xf numFmtId="0" fontId="3" fillId="0" borderId="47" xfId="0" applyFont="1" applyBorder="1"/>
    <xf numFmtId="10" fontId="0" fillId="4" borderId="23" xfId="0" applyNumberFormat="1" applyFill="1" applyBorder="1"/>
    <xf numFmtId="0" fontId="3" fillId="4" borderId="1" xfId="0" applyFont="1" applyFill="1" applyBorder="1"/>
    <xf numFmtId="44" fontId="3" fillId="4" borderId="36" xfId="0" applyNumberFormat="1" applyFont="1" applyFill="1" applyBorder="1"/>
    <xf numFmtId="44" fontId="3" fillId="4" borderId="23" xfId="0" applyNumberFormat="1" applyFont="1" applyFill="1" applyBorder="1"/>
    <xf numFmtId="10" fontId="3" fillId="4" borderId="42" xfId="2" applyNumberFormat="1" applyFont="1" applyFill="1" applyBorder="1" applyAlignment="1">
      <alignment horizontal="center"/>
    </xf>
    <xf numFmtId="0" fontId="12" fillId="0" borderId="0" xfId="0" applyFont="1"/>
    <xf numFmtId="0" fontId="3" fillId="4" borderId="47" xfId="0" applyFont="1" applyFill="1" applyBorder="1" applyAlignment="1">
      <alignment horizontal="center"/>
    </xf>
    <xf numFmtId="0" fontId="3" fillId="4" borderId="48" xfId="0" applyFont="1" applyFill="1" applyBorder="1" applyAlignment="1">
      <alignment horizontal="center"/>
    </xf>
    <xf numFmtId="0" fontId="3" fillId="4" borderId="49" xfId="0" applyFont="1" applyFill="1" applyBorder="1" applyAlignment="1">
      <alignment horizontal="center"/>
    </xf>
    <xf numFmtId="44" fontId="0" fillId="0" borderId="33" xfId="1" applyFont="1" applyBorder="1"/>
    <xf numFmtId="44" fontId="0" fillId="0" borderId="10" xfId="1" applyFont="1" applyBorder="1"/>
    <xf numFmtId="44" fontId="0" fillId="0" borderId="12" xfId="1" applyFont="1" applyBorder="1"/>
    <xf numFmtId="44" fontId="0" fillId="0" borderId="0" xfId="1" applyFont="1"/>
    <xf numFmtId="44" fontId="0" fillId="0" borderId="2" xfId="0" applyNumberFormat="1" applyFill="1" applyBorder="1"/>
    <xf numFmtId="0" fontId="0" fillId="0" borderId="52" xfId="0" applyFill="1" applyBorder="1"/>
    <xf numFmtId="0" fontId="0" fillId="3" borderId="53" xfId="0" applyFill="1" applyBorder="1"/>
    <xf numFmtId="0" fontId="0" fillId="3" borderId="54" xfId="0" applyFill="1" applyBorder="1"/>
    <xf numFmtId="0" fontId="0" fillId="3" borderId="55" xfId="0" applyFill="1" applyBorder="1" applyAlignment="1">
      <alignment horizontal="center"/>
    </xf>
    <xf numFmtId="0" fontId="0" fillId="0" borderId="53" xfId="0" applyFill="1" applyBorder="1"/>
    <xf numFmtId="0" fontId="0" fillId="3" borderId="56" xfId="0" applyFill="1" applyBorder="1"/>
    <xf numFmtId="0" fontId="0" fillId="3" borderId="57" xfId="0" applyFill="1" applyBorder="1"/>
    <xf numFmtId="0" fontId="0" fillId="3" borderId="57" xfId="0" applyFill="1" applyBorder="1" applyAlignment="1">
      <alignment horizontal="center"/>
    </xf>
    <xf numFmtId="0" fontId="0" fillId="3" borderId="58" xfId="0" applyFill="1" applyBorder="1"/>
    <xf numFmtId="0" fontId="0" fillId="3" borderId="59" xfId="0" applyFill="1" applyBorder="1"/>
    <xf numFmtId="0" fontId="0" fillId="3" borderId="60" xfId="0" applyFill="1" applyBorder="1"/>
    <xf numFmtId="0" fontId="0" fillId="3" borderId="60" xfId="0" applyFill="1" applyBorder="1" applyAlignment="1">
      <alignment horizontal="center"/>
    </xf>
    <xf numFmtId="0" fontId="0" fillId="3" borderId="61" xfId="0" applyFill="1" applyBorder="1"/>
    <xf numFmtId="44" fontId="0" fillId="0" borderId="42" xfId="0" applyNumberFormat="1" applyFill="1" applyBorder="1"/>
    <xf numFmtId="0" fontId="3" fillId="0" borderId="0" xfId="0" applyFont="1" applyFill="1" applyBorder="1"/>
    <xf numFmtId="44" fontId="0" fillId="4" borderId="42" xfId="1" applyFont="1" applyFill="1" applyBorder="1"/>
    <xf numFmtId="10" fontId="0" fillId="4" borderId="37" xfId="2" applyNumberFormat="1" applyFont="1" applyFill="1" applyBorder="1"/>
    <xf numFmtId="0" fontId="0" fillId="4" borderId="40" xfId="0" applyFill="1" applyBorder="1" applyAlignment="1">
      <alignment horizontal="center"/>
    </xf>
    <xf numFmtId="9" fontId="0" fillId="4" borderId="27" xfId="2" applyFont="1" applyFill="1" applyBorder="1" applyAlignment="1">
      <alignment horizontal="center"/>
    </xf>
    <xf numFmtId="9" fontId="0" fillId="4" borderId="2" xfId="2" applyFont="1" applyFill="1" applyBorder="1" applyAlignment="1">
      <alignment horizontal="center"/>
    </xf>
    <xf numFmtId="9" fontId="0" fillId="4" borderId="13" xfId="2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Font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2" borderId="0" xfId="0" applyFont="1" applyFill="1" applyBorder="1" applyAlignment="1">
      <alignment horizontal="left"/>
    </xf>
    <xf numFmtId="0" fontId="0" fillId="0" borderId="22" xfId="0" applyBorder="1"/>
    <xf numFmtId="0" fontId="13" fillId="2" borderId="2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0" fillId="0" borderId="0" xfId="0" applyNumberFormat="1"/>
    <xf numFmtId="0" fontId="7" fillId="9" borderId="1" xfId="0" applyFont="1" applyFill="1" applyBorder="1" applyAlignment="1">
      <alignment horizontal="left"/>
    </xf>
    <xf numFmtId="0" fontId="3" fillId="9" borderId="4" xfId="0" applyFont="1" applyFill="1" applyBorder="1" applyAlignment="1">
      <alignment horizontal="center" wrapText="1"/>
    </xf>
    <xf numFmtId="0" fontId="3" fillId="9" borderId="0" xfId="0" applyFont="1" applyFill="1" applyBorder="1" applyAlignment="1">
      <alignment horizontal="center" wrapText="1"/>
    </xf>
    <xf numFmtId="0" fontId="3" fillId="9" borderId="6" xfId="0" applyFont="1" applyFill="1" applyBorder="1" applyAlignment="1">
      <alignment horizontal="center" wrapText="1"/>
    </xf>
    <xf numFmtId="0" fontId="16" fillId="2" borderId="0" xfId="4" applyFill="1"/>
    <xf numFmtId="0" fontId="18" fillId="2" borderId="0" xfId="4" applyFont="1" applyFill="1" applyAlignment="1">
      <alignment horizontal="center"/>
    </xf>
    <xf numFmtId="0" fontId="15" fillId="11" borderId="0" xfId="3" applyFill="1" applyBorder="1"/>
    <xf numFmtId="0" fontId="16" fillId="2" borderId="0" xfId="4" applyFill="1" applyAlignment="1">
      <alignment vertical="center"/>
    </xf>
    <xf numFmtId="0" fontId="18" fillId="10" borderId="0" xfId="4" applyFont="1" applyFill="1" applyAlignment="1">
      <alignment horizontal="center" vertical="center" wrapText="1"/>
    </xf>
    <xf numFmtId="0" fontId="18" fillId="11" borderId="0" xfId="4" applyFont="1" applyFill="1" applyAlignment="1">
      <alignment horizontal="center" vertical="center" wrapText="1"/>
    </xf>
    <xf numFmtId="0" fontId="18" fillId="13" borderId="0" xfId="4" applyFont="1" applyFill="1" applyAlignment="1">
      <alignment horizontal="center" vertical="center" wrapText="1"/>
    </xf>
    <xf numFmtId="0" fontId="18" fillId="4" borderId="0" xfId="4" applyFont="1" applyFill="1" applyAlignment="1">
      <alignment horizontal="center" vertical="center" wrapText="1"/>
    </xf>
    <xf numFmtId="0" fontId="18" fillId="12" borderId="0" xfId="4" applyFont="1" applyFill="1" applyAlignment="1">
      <alignment horizontal="left" vertical="center"/>
    </xf>
    <xf numFmtId="0" fontId="16" fillId="10" borderId="0" xfId="4" applyFill="1" applyAlignment="1">
      <alignment vertical="center" wrapText="1"/>
    </xf>
    <xf numFmtId="0" fontId="16" fillId="11" borderId="0" xfId="4" applyFill="1" applyAlignment="1">
      <alignment vertical="center" wrapText="1"/>
    </xf>
    <xf numFmtId="0" fontId="16" fillId="13" borderId="0" xfId="4" applyFill="1" applyAlignment="1">
      <alignment vertical="center" wrapText="1"/>
    </xf>
    <xf numFmtId="0" fontId="16" fillId="4" borderId="0" xfId="4" applyFill="1" applyAlignment="1">
      <alignment vertical="center" wrapText="1"/>
    </xf>
    <xf numFmtId="0" fontId="16" fillId="12" borderId="0" xfId="4" applyFill="1" applyAlignment="1">
      <alignment vertical="center"/>
    </xf>
    <xf numFmtId="0" fontId="21" fillId="2" borderId="0" xfId="4" applyFont="1" applyFill="1" applyAlignment="1">
      <alignment vertical="center"/>
    </xf>
    <xf numFmtId="0" fontId="16" fillId="2" borderId="0" xfId="4" applyFill="1" applyAlignment="1">
      <alignment vertical="center" wrapText="1"/>
    </xf>
    <xf numFmtId="0" fontId="22" fillId="2" borderId="0" xfId="4" applyFont="1" applyFill="1" applyAlignment="1">
      <alignment vertical="center"/>
    </xf>
    <xf numFmtId="0" fontId="15" fillId="13" borderId="0" xfId="3" applyFill="1" applyBorder="1"/>
    <xf numFmtId="0" fontId="15" fillId="4" borderId="0" xfId="3" applyFill="1" applyBorder="1"/>
    <xf numFmtId="0" fontId="16" fillId="12" borderId="0" xfId="5" applyFont="1" applyFill="1"/>
    <xf numFmtId="0" fontId="0" fillId="4" borderId="7" xfId="0" applyFill="1" applyBorder="1" applyAlignment="1">
      <alignment horizontal="center"/>
    </xf>
    <xf numFmtId="44" fontId="0" fillId="4" borderId="8" xfId="1" applyFont="1" applyFill="1" applyBorder="1" applyAlignment="1">
      <alignment horizontal="center"/>
    </xf>
    <xf numFmtId="44" fontId="0" fillId="4" borderId="27" xfId="1" applyFont="1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3" fillId="4" borderId="46" xfId="0" applyFont="1" applyFill="1" applyBorder="1" applyAlignment="1">
      <alignment horizontal="center"/>
    </xf>
    <xf numFmtId="44" fontId="0" fillId="4" borderId="24" xfId="0" applyNumberFormat="1" applyFill="1" applyBorder="1"/>
    <xf numFmtId="44" fontId="0" fillId="4" borderId="25" xfId="1" applyFont="1" applyFill="1" applyBorder="1" applyAlignment="1">
      <alignment horizontal="center"/>
    </xf>
    <xf numFmtId="44" fontId="0" fillId="0" borderId="23" xfId="1" applyFont="1" applyBorder="1" applyAlignment="1">
      <alignment horizontal="center"/>
    </xf>
    <xf numFmtId="44" fontId="0" fillId="4" borderId="9" xfId="1" applyFont="1" applyFill="1" applyBorder="1" applyAlignment="1">
      <alignment horizontal="center"/>
    </xf>
    <xf numFmtId="44" fontId="0" fillId="4" borderId="11" xfId="1" applyFont="1" applyFill="1" applyBorder="1" applyAlignment="1">
      <alignment horizontal="center"/>
    </xf>
    <xf numFmtId="44" fontId="0" fillId="4" borderId="14" xfId="1" applyFont="1" applyFill="1" applyBorder="1" applyAlignment="1">
      <alignment horizontal="center"/>
    </xf>
    <xf numFmtId="44" fontId="0" fillId="4" borderId="9" xfId="0" applyNumberFormat="1" applyFill="1" applyBorder="1"/>
    <xf numFmtId="44" fontId="0" fillId="4" borderId="2" xfId="1" applyFont="1" applyFill="1" applyBorder="1" applyAlignment="1">
      <alignment horizontal="center"/>
    </xf>
    <xf numFmtId="44" fontId="0" fillId="4" borderId="13" xfId="1" applyFont="1" applyFill="1" applyBorder="1" applyAlignment="1">
      <alignment horizontal="center"/>
    </xf>
    <xf numFmtId="44" fontId="4" fillId="0" borderId="42" xfId="1" applyFont="1" applyBorder="1"/>
    <xf numFmtId="0" fontId="17" fillId="9" borderId="0" xfId="4" applyFont="1" applyFill="1" applyAlignment="1">
      <alignment horizontal="center" vertical="center" wrapText="1"/>
    </xf>
    <xf numFmtId="14" fontId="9" fillId="3" borderId="18" xfId="0" applyNumberFormat="1" applyFont="1" applyFill="1" applyBorder="1" applyAlignment="1">
      <alignment horizontal="center"/>
    </xf>
    <xf numFmtId="14" fontId="9" fillId="3" borderId="0" xfId="0" applyNumberFormat="1" applyFont="1" applyFill="1" applyBorder="1" applyAlignment="1">
      <alignment horizontal="center"/>
    </xf>
    <xf numFmtId="0" fontId="7" fillId="3" borderId="18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/>
    </xf>
    <xf numFmtId="0" fontId="4" fillId="2" borderId="27" xfId="0" applyFont="1" applyFill="1" applyBorder="1" applyAlignment="1">
      <alignment horizontal="left"/>
    </xf>
    <xf numFmtId="0" fontId="10" fillId="3" borderId="0" xfId="0" applyFont="1" applyFill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left"/>
    </xf>
    <xf numFmtId="0" fontId="4" fillId="2" borderId="28" xfId="0" applyFont="1" applyFill="1" applyBorder="1" applyAlignment="1">
      <alignment horizontal="left"/>
    </xf>
    <xf numFmtId="0" fontId="4" fillId="2" borderId="29" xfId="0" applyFont="1" applyFill="1" applyBorder="1" applyAlignment="1">
      <alignment horizontal="left"/>
    </xf>
    <xf numFmtId="0" fontId="4" fillId="2" borderId="30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0" fontId="4" fillId="2" borderId="62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23" xfId="0" applyFont="1" applyFill="1" applyBorder="1" applyAlignment="1">
      <alignment horizontal="center"/>
    </xf>
    <xf numFmtId="0" fontId="3" fillId="5" borderId="37" xfId="0" applyFont="1" applyFill="1" applyBorder="1" applyAlignment="1">
      <alignment horizontal="center" vertical="center" wrapText="1"/>
    </xf>
    <xf numFmtId="0" fontId="3" fillId="5" borderId="40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/>
    </xf>
    <xf numFmtId="0" fontId="7" fillId="7" borderId="36" xfId="0" applyFont="1" applyFill="1" applyBorder="1" applyAlignment="1">
      <alignment horizontal="center"/>
    </xf>
    <xf numFmtId="0" fontId="7" fillId="7" borderId="23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12" fillId="4" borderId="36" xfId="0" applyFont="1" applyFill="1" applyBorder="1" applyAlignment="1">
      <alignment horizontal="center"/>
    </xf>
    <xf numFmtId="0" fontId="12" fillId="4" borderId="23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12" fillId="4" borderId="5" xfId="0" applyFont="1" applyFill="1" applyBorder="1" applyAlignment="1">
      <alignment horizontal="center"/>
    </xf>
  </cellXfs>
  <cellStyles count="7">
    <cellStyle name="Hiperlink" xfId="3" builtinId="8"/>
    <cellStyle name="Hiperlink 2" xfId="6" xr:uid="{6B6D0B32-072F-41D9-848D-52408DD51572}"/>
    <cellStyle name="Moeda" xfId="1" builtinId="4"/>
    <cellStyle name="Normal" xfId="0" builtinId="0"/>
    <cellStyle name="Normal 2" xfId="4" xr:uid="{061E2C2E-2743-4F83-A5DE-6372A2DE7992}"/>
    <cellStyle name="Normal 2 2" xfId="5" xr:uid="{1FF44A2F-D92B-4BDE-B7B5-7B2BE72B849D}"/>
    <cellStyle name="Porcentagem" xfId="2" builtinId="5"/>
  </cellStyles>
  <dxfs count="44">
    <dxf>
      <numFmt numFmtId="0" formatCode="General"/>
    </dxf>
    <dxf>
      <numFmt numFmtId="0" formatCode="General"/>
    </dxf>
    <dxf>
      <numFmt numFmtId="0" formatCode="General"/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3920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696057</xdr:colOff>
      <xdr:row>1</xdr:row>
      <xdr:rowOff>91148</xdr:rowOff>
    </xdr:from>
    <xdr:ext cx="2732169" cy="798634"/>
    <xdr:pic>
      <xdr:nvPicPr>
        <xdr:cNvPr id="4" name="image3.png">
          <a:extLst>
            <a:ext uri="{FF2B5EF4-FFF2-40B4-BE49-F238E27FC236}">
              <a16:creationId xmlns:a16="http://schemas.microsoft.com/office/drawing/2014/main" id="{DF758F5E-CA50-4807-9820-E549B9F60F5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05117" y="228308"/>
          <a:ext cx="2732169" cy="798634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552915</xdr:colOff>
      <xdr:row>0</xdr:row>
      <xdr:rowOff>83635</xdr:rowOff>
    </xdr:from>
    <xdr:ext cx="1857375" cy="542925"/>
    <xdr:pic>
      <xdr:nvPicPr>
        <xdr:cNvPr id="2" name="image3.png">
          <a:extLst>
            <a:ext uri="{FF2B5EF4-FFF2-40B4-BE49-F238E27FC236}">
              <a16:creationId xmlns:a16="http://schemas.microsoft.com/office/drawing/2014/main" id="{1576A395-C51A-48C4-8942-621CEB3ED87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86765" y="83635"/>
          <a:ext cx="1857375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209084</xdr:colOff>
      <xdr:row>0</xdr:row>
      <xdr:rowOff>18585</xdr:rowOff>
    </xdr:from>
    <xdr:ext cx="1752600" cy="647700"/>
    <xdr:pic>
      <xdr:nvPicPr>
        <xdr:cNvPr id="3" name="image9.png" descr="Uma imagem contendo desenho&#10;&#10;Descrição gerada automaticamente">
          <a:extLst>
            <a:ext uri="{FF2B5EF4-FFF2-40B4-BE49-F238E27FC236}">
              <a16:creationId xmlns:a16="http://schemas.microsoft.com/office/drawing/2014/main" id="{5E7C5AC7-1EF0-4040-9BFD-BBB8DA979E54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09109" y="18585"/>
          <a:ext cx="1752600" cy="64770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552915</xdr:colOff>
      <xdr:row>0</xdr:row>
      <xdr:rowOff>83635</xdr:rowOff>
    </xdr:from>
    <xdr:ext cx="1857375" cy="542925"/>
    <xdr:pic>
      <xdr:nvPicPr>
        <xdr:cNvPr id="2" name="image3.png">
          <a:extLst>
            <a:ext uri="{FF2B5EF4-FFF2-40B4-BE49-F238E27FC236}">
              <a16:creationId xmlns:a16="http://schemas.microsoft.com/office/drawing/2014/main" id="{F4B9DC92-6C63-4838-AEAF-2D6CDB2DE0C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86765" y="83635"/>
          <a:ext cx="1857375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209084</xdr:colOff>
      <xdr:row>0</xdr:row>
      <xdr:rowOff>18585</xdr:rowOff>
    </xdr:from>
    <xdr:ext cx="1752600" cy="647700"/>
    <xdr:pic>
      <xdr:nvPicPr>
        <xdr:cNvPr id="3" name="image9.png" descr="Uma imagem contendo desenho&#10;&#10;Descrição gerada automaticamente">
          <a:extLst>
            <a:ext uri="{FF2B5EF4-FFF2-40B4-BE49-F238E27FC236}">
              <a16:creationId xmlns:a16="http://schemas.microsoft.com/office/drawing/2014/main" id="{93CB312A-A909-4EBC-BC12-79750E6B8109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77603" y="18585"/>
          <a:ext cx="1752600" cy="647700"/>
        </a:xfrm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B70D138-97C2-4FC9-A92C-1EBDA7AFA128}" name="advancedsearchresultexport_search__7B_22Segment_22_3A_22_22_2C_22Gestao_22_3A_23" displayName="advancedsearchresultexport_search__7B_22Segment_22_3A_22_22_2C_22Gestao_22_3A_23" ref="A1:N392" totalsRowShown="0">
  <autoFilter ref="A1:N392" xr:uid="{2B70D138-97C2-4FC9-A92C-1EBDA7AFA128}"/>
  <tableColumns count="14">
    <tableColumn id="1" xr3:uid="{BA6469E2-1395-45F2-B0D6-7DF4315B5A0F}" name="TICKER" dataDxfId="2"/>
    <tableColumn id="2" xr3:uid="{5F58AFD5-0DBC-4123-B1A8-0D2A1906DA5C}" name="PRECO"/>
    <tableColumn id="3" xr3:uid="{0DE771CE-78FE-4F6E-9E7E-D3FB0A6299CE}" name="ULTIMO DIVIDENDO" dataDxfId="1"/>
    <tableColumn id="4" xr3:uid="{120D2873-0246-47A5-A848-C333A6871328}" name="DY"/>
    <tableColumn id="5" xr3:uid="{DFEC0557-D8AC-4764-8952-DCCC7D9E56F3}" name="VALOR PATRIMONIAL COTA"/>
    <tableColumn id="6" xr3:uid="{019311AF-2157-43F6-8299-D059FF22ED4B}" name="P/VP"/>
    <tableColumn id="7" xr3:uid="{51C82284-165E-45F3-A051-91BF148B7EEB}" name="LIQUIDEZ MEDIA DIARIA"/>
    <tableColumn id="8" xr3:uid="{E00248DA-FC82-41C5-9132-985B317F1F47}" name="PERCENTUAL EM CAIXA"/>
    <tableColumn id="9" xr3:uid="{58CE013B-A96E-4997-BF50-936588B4304B}" name="CAGR DIVIDENDOS 3 ANOS"/>
    <tableColumn id="10" xr3:uid="{873823E5-48D2-41DD-B809-99D789B9A245}" name=" CAGR VALOR CORA 3 ANOS"/>
    <tableColumn id="11" xr3:uid="{83E94134-8171-487A-8232-87B74679088D}" name="PATRIMONIO"/>
    <tableColumn id="12" xr3:uid="{0F0B293C-C3F4-40A2-8BF8-C85CEA85111B}" name="N COTISTAS"/>
    <tableColumn id="13" xr3:uid="{866FC7A0-5EC8-41A8-8658-2A4C92C03AF2}" name="GESTAO" dataDxfId="0"/>
    <tableColumn id="14" xr3:uid="{382BAC7E-9B34-4A9F-B7C8-4E5761D9E91C}" name=" N COTAS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usinvest.com.br/fundos-imobiliarios/busca-avancada" TargetMode="External"/><Relationship Id="rId2" Type="http://schemas.openxmlformats.org/officeDocument/2006/relationships/hyperlink" Target="https://statusinvest.com.br/fundos-imobiliarios/busca-avancada" TargetMode="External"/><Relationship Id="rId1" Type="http://schemas.openxmlformats.org/officeDocument/2006/relationships/hyperlink" Target="https://statusinvest.com.br/fundos-imobiliarios/busca-avancad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9ADF6-5662-476A-BB31-E900F984F80E}">
  <sheetPr>
    <tabColor rgb="FFFF0000"/>
  </sheetPr>
  <dimension ref="A1:E31"/>
  <sheetViews>
    <sheetView tabSelected="1" workbookViewId="0">
      <selection activeCell="B17" sqref="B17"/>
    </sheetView>
  </sheetViews>
  <sheetFormatPr defaultColWidth="12.42578125" defaultRowHeight="14.25" x14ac:dyDescent="0.2"/>
  <cols>
    <col min="1" max="1" width="32.140625" style="235" customWidth="1"/>
    <col min="2" max="2" width="56.5703125" style="235" customWidth="1"/>
    <col min="3" max="3" width="59" style="235" customWidth="1"/>
    <col min="4" max="4" width="55.28515625" style="235" bestFit="1" customWidth="1"/>
    <col min="5" max="5" width="292.42578125" style="223" bestFit="1" customWidth="1"/>
    <col min="6" max="16384" width="12.42578125" style="220"/>
  </cols>
  <sheetData>
    <row r="1" spans="1:5" ht="18" x14ac:dyDescent="0.2">
      <c r="A1" s="256" t="s">
        <v>514</v>
      </c>
      <c r="B1" s="256"/>
      <c r="C1" s="256"/>
      <c r="D1" s="256"/>
    </row>
    <row r="3" spans="1:5" s="221" customFormat="1" ht="15" x14ac:dyDescent="0.25">
      <c r="A3" s="224"/>
      <c r="B3" s="225" t="s">
        <v>555</v>
      </c>
      <c r="C3" s="226" t="s">
        <v>538</v>
      </c>
      <c r="D3" s="227" t="s">
        <v>515</v>
      </c>
      <c r="E3" s="228" t="s">
        <v>516</v>
      </c>
    </row>
    <row r="4" spans="1:5" x14ac:dyDescent="0.2">
      <c r="A4" s="229"/>
      <c r="B4" s="230"/>
      <c r="C4" s="231"/>
      <c r="D4" s="232"/>
      <c r="E4" s="233"/>
    </row>
    <row r="5" spans="1:5" x14ac:dyDescent="0.2">
      <c r="A5" s="229"/>
      <c r="B5" s="230" t="s">
        <v>517</v>
      </c>
      <c r="C5" s="231" t="s">
        <v>517</v>
      </c>
      <c r="D5" s="232" t="s">
        <v>517</v>
      </c>
      <c r="E5" s="233" t="s">
        <v>518</v>
      </c>
    </row>
    <row r="6" spans="1:5" ht="15" x14ac:dyDescent="0.25">
      <c r="A6" s="229"/>
      <c r="B6" s="222" t="s">
        <v>536</v>
      </c>
      <c r="C6" s="237" t="s">
        <v>536</v>
      </c>
      <c r="D6" s="238" t="s">
        <v>536</v>
      </c>
      <c r="E6" s="239" t="s">
        <v>535</v>
      </c>
    </row>
    <row r="7" spans="1:5" x14ac:dyDescent="0.2">
      <c r="A7" s="229"/>
      <c r="B7" s="230" t="s">
        <v>519</v>
      </c>
      <c r="C7" s="231" t="s">
        <v>519</v>
      </c>
      <c r="D7" s="232" t="s">
        <v>519</v>
      </c>
      <c r="E7" s="233"/>
    </row>
    <row r="8" spans="1:5" x14ac:dyDescent="0.2">
      <c r="A8" s="229"/>
      <c r="B8" s="230" t="s">
        <v>520</v>
      </c>
      <c r="C8" s="231" t="s">
        <v>520</v>
      </c>
      <c r="D8" s="232" t="s">
        <v>520</v>
      </c>
      <c r="E8" s="233"/>
    </row>
    <row r="9" spans="1:5" x14ac:dyDescent="0.2">
      <c r="A9" s="229"/>
      <c r="B9" s="230" t="s">
        <v>521</v>
      </c>
      <c r="C9" s="231" t="s">
        <v>521</v>
      </c>
      <c r="D9" s="232" t="s">
        <v>522</v>
      </c>
      <c r="E9" s="233"/>
    </row>
    <row r="10" spans="1:5" ht="42.75" x14ac:dyDescent="0.2">
      <c r="A10" s="229"/>
      <c r="B10" s="230" t="s">
        <v>523</v>
      </c>
      <c r="C10" s="231" t="s">
        <v>523</v>
      </c>
      <c r="D10" s="232" t="s">
        <v>524</v>
      </c>
      <c r="E10" s="233"/>
    </row>
    <row r="11" spans="1:5" x14ac:dyDescent="0.2">
      <c r="A11" s="229"/>
      <c r="B11" s="230" t="s">
        <v>525</v>
      </c>
      <c r="C11" s="231" t="s">
        <v>525</v>
      </c>
      <c r="D11" s="232" t="s">
        <v>539</v>
      </c>
      <c r="E11" s="233"/>
    </row>
    <row r="12" spans="1:5" x14ac:dyDescent="0.2">
      <c r="A12" s="229"/>
      <c r="B12" s="230" t="s">
        <v>526</v>
      </c>
      <c r="C12" s="231" t="s">
        <v>526</v>
      </c>
      <c r="D12" s="232" t="s">
        <v>540</v>
      </c>
      <c r="E12" s="233"/>
    </row>
    <row r="13" spans="1:5" x14ac:dyDescent="0.2">
      <c r="A13" s="229"/>
      <c r="B13" s="230" t="s">
        <v>527</v>
      </c>
      <c r="C13" s="231" t="s">
        <v>527</v>
      </c>
      <c r="D13" s="232" t="s">
        <v>541</v>
      </c>
      <c r="E13" s="233"/>
    </row>
    <row r="14" spans="1:5" ht="42.75" x14ac:dyDescent="0.2">
      <c r="A14" s="229"/>
      <c r="B14" s="230" t="s">
        <v>528</v>
      </c>
      <c r="C14" s="231" t="s">
        <v>542</v>
      </c>
      <c r="D14" s="232" t="s">
        <v>543</v>
      </c>
      <c r="E14" s="233"/>
    </row>
    <row r="15" spans="1:5" ht="28.5" x14ac:dyDescent="0.2">
      <c r="A15" s="229"/>
      <c r="B15" s="230" t="s">
        <v>529</v>
      </c>
      <c r="C15" s="231" t="s">
        <v>544</v>
      </c>
      <c r="D15" s="232" t="s">
        <v>545</v>
      </c>
      <c r="E15" s="233"/>
    </row>
    <row r="16" spans="1:5" ht="28.5" x14ac:dyDescent="0.2">
      <c r="A16" s="229"/>
      <c r="B16" s="230"/>
      <c r="C16" s="231" t="s">
        <v>546</v>
      </c>
      <c r="D16" s="232" t="s">
        <v>547</v>
      </c>
      <c r="E16" s="233"/>
    </row>
    <row r="17" spans="1:5" ht="29.25" x14ac:dyDescent="0.2">
      <c r="A17" s="229"/>
      <c r="B17" s="230"/>
      <c r="C17" s="231"/>
      <c r="D17" s="232" t="s">
        <v>548</v>
      </c>
      <c r="E17" s="233"/>
    </row>
    <row r="18" spans="1:5" x14ac:dyDescent="0.2">
      <c r="A18" s="229"/>
      <c r="B18" s="230"/>
      <c r="C18" s="231"/>
      <c r="D18" s="232" t="s">
        <v>549</v>
      </c>
      <c r="E18" s="233"/>
    </row>
    <row r="19" spans="1:5" x14ac:dyDescent="0.2">
      <c r="A19" s="229"/>
      <c r="B19" s="230"/>
      <c r="C19" s="231"/>
      <c r="D19" s="232" t="s">
        <v>550</v>
      </c>
      <c r="E19" s="233"/>
    </row>
    <row r="20" spans="1:5" x14ac:dyDescent="0.2">
      <c r="A20" s="234" t="s">
        <v>530</v>
      </c>
    </row>
    <row r="21" spans="1:5" x14ac:dyDescent="0.2">
      <c r="A21" s="234" t="s">
        <v>531</v>
      </c>
    </row>
    <row r="22" spans="1:5" x14ac:dyDescent="0.2">
      <c r="A22" s="234" t="s">
        <v>532</v>
      </c>
    </row>
    <row r="23" spans="1:5" x14ac:dyDescent="0.2">
      <c r="A23" s="234" t="s">
        <v>533</v>
      </c>
    </row>
    <row r="24" spans="1:5" x14ac:dyDescent="0.2">
      <c r="A24" s="223"/>
    </row>
    <row r="25" spans="1:5" ht="15" x14ac:dyDescent="0.2">
      <c r="A25" s="236" t="s">
        <v>537</v>
      </c>
    </row>
    <row r="27" spans="1:5" x14ac:dyDescent="0.2">
      <c r="C27" s="223"/>
    </row>
    <row r="28" spans="1:5" x14ac:dyDescent="0.2">
      <c r="C28" s="223"/>
    </row>
    <row r="29" spans="1:5" x14ac:dyDescent="0.2">
      <c r="C29" s="223"/>
    </row>
    <row r="30" spans="1:5" x14ac:dyDescent="0.2">
      <c r="C30" s="223"/>
    </row>
    <row r="31" spans="1:5" x14ac:dyDescent="0.2">
      <c r="C31" s="223"/>
    </row>
  </sheetData>
  <mergeCells count="1">
    <mergeCell ref="A1:D1"/>
  </mergeCells>
  <hyperlinks>
    <hyperlink ref="B6" r:id="rId1" xr:uid="{37679929-FEC8-4937-982E-FE4C23A3B540}"/>
    <hyperlink ref="C6" r:id="rId2" xr:uid="{6E813F6F-FE8C-4E93-B9AB-6632F513491C}"/>
    <hyperlink ref="D6" r:id="rId3" xr:uid="{9C6A329B-9DE5-4558-8154-4744CBC00910}"/>
  </hyperlinks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E3868-9DAF-49B9-9CB6-EB046449F96C}">
  <dimension ref="A1:O365"/>
  <sheetViews>
    <sheetView showGridLines="0" zoomScaleNormal="100" zoomScaleSheetLayoutView="130" workbookViewId="0">
      <selection activeCell="I35" sqref="I35"/>
    </sheetView>
  </sheetViews>
  <sheetFormatPr defaultColWidth="8.85546875" defaultRowHeight="15" x14ac:dyDescent="0.25"/>
  <cols>
    <col min="1" max="1" width="2.140625" customWidth="1"/>
    <col min="2" max="2" width="9.7109375" style="128" bestFit="1" customWidth="1"/>
    <col min="3" max="3" width="15" bestFit="1" customWidth="1"/>
    <col min="4" max="4" width="10.7109375" bestFit="1" customWidth="1"/>
    <col min="5" max="5" width="9.85546875" customWidth="1"/>
    <col min="6" max="6" width="9.7109375" bestFit="1" customWidth="1"/>
    <col min="7" max="7" width="12.7109375" bestFit="1" customWidth="1"/>
    <col min="8" max="8" width="14.42578125" customWidth="1"/>
    <col min="9" max="9" width="20.7109375" bestFit="1" customWidth="1"/>
    <col min="10" max="10" width="16.28515625" style="22" bestFit="1" customWidth="1"/>
    <col min="11" max="11" width="11.28515625" style="22" bestFit="1" customWidth="1"/>
    <col min="12" max="12" width="19.5703125" bestFit="1" customWidth="1"/>
    <col min="13" max="13" width="16.28515625" bestFit="1" customWidth="1"/>
    <col min="14" max="14" width="13.28515625" bestFit="1" customWidth="1"/>
    <col min="15" max="15" width="17.7109375" bestFit="1" customWidth="1"/>
    <col min="17" max="17" width="10.42578125" customWidth="1"/>
  </cols>
  <sheetData>
    <row r="1" spans="2:15" ht="11.25" customHeight="1" thickBot="1" x14ac:dyDescent="0.3"/>
    <row r="2" spans="2:15" ht="8.25" customHeight="1" x14ac:dyDescent="0.25">
      <c r="B2" s="129"/>
      <c r="C2" s="63"/>
      <c r="D2" s="63"/>
      <c r="E2" s="63"/>
      <c r="F2" s="64"/>
      <c r="G2" s="64"/>
      <c r="H2" s="64"/>
      <c r="I2" s="64"/>
      <c r="J2" s="65"/>
      <c r="K2" s="65"/>
      <c r="L2" s="64"/>
      <c r="M2" s="64"/>
      <c r="N2" s="66"/>
      <c r="O2" s="67"/>
    </row>
    <row r="3" spans="2:15" ht="11.25" customHeight="1" x14ac:dyDescent="0.25">
      <c r="B3" s="130"/>
      <c r="C3" s="68"/>
      <c r="D3" s="68"/>
      <c r="E3" s="68"/>
      <c r="F3" s="69"/>
      <c r="G3" s="69"/>
      <c r="H3" s="69"/>
      <c r="I3" s="69"/>
      <c r="J3" s="70"/>
      <c r="K3" s="70"/>
      <c r="L3" s="69"/>
      <c r="M3" s="69"/>
      <c r="N3" s="71"/>
      <c r="O3" s="72"/>
    </row>
    <row r="4" spans="2:15" ht="11.25" customHeight="1" x14ac:dyDescent="0.25">
      <c r="B4" s="130"/>
      <c r="C4" s="68"/>
      <c r="D4" s="68"/>
      <c r="E4" s="62"/>
      <c r="F4" s="69"/>
      <c r="G4" s="69"/>
      <c r="H4" s="69"/>
      <c r="I4" s="69"/>
      <c r="J4" s="265" t="s">
        <v>385</v>
      </c>
      <c r="K4" s="265"/>
      <c r="L4" s="265"/>
      <c r="M4" s="265"/>
      <c r="N4" s="265"/>
      <c r="O4" s="266"/>
    </row>
    <row r="5" spans="2:15" ht="11.25" customHeight="1" x14ac:dyDescent="0.25">
      <c r="B5" s="259" t="s">
        <v>3</v>
      </c>
      <c r="C5" s="260"/>
      <c r="D5" s="68"/>
      <c r="E5" s="62"/>
      <c r="F5" s="69"/>
      <c r="G5" s="69"/>
      <c r="H5" s="69"/>
      <c r="I5" s="69"/>
      <c r="J5" s="265"/>
      <c r="K5" s="265"/>
      <c r="L5" s="265"/>
      <c r="M5" s="265"/>
      <c r="N5" s="265"/>
      <c r="O5" s="266"/>
    </row>
    <row r="6" spans="2:15" ht="22.5" customHeight="1" x14ac:dyDescent="0.4">
      <c r="B6" s="257">
        <f ca="1">TODAY()</f>
        <v>44609</v>
      </c>
      <c r="C6" s="258"/>
      <c r="D6" s="69"/>
      <c r="E6" s="69"/>
      <c r="F6" s="69"/>
      <c r="G6" s="69"/>
      <c r="H6" s="69"/>
      <c r="I6" s="69"/>
      <c r="J6" s="265"/>
      <c r="K6" s="265"/>
      <c r="L6" s="265"/>
      <c r="M6" s="265"/>
      <c r="N6" s="265"/>
      <c r="O6" s="266"/>
    </row>
    <row r="7" spans="2:15" ht="15.75" thickBot="1" x14ac:dyDescent="0.3">
      <c r="B7" s="131"/>
      <c r="C7" s="73"/>
      <c r="D7" s="74"/>
      <c r="E7" s="74"/>
      <c r="F7" s="74"/>
      <c r="G7" s="74"/>
      <c r="H7" s="74"/>
      <c r="I7" s="74"/>
      <c r="J7" s="75"/>
      <c r="K7" s="75"/>
      <c r="L7" s="74"/>
      <c r="M7" s="74"/>
      <c r="N7" s="76"/>
      <c r="O7" s="77"/>
    </row>
    <row r="8" spans="2:15" s="209" customFormat="1" ht="30.75" thickBot="1" x14ac:dyDescent="0.3">
      <c r="B8" s="261" t="s">
        <v>299</v>
      </c>
      <c r="C8" s="262"/>
      <c r="D8" s="206" t="s">
        <v>0</v>
      </c>
      <c r="E8" s="207" t="s">
        <v>1</v>
      </c>
      <c r="F8" s="207" t="s">
        <v>283</v>
      </c>
      <c r="G8" s="207" t="s">
        <v>284</v>
      </c>
      <c r="H8" s="207" t="s">
        <v>285</v>
      </c>
      <c r="I8" s="208" t="s">
        <v>286</v>
      </c>
      <c r="J8" s="208" t="s">
        <v>291</v>
      </c>
      <c r="K8" s="208" t="s">
        <v>292</v>
      </c>
      <c r="L8" s="208" t="s">
        <v>297</v>
      </c>
      <c r="M8" s="208" t="s">
        <v>489</v>
      </c>
      <c r="N8" s="208" t="s">
        <v>298</v>
      </c>
      <c r="O8" s="208" t="s">
        <v>384</v>
      </c>
    </row>
    <row r="9" spans="2:15" s="1" customFormat="1" x14ac:dyDescent="0.25">
      <c r="B9" s="263" t="s">
        <v>6</v>
      </c>
      <c r="C9" s="264"/>
      <c r="D9" s="32">
        <f t="shared" ref="D9:I9" si="0">AVERAGE(D25:D68)</f>
        <v>0.10867045454545456</v>
      </c>
      <c r="E9" s="26">
        <f t="shared" si="0"/>
        <v>1.0363636363636364</v>
      </c>
      <c r="F9" s="35">
        <f t="shared" si="0"/>
        <v>7.0604545454545461E-2</v>
      </c>
      <c r="G9" s="8">
        <f t="shared" si="0"/>
        <v>9.538636363636362E-3</v>
      </c>
      <c r="H9" s="8">
        <f t="shared" si="0"/>
        <v>-3.6659090909090908E-3</v>
      </c>
      <c r="I9" s="19">
        <f t="shared" si="0"/>
        <v>549350511.57909095</v>
      </c>
      <c r="J9" s="29" t="s">
        <v>293</v>
      </c>
      <c r="K9" s="29" t="s">
        <v>293</v>
      </c>
      <c r="L9" s="29" t="s">
        <v>293</v>
      </c>
      <c r="M9" s="29" t="s">
        <v>293</v>
      </c>
      <c r="N9" s="52">
        <f>AVERAGE(N25:N68)</f>
        <v>20387.636363636364</v>
      </c>
      <c r="O9" s="59">
        <f>AVERAGE(O25:O68)</f>
        <v>1462000.4247727275</v>
      </c>
    </row>
    <row r="10" spans="2:15" s="1" customFormat="1" x14ac:dyDescent="0.25">
      <c r="B10" s="267" t="s">
        <v>5</v>
      </c>
      <c r="C10" s="268"/>
      <c r="D10" s="33">
        <f t="shared" ref="D10:I10" si="1">AVERAGE(D70:D75)</f>
        <v>0.15561666666666665</v>
      </c>
      <c r="E10" s="28">
        <f t="shared" si="1"/>
        <v>0.89499999999999991</v>
      </c>
      <c r="F10" s="36">
        <f t="shared" si="1"/>
        <v>0.12539999999999998</v>
      </c>
      <c r="G10" s="13">
        <f t="shared" si="1"/>
        <v>-7.0716666666666664E-2</v>
      </c>
      <c r="H10" s="13">
        <f t="shared" si="1"/>
        <v>-5.6600000000000004E-2</v>
      </c>
      <c r="I10" s="20">
        <f t="shared" si="1"/>
        <v>347117360.13833338</v>
      </c>
      <c r="J10" s="27" t="s">
        <v>293</v>
      </c>
      <c r="K10" s="27" t="s">
        <v>293</v>
      </c>
      <c r="L10" s="27" t="s">
        <v>293</v>
      </c>
      <c r="M10" s="27" t="s">
        <v>293</v>
      </c>
      <c r="N10" s="51">
        <f>AVERAGE(N70:N75)</f>
        <v>36380.833333333336</v>
      </c>
      <c r="O10" s="60">
        <f>AVERAGE(O70:O75)</f>
        <v>1266836.6416666666</v>
      </c>
    </row>
    <row r="11" spans="2:15" s="1" customFormat="1" x14ac:dyDescent="0.25">
      <c r="B11" s="267" t="s">
        <v>7</v>
      </c>
      <c r="C11" s="268"/>
      <c r="D11" s="33">
        <f>AVERAGE(D77:D92)</f>
        <v>0.10063125000000001</v>
      </c>
      <c r="E11" s="28">
        <f t="shared" ref="E11:N11" si="2">AVERAGE(E77:E92)</f>
        <v>0.979375</v>
      </c>
      <c r="F11" s="36">
        <f t="shared" si="2"/>
        <v>6.9706249999999984E-2</v>
      </c>
      <c r="G11" s="13">
        <f t="shared" si="2"/>
        <v>4.5300000000000007E-2</v>
      </c>
      <c r="H11" s="13">
        <f t="shared" si="2"/>
        <v>-3.2556250000000002E-2</v>
      </c>
      <c r="I11" s="20">
        <f t="shared" si="2"/>
        <v>1199971483.7818751</v>
      </c>
      <c r="J11" s="27" t="s">
        <v>293</v>
      </c>
      <c r="K11" s="27" t="s">
        <v>293</v>
      </c>
      <c r="L11" s="27" t="s">
        <v>293</v>
      </c>
      <c r="M11" s="27" t="s">
        <v>293</v>
      </c>
      <c r="N11" s="51">
        <f t="shared" si="2"/>
        <v>84900.1875</v>
      </c>
      <c r="O11" s="60">
        <f>AVERAGE(O77:O92)</f>
        <v>3072159.5099999993</v>
      </c>
    </row>
    <row r="12" spans="2:15" s="1" customFormat="1" x14ac:dyDescent="0.25">
      <c r="B12" s="267" t="s">
        <v>124</v>
      </c>
      <c r="C12" s="268"/>
      <c r="D12" s="33">
        <f t="shared" ref="D12:I12" si="3">AVERAGE(D94:D160)</f>
        <v>6.7294029850746256E-2</v>
      </c>
      <c r="E12" s="28">
        <f t="shared" si="3"/>
        <v>4.6801492537313409</v>
      </c>
      <c r="F12" s="36">
        <f t="shared" si="3"/>
        <v>4.814179104477611E-2</v>
      </c>
      <c r="G12" s="13">
        <f t="shared" si="3"/>
        <v>2.7611940298507463E-2</v>
      </c>
      <c r="H12" s="13">
        <f t="shared" si="3"/>
        <v>-6.4001492537313423E-2</v>
      </c>
      <c r="I12" s="20">
        <f t="shared" si="3"/>
        <v>376308002.34283572</v>
      </c>
      <c r="J12" s="27" t="s">
        <v>293</v>
      </c>
      <c r="K12" s="27" t="s">
        <v>293</v>
      </c>
      <c r="L12" s="27" t="s">
        <v>293</v>
      </c>
      <c r="M12" s="27" t="s">
        <v>293</v>
      </c>
      <c r="N12" s="51">
        <f>AVERAGE(N94:N160)</f>
        <v>16376.373134328358</v>
      </c>
      <c r="O12" s="60">
        <f>AVERAGE(O94:O160)</f>
        <v>362227.14955223887</v>
      </c>
    </row>
    <row r="13" spans="2:15" s="1" customFormat="1" x14ac:dyDescent="0.25">
      <c r="B13" s="267" t="s">
        <v>2</v>
      </c>
      <c r="C13" s="268"/>
      <c r="D13" s="33">
        <f t="shared" ref="D13:I13" si="4">AVERAGE(D162:D193)</f>
        <v>5.5471874999999997E-2</v>
      </c>
      <c r="E13" s="28">
        <f t="shared" si="4"/>
        <v>53.354062500000005</v>
      </c>
      <c r="F13" s="36">
        <f t="shared" si="4"/>
        <v>6.2759374999999992E-2</v>
      </c>
      <c r="G13" s="13">
        <f t="shared" si="4"/>
        <v>-8.7093750000000001E-3</v>
      </c>
      <c r="H13" s="13">
        <f t="shared" si="4"/>
        <v>-3.2831250000000006E-2</v>
      </c>
      <c r="I13" s="20">
        <f t="shared" si="4"/>
        <v>642738591.5228126</v>
      </c>
      <c r="J13" s="27" t="s">
        <v>293</v>
      </c>
      <c r="K13" s="27" t="s">
        <v>293</v>
      </c>
      <c r="L13" s="27" t="s">
        <v>293</v>
      </c>
      <c r="M13" s="27" t="s">
        <v>293</v>
      </c>
      <c r="N13" s="51">
        <f>AVERAGE(N162:N193)</f>
        <v>25927.25</v>
      </c>
      <c r="O13" s="60">
        <f>AVERAGE(O162:O193)</f>
        <v>409323.35593750008</v>
      </c>
    </row>
    <row r="14" spans="2:15" s="1" customFormat="1" x14ac:dyDescent="0.25">
      <c r="B14" s="267" t="s">
        <v>4</v>
      </c>
      <c r="C14" s="268"/>
      <c r="D14" s="33">
        <f t="shared" ref="D14:I14" si="5">AVERAGE(D195:D236)</f>
        <v>7.9471428571428596E-2</v>
      </c>
      <c r="E14" s="28">
        <f t="shared" si="5"/>
        <v>0.79119047619047633</v>
      </c>
      <c r="F14" s="36">
        <f t="shared" si="5"/>
        <v>5.8052380952380953E-2</v>
      </c>
      <c r="G14" s="13">
        <f t="shared" si="5"/>
        <v>1.7999999999999999E-2</v>
      </c>
      <c r="H14" s="13">
        <f t="shared" si="5"/>
        <v>-6.0690476190476197E-3</v>
      </c>
      <c r="I14" s="20">
        <f t="shared" si="5"/>
        <v>733390210.29023814</v>
      </c>
      <c r="J14" s="27" t="s">
        <v>293</v>
      </c>
      <c r="K14" s="27" t="s">
        <v>293</v>
      </c>
      <c r="L14" s="27" t="s">
        <v>293</v>
      </c>
      <c r="M14" s="27" t="s">
        <v>293</v>
      </c>
      <c r="N14" s="51">
        <f>AVERAGE(N195:N236)</f>
        <v>34193.690476190473</v>
      </c>
      <c r="O14" s="60">
        <f>AVERAGE(O195:O236)</f>
        <v>895147.41428571427</v>
      </c>
    </row>
    <row r="15" spans="2:15" s="1" customFormat="1" x14ac:dyDescent="0.25">
      <c r="B15" s="267" t="s">
        <v>287</v>
      </c>
      <c r="C15" s="268"/>
      <c r="D15" s="33">
        <f t="shared" ref="D15:I15" si="6">AVERAGE(D238:D273)</f>
        <v>8.1861111111111121E-2</v>
      </c>
      <c r="E15" s="28">
        <f t="shared" si="6"/>
        <v>0.80666666666666653</v>
      </c>
      <c r="F15" s="36">
        <f t="shared" si="6"/>
        <v>5.0688888888888894E-2</v>
      </c>
      <c r="G15" s="13">
        <f t="shared" si="6"/>
        <v>-2.4577777777777775E-2</v>
      </c>
      <c r="H15" s="13">
        <f t="shared" si="6"/>
        <v>-3.1566666666666666E-2</v>
      </c>
      <c r="I15" s="20">
        <f t="shared" si="6"/>
        <v>281769844.98861098</v>
      </c>
      <c r="J15" s="27" t="s">
        <v>293</v>
      </c>
      <c r="K15" s="27" t="s">
        <v>293</v>
      </c>
      <c r="L15" s="27" t="s">
        <v>293</v>
      </c>
      <c r="M15" s="27" t="s">
        <v>293</v>
      </c>
      <c r="N15" s="51">
        <f>AVERAGE(N238:N273)</f>
        <v>20076.058823529413</v>
      </c>
      <c r="O15" s="60">
        <f>AVERAGE(O238:O273)</f>
        <v>421117.98333333345</v>
      </c>
    </row>
    <row r="16" spans="2:15" s="1" customFormat="1" x14ac:dyDescent="0.25">
      <c r="B16" s="267" t="s">
        <v>123</v>
      </c>
      <c r="C16" s="268"/>
      <c r="D16" s="33">
        <f>AVERAGE(D275:D279)</f>
        <v>7.4719999999999995E-2</v>
      </c>
      <c r="E16" s="28">
        <f t="shared" ref="E16:N16" si="7">AVERAGE(E275:E279)</f>
        <v>0.95199999999999996</v>
      </c>
      <c r="F16" s="36">
        <f t="shared" si="7"/>
        <v>2.232E-2</v>
      </c>
      <c r="G16" s="13">
        <f t="shared" si="7"/>
        <v>2.8680000000000001E-2</v>
      </c>
      <c r="H16" s="13">
        <f t="shared" si="7"/>
        <v>-7.7800000000000008E-2</v>
      </c>
      <c r="I16" s="20">
        <f t="shared" si="7"/>
        <v>212413729.79000002</v>
      </c>
      <c r="J16" s="27" t="s">
        <v>293</v>
      </c>
      <c r="K16" s="27" t="s">
        <v>293</v>
      </c>
      <c r="L16" s="27" t="s">
        <v>293</v>
      </c>
      <c r="M16" s="27" t="s">
        <v>293</v>
      </c>
      <c r="N16" s="51">
        <f t="shared" si="7"/>
        <v>2749.4</v>
      </c>
      <c r="O16" s="60">
        <f>AVERAGE(O275:O279)</f>
        <v>43988.468000000001</v>
      </c>
    </row>
    <row r="17" spans="2:15" s="1" customFormat="1" x14ac:dyDescent="0.25">
      <c r="B17" s="267" t="s">
        <v>122</v>
      </c>
      <c r="C17" s="268"/>
      <c r="D17" s="33">
        <f>AVERAGE(D281:D285)</f>
        <v>1.9399999999999997E-2</v>
      </c>
      <c r="E17" s="28">
        <f t="shared" ref="E17:N17" si="8">AVERAGE(E281:E285)</f>
        <v>0.71399999999999997</v>
      </c>
      <c r="F17" s="36">
        <f t="shared" si="8"/>
        <v>1.3299999999999998E-2</v>
      </c>
      <c r="G17" s="13">
        <f t="shared" si="8"/>
        <v>1.72E-2</v>
      </c>
      <c r="H17" s="13">
        <f t="shared" si="8"/>
        <v>-3.7740000000000003E-2</v>
      </c>
      <c r="I17" s="20">
        <f t="shared" si="8"/>
        <v>173769911.96799999</v>
      </c>
      <c r="J17" s="27" t="s">
        <v>293</v>
      </c>
      <c r="K17" s="27" t="s">
        <v>293</v>
      </c>
      <c r="L17" s="27" t="s">
        <v>293</v>
      </c>
      <c r="M17" s="27" t="s">
        <v>293</v>
      </c>
      <c r="N17" s="51">
        <f t="shared" si="8"/>
        <v>5185</v>
      </c>
      <c r="O17" s="60">
        <f>AVERAGE(O281:O285)</f>
        <v>45175.982000000004</v>
      </c>
    </row>
    <row r="18" spans="2:15" s="1" customFormat="1" x14ac:dyDescent="0.25">
      <c r="B18" s="267" t="s">
        <v>125</v>
      </c>
      <c r="C18" s="268"/>
      <c r="D18" s="33">
        <f t="shared" ref="D18:I18" si="9">AVERAGE(D287:D308)</f>
        <v>7.7159090909090913E-2</v>
      </c>
      <c r="E18" s="28">
        <f t="shared" si="9"/>
        <v>0.90272727272727271</v>
      </c>
      <c r="F18" s="36">
        <f t="shared" si="9"/>
        <v>7.1349999999999997E-2</v>
      </c>
      <c r="G18" s="13">
        <f t="shared" si="9"/>
        <v>-1.2245454545454544E-2</v>
      </c>
      <c r="H18" s="13">
        <f t="shared" si="9"/>
        <v>-1.7668181818181819E-2</v>
      </c>
      <c r="I18" s="20">
        <f t="shared" si="9"/>
        <v>663470835.66909087</v>
      </c>
      <c r="J18" s="27" t="s">
        <v>293</v>
      </c>
      <c r="K18" s="27" t="s">
        <v>293</v>
      </c>
      <c r="L18" s="27" t="s">
        <v>293</v>
      </c>
      <c r="M18" s="27" t="s">
        <v>293</v>
      </c>
      <c r="N18" s="51">
        <f>AVERAGE(N287:N308)</f>
        <v>24483.545454545456</v>
      </c>
      <c r="O18" s="60">
        <f>AVERAGE(O287:O308)</f>
        <v>856764.56863636349</v>
      </c>
    </row>
    <row r="19" spans="2:15" s="1" customFormat="1" x14ac:dyDescent="0.25">
      <c r="B19" s="267" t="s">
        <v>288</v>
      </c>
      <c r="C19" s="268"/>
      <c r="D19" s="33">
        <f t="shared" ref="D19:I19" si="10">AVERAGE(D310:D315)</f>
        <v>0.12723333333333334</v>
      </c>
      <c r="E19" s="28">
        <f t="shared" si="10"/>
        <v>0.90499999999999992</v>
      </c>
      <c r="F19" s="36">
        <f t="shared" si="10"/>
        <v>4.7183333333333327E-2</v>
      </c>
      <c r="G19" s="13">
        <f t="shared" si="10"/>
        <v>7.2333333333333355E-3</v>
      </c>
      <c r="H19" s="13">
        <f t="shared" si="10"/>
        <v>-7.4416666666666659E-2</v>
      </c>
      <c r="I19" s="20">
        <f t="shared" si="10"/>
        <v>574097637.60833323</v>
      </c>
      <c r="J19" s="27" t="s">
        <v>293</v>
      </c>
      <c r="K19" s="27" t="s">
        <v>293</v>
      </c>
      <c r="L19" s="27" t="s">
        <v>293</v>
      </c>
      <c r="M19" s="27" t="s">
        <v>293</v>
      </c>
      <c r="N19" s="51">
        <f>AVERAGE(N310:N315)</f>
        <v>22336.833333333332</v>
      </c>
      <c r="O19" s="60">
        <f>AVERAGE(O310:O315)</f>
        <v>430559.12166666664</v>
      </c>
    </row>
    <row r="20" spans="2:15" s="1" customFormat="1" x14ac:dyDescent="0.25">
      <c r="B20" s="267" t="s">
        <v>294</v>
      </c>
      <c r="C20" s="268"/>
      <c r="D20" s="33">
        <f>AVERAGE(D317:D321)</f>
        <v>7.1139999999999995E-2</v>
      </c>
      <c r="E20" s="28">
        <f t="shared" ref="E20:N20" si="11">AVERAGE(E317:E321)</f>
        <v>0.89200000000000002</v>
      </c>
      <c r="F20" s="36">
        <f t="shared" si="11"/>
        <v>3.3600000000000005E-2</v>
      </c>
      <c r="G20" s="13">
        <f t="shared" si="11"/>
        <v>-6.0600000000000003E-3</v>
      </c>
      <c r="H20" s="13">
        <f t="shared" si="11"/>
        <v>-3.5900000000000001E-2</v>
      </c>
      <c r="I20" s="20">
        <f t="shared" si="11"/>
        <v>187655225.20400003</v>
      </c>
      <c r="J20" s="27" t="s">
        <v>293</v>
      </c>
      <c r="K20" s="27" t="s">
        <v>293</v>
      </c>
      <c r="L20" s="27" t="s">
        <v>293</v>
      </c>
      <c r="M20" s="27" t="s">
        <v>293</v>
      </c>
      <c r="N20" s="51">
        <f t="shared" si="11"/>
        <v>4330.2</v>
      </c>
      <c r="O20" s="60">
        <f>AVERAGE(O317:O321)</f>
        <v>149434.54800000001</v>
      </c>
    </row>
    <row r="21" spans="2:15" s="1" customFormat="1" x14ac:dyDescent="0.25">
      <c r="B21" s="267" t="s">
        <v>295</v>
      </c>
      <c r="C21" s="268"/>
      <c r="D21" s="33">
        <f t="shared" ref="D21:I21" si="12">AVERAGE(D323:D336)</f>
        <v>1.3804785714285717</v>
      </c>
      <c r="E21" s="28">
        <f t="shared" si="12"/>
        <v>0.68285714285714294</v>
      </c>
      <c r="F21" s="36">
        <f t="shared" si="12"/>
        <v>0.14776428571428574</v>
      </c>
      <c r="G21" s="13">
        <f t="shared" si="12"/>
        <v>7.1571428571428576E-3</v>
      </c>
      <c r="H21" s="13">
        <f t="shared" si="12"/>
        <v>-5.8928571428571427E-2</v>
      </c>
      <c r="I21" s="20">
        <f t="shared" si="12"/>
        <v>183836315.30928573</v>
      </c>
      <c r="J21" s="27" t="s">
        <v>293</v>
      </c>
      <c r="K21" s="27" t="s">
        <v>293</v>
      </c>
      <c r="L21" s="27" t="s">
        <v>293</v>
      </c>
      <c r="M21" s="27" t="s">
        <v>293</v>
      </c>
      <c r="N21" s="51">
        <f>AVERAGE(N323:N336)</f>
        <v>8126.2857142857147</v>
      </c>
      <c r="O21" s="60">
        <f>AVERAGE(O323:O336)</f>
        <v>266438.9535714286</v>
      </c>
    </row>
    <row r="22" spans="2:15" s="1" customFormat="1" x14ac:dyDescent="0.25">
      <c r="B22" s="271" t="s">
        <v>479</v>
      </c>
      <c r="C22" s="272"/>
      <c r="D22" s="33">
        <f t="shared" ref="D22:I22" si="13">AVERAGE(D328:D336)</f>
        <v>2.0884888888888891</v>
      </c>
      <c r="E22" s="28">
        <f t="shared" si="13"/>
        <v>0.69111111111111112</v>
      </c>
      <c r="F22" s="36">
        <f t="shared" si="13"/>
        <v>0.13302222222222221</v>
      </c>
      <c r="G22" s="13">
        <f t="shared" si="13"/>
        <v>1.0533333333333334E-2</v>
      </c>
      <c r="H22" s="13">
        <f t="shared" si="13"/>
        <v>-9.0944444444444439E-2</v>
      </c>
      <c r="I22" s="20">
        <f t="shared" si="13"/>
        <v>207920728.42222226</v>
      </c>
      <c r="J22" s="27" t="s">
        <v>293</v>
      </c>
      <c r="K22" s="27" t="s">
        <v>293</v>
      </c>
      <c r="L22" s="27" t="s">
        <v>293</v>
      </c>
      <c r="M22" s="27" t="s">
        <v>293</v>
      </c>
      <c r="N22" s="51">
        <f>AVERAGE(N328:N336)</f>
        <v>9156.5555555555547</v>
      </c>
      <c r="O22" s="60">
        <f>AVERAGE(O328:O336)</f>
        <v>355353.77</v>
      </c>
    </row>
    <row r="23" spans="2:15" s="1" customFormat="1" ht="15.75" thickBot="1" x14ac:dyDescent="0.3">
      <c r="B23" s="269" t="s">
        <v>296</v>
      </c>
      <c r="C23" s="270"/>
      <c r="D23" s="34">
        <f t="shared" ref="D23:I23" si="14">AVERAGE(D348:D365)</f>
        <v>6.8688888888888883E-2</v>
      </c>
      <c r="E23" s="30">
        <f t="shared" si="14"/>
        <v>3.0683333333333342</v>
      </c>
      <c r="F23" s="37">
        <f t="shared" si="14"/>
        <v>0.21013333333333339</v>
      </c>
      <c r="G23" s="18">
        <f t="shared" si="14"/>
        <v>1.0549999999999999E-2</v>
      </c>
      <c r="H23" s="18">
        <f t="shared" si="14"/>
        <v>-7.4877777777777765E-2</v>
      </c>
      <c r="I23" s="21">
        <f t="shared" si="14"/>
        <v>100593423.05833334</v>
      </c>
      <c r="J23" s="31" t="s">
        <v>293</v>
      </c>
      <c r="K23" s="31" t="s">
        <v>293</v>
      </c>
      <c r="L23" s="31" t="s">
        <v>293</v>
      </c>
      <c r="M23" s="31" t="s">
        <v>293</v>
      </c>
      <c r="N23" s="55">
        <f>AVERAGE(N348:N365)</f>
        <v>1471.1666666666667</v>
      </c>
      <c r="O23" s="61">
        <f>AVERAGE(O348:O365)</f>
        <v>41882.198333333334</v>
      </c>
    </row>
    <row r="24" spans="2:15" s="203" customFormat="1" ht="15.75" thickBot="1" x14ac:dyDescent="0.3">
      <c r="B24" s="216" t="s">
        <v>6</v>
      </c>
      <c r="C24" s="217"/>
      <c r="D24" s="218"/>
      <c r="E24" s="218"/>
      <c r="F24" s="218"/>
      <c r="G24" s="218"/>
      <c r="H24" s="218"/>
      <c r="I24" s="218"/>
      <c r="J24" s="218"/>
      <c r="K24" s="218"/>
      <c r="L24" s="218"/>
      <c r="M24" s="218"/>
      <c r="N24" s="218"/>
      <c r="O24" s="219"/>
    </row>
    <row r="25" spans="2:15" x14ac:dyDescent="0.25">
      <c r="B25" s="132" t="s">
        <v>357</v>
      </c>
      <c r="C25" s="4">
        <f>IFERROR(VLOOKUP(B25,'STATUS INVEST FII'!$A$2:$N$404,2,0),0)</f>
        <v>100.56</v>
      </c>
      <c r="D25" s="5">
        <f>IFERROR(VLOOKUP(B25,'STATUS INVEST FII'!$A$2:$N$404,4,0)/100,0)</f>
        <v>9.8599999999999993E-2</v>
      </c>
      <c r="E25" s="6">
        <f>IFERROR(VLOOKUP(B25,'STATUS INVEST FII'!$A$2:$N$404,6,0),0)</f>
        <v>1.05</v>
      </c>
      <c r="F25" s="7">
        <f>IFERROR(VLOOKUP(B25,'STATUS INVEST FII'!$A$2:$N$404,8,0)/100,0)</f>
        <v>3.1E-2</v>
      </c>
      <c r="G25" s="8">
        <f>IFERROR(VLOOKUP(B25,'STATUS INVEST FII'!$A$2:$N$404,9,0)/100,0)</f>
        <v>0</v>
      </c>
      <c r="H25" s="8">
        <f>IFERROR(VLOOKUP(B25,'STATUS INVEST FII'!$A$2:$N$404,10,0)/100,0)</f>
        <v>0</v>
      </c>
      <c r="I25" s="19">
        <f>IFERROR(VLOOKUP(B25,'STATUS INVEST FII'!$A$2:$N$404,11,0),0)</f>
        <v>173063751.55000001</v>
      </c>
      <c r="J25" s="23" t="str">
        <f>IFERROR(VLOOKUP(B25,'ATIVOS-GESTÃO'!$A$1:$C$329,2),"-")</f>
        <v>MULTI</v>
      </c>
      <c r="K25" s="23" t="str">
        <f>IFERROR(VLOOKUP(B25,'ATIVOS-GESTÃO'!$A$1:$C$329,3),"-")</f>
        <v>-</v>
      </c>
      <c r="L25" s="19" t="str">
        <f>IFERROR(VLOOKUP(B25,'STATUS INVEST FII'!$A$2:$N$404,13,0),"-")</f>
        <v>Ativa</v>
      </c>
      <c r="M25" s="19" t="str">
        <f>IFERROR(VLOOKUP(B25,'DATA-COM'!A:B,2,FALSE),"-")</f>
        <v xml:space="preserve">Décimo </v>
      </c>
      <c r="N25" s="52">
        <f>IFERROR(VLOOKUP(B25,'STATUS INVEST FII'!$A$2:$N$404,12,0),"-")</f>
        <v>7036</v>
      </c>
      <c r="O25" s="53">
        <f>IFERROR(VLOOKUP(B25,'STATUS INVEST FII'!$A$2:$N$404,7,0),0)</f>
        <v>769861.09</v>
      </c>
    </row>
    <row r="26" spans="2:15" x14ac:dyDescent="0.25">
      <c r="B26" s="132" t="s">
        <v>128</v>
      </c>
      <c r="C26" s="9">
        <f>IFERROR(VLOOKUP(B26,'STATUS INVEST FII'!$A$2:$N$404,2,0),0)</f>
        <v>99.51</v>
      </c>
      <c r="D26" s="10">
        <f>IFERROR(VLOOKUP(B26,'STATUS INVEST FII'!$A$2:$N$404,4,0)/100,0)</f>
        <v>0.15039999999999998</v>
      </c>
      <c r="E26" s="11">
        <f>IFERROR(VLOOKUP(B26,'STATUS INVEST FII'!$A$2:$N$404,6,0),0)</f>
        <v>1.08</v>
      </c>
      <c r="F26" s="12">
        <f>IFERROR(VLOOKUP(B26,'STATUS INVEST FII'!$A$2:$N$404,8,0)/100,0)</f>
        <v>2.81E-2</v>
      </c>
      <c r="G26" s="13">
        <f>IFERROR(VLOOKUP(B26,'STATUS INVEST FII'!$A$2:$N$404,9,0)/100,0)</f>
        <v>0</v>
      </c>
      <c r="H26" s="13">
        <f>IFERROR(VLOOKUP(B26,'STATUS INVEST FII'!$A$2:$N$404,10,0)/100,0)</f>
        <v>0</v>
      </c>
      <c r="I26" s="20">
        <f>IFERROR(VLOOKUP(B26,'STATUS INVEST FII'!$A$2:$N$404,11,0),0)</f>
        <v>96921910.810000002</v>
      </c>
      <c r="J26" s="24" t="str">
        <f>IFERROR(VLOOKUP(B26,'ATIVOS-GESTÃO'!$A$1:$C$329,2),"-")</f>
        <v>MULTI</v>
      </c>
      <c r="K26" s="24" t="str">
        <f>IFERROR(VLOOKUP(B26,'ATIVOS-GESTÃO'!$A$1:$C$329,3),"-")</f>
        <v>-</v>
      </c>
      <c r="L26" s="20" t="str">
        <f>IFERROR(VLOOKUP(B26,'STATUS INVEST FII'!$A$2:$N$404,13,0),"-")</f>
        <v>Ativa</v>
      </c>
      <c r="M26" s="20" t="str">
        <f>IFERROR(VLOOKUP(B26,'DATA-COM'!A:B,2,FALSE),"-")</f>
        <v xml:space="preserve">Último </v>
      </c>
      <c r="N26" s="51">
        <f>IFERROR(VLOOKUP(B26,'STATUS INVEST FII'!$A$2:$N$404,12,0),"-")</f>
        <v>6449</v>
      </c>
      <c r="O26" s="54">
        <f>IFERROR(VLOOKUP(B26,'STATUS INVEST FII'!$A$2:$N$404,7,0),0)</f>
        <v>575021.88</v>
      </c>
    </row>
    <row r="27" spans="2:15" x14ac:dyDescent="0.25">
      <c r="B27" s="132" t="s">
        <v>240</v>
      </c>
      <c r="C27" s="9">
        <f>IFERROR(VLOOKUP(B27,'STATUS INVEST FII'!$A$2:$N$404,2,0),0)</f>
        <v>0</v>
      </c>
      <c r="D27" s="10">
        <f>IFERROR(VLOOKUP(B27,'STATUS INVEST FII'!$A$2:$N$404,4,0)/100,0)</f>
        <v>0</v>
      </c>
      <c r="E27" s="11">
        <f>IFERROR(VLOOKUP(B27,'STATUS INVEST FII'!$A$2:$N$404,6,0),0)</f>
        <v>0</v>
      </c>
      <c r="F27" s="12">
        <f>IFERROR(VLOOKUP(B27,'STATUS INVEST FII'!$A$2:$N$404,8,0)/100,0)</f>
        <v>3.5400000000000001E-2</v>
      </c>
      <c r="G27" s="13">
        <f>IFERROR(VLOOKUP(B27,'STATUS INVEST FII'!$A$2:$N$404,9,0)/100,0)</f>
        <v>4.3E-3</v>
      </c>
      <c r="H27" s="13">
        <f>IFERROR(VLOOKUP(B27,'STATUS INVEST FII'!$A$2:$N$404,10,0)/100,0)</f>
        <v>0</v>
      </c>
      <c r="I27" s="20">
        <f>IFERROR(VLOOKUP(B27,'STATUS INVEST FII'!$A$2:$N$404,11,0),0)</f>
        <v>48922930.219999999</v>
      </c>
      <c r="J27" s="24" t="str">
        <f>IFERROR(VLOOKUP(B27,'ATIVOS-GESTÃO'!$A$1:$C$329,2),"-")</f>
        <v>MULTI</v>
      </c>
      <c r="K27" s="24" t="str">
        <f>IFERROR(VLOOKUP(B27,'ATIVOS-GESTÃO'!$A$1:$C$329,3),"-")</f>
        <v>-</v>
      </c>
      <c r="L27" s="20" t="str">
        <f>IFERROR(VLOOKUP(B27,'STATUS INVEST FII'!$A$2:$N$404,13,0),"-")</f>
        <v>Ativa</v>
      </c>
      <c r="M27" s="20" t="str">
        <f>IFERROR(VLOOKUP(B27,'DATA-COM'!A:B,2,FALSE),"-")</f>
        <v xml:space="preserve">Último </v>
      </c>
      <c r="N27" s="51">
        <f>IFERROR(VLOOKUP(B27,'STATUS INVEST FII'!$A$2:$N$404,12,0),"-")</f>
        <v>20</v>
      </c>
      <c r="O27" s="54">
        <f>IFERROR(VLOOKUP(B27,'STATUS INVEST FII'!$A$2:$N$404,7,0),0)</f>
        <v>0</v>
      </c>
    </row>
    <row r="28" spans="2:15" x14ac:dyDescent="0.25">
      <c r="B28" s="132" t="s">
        <v>21</v>
      </c>
      <c r="C28" s="9">
        <f>IFERROR(VLOOKUP(B28,'STATUS INVEST FII'!$A$2:$N$404,2,0),0)</f>
        <v>109.74</v>
      </c>
      <c r="D28" s="10">
        <f>IFERROR(VLOOKUP(B28,'STATUS INVEST FII'!$A$2:$N$404,4,0)/100,0)</f>
        <v>0.13400000000000001</v>
      </c>
      <c r="E28" s="11">
        <f>IFERROR(VLOOKUP(B28,'STATUS INVEST FII'!$A$2:$N$404,6,0),0)</f>
        <v>1.03</v>
      </c>
      <c r="F28" s="12">
        <f>IFERROR(VLOOKUP(B28,'STATUS INVEST FII'!$A$2:$N$404,8,0)/100,0)</f>
        <v>5.3699999999999998E-2</v>
      </c>
      <c r="G28" s="13">
        <f>IFERROR(VLOOKUP(B28,'STATUS INVEST FII'!$A$2:$N$404,9,0)/100,0)</f>
        <v>0.13500000000000001</v>
      </c>
      <c r="H28" s="13">
        <f>IFERROR(VLOOKUP(B28,'STATUS INVEST FII'!$A$2:$N$404,10,0)/100,0)</f>
        <v>-1.38E-2</v>
      </c>
      <c r="I28" s="20">
        <f>IFERROR(VLOOKUP(B28,'STATUS INVEST FII'!$A$2:$N$404,11,0),0)</f>
        <v>667242431.60000002</v>
      </c>
      <c r="J28" s="24" t="str">
        <f>IFERROR(VLOOKUP(B28,'ATIVOS-GESTÃO'!$A$1:$C$329,2),"-")</f>
        <v>MULTI</v>
      </c>
      <c r="K28" s="24" t="str">
        <f>IFERROR(VLOOKUP(B28,'ATIVOS-GESTÃO'!$A$1:$C$329,3),"-")</f>
        <v>-</v>
      </c>
      <c r="L28" s="20" t="str">
        <f>IFERROR(VLOOKUP(B28,'STATUS INVEST FII'!$A$2:$N$404,13,0),"-")</f>
        <v>Ativa</v>
      </c>
      <c r="M28" s="20" t="str">
        <f>IFERROR(VLOOKUP(B28,'DATA-COM'!A:B,2,FALSE),"-")</f>
        <v xml:space="preserve">Último </v>
      </c>
      <c r="N28" s="51">
        <f>IFERROR(VLOOKUP(B28,'STATUS INVEST FII'!$A$2:$N$404,12,0),"-")</f>
        <v>45575</v>
      </c>
      <c r="O28" s="54">
        <f>IFERROR(VLOOKUP(B28,'STATUS INVEST FII'!$A$2:$N$404,7,0),0)</f>
        <v>1061524.6200000001</v>
      </c>
    </row>
    <row r="29" spans="2:15" x14ac:dyDescent="0.25">
      <c r="B29" s="132" t="s">
        <v>131</v>
      </c>
      <c r="C29" s="9">
        <f>IFERROR(VLOOKUP(B29,'STATUS INVEST FII'!$A$2:$N$404,2,0),0)</f>
        <v>92.7</v>
      </c>
      <c r="D29" s="10">
        <f>IFERROR(VLOOKUP(B29,'STATUS INVEST FII'!$A$2:$N$404,4,0)/100,0)</f>
        <v>5.4400000000000004E-2</v>
      </c>
      <c r="E29" s="11">
        <f>IFERROR(VLOOKUP(B29,'STATUS INVEST FII'!$A$2:$N$404,6,0),0)</f>
        <v>0.93</v>
      </c>
      <c r="F29" s="12">
        <f>IFERROR(VLOOKUP(B29,'STATUS INVEST FII'!$A$2:$N$404,8,0)/100,0)</f>
        <v>0.23710000000000001</v>
      </c>
      <c r="G29" s="13">
        <f>IFERROR(VLOOKUP(B29,'STATUS INVEST FII'!$A$2:$N$404,9,0)/100,0)</f>
        <v>0</v>
      </c>
      <c r="H29" s="13">
        <f>IFERROR(VLOOKUP(B29,'STATUS INVEST FII'!$A$2:$N$404,10,0)/100,0)</f>
        <v>0</v>
      </c>
      <c r="I29" s="20">
        <f>IFERROR(VLOOKUP(B29,'STATUS INVEST FII'!$A$2:$N$404,11,0),0)</f>
        <v>49751693.770000003</v>
      </c>
      <c r="J29" s="24" t="str">
        <f>IFERROR(VLOOKUP(B29,'ATIVOS-GESTÃO'!$A$1:$C$329,2),"-")</f>
        <v>MULTI</v>
      </c>
      <c r="K29" s="24" t="str">
        <f>IFERROR(VLOOKUP(B29,'ATIVOS-GESTÃO'!$A$1:$C$329,3),"-")</f>
        <v>-</v>
      </c>
      <c r="L29" s="20" t="str">
        <f>IFERROR(VLOOKUP(B29,'STATUS INVEST FII'!$A$2:$N$404,13,0),"-")</f>
        <v>Ativa</v>
      </c>
      <c r="M29" s="20" t="str">
        <f>IFERROR(VLOOKUP(B29,'DATA-COM'!A:B,2,FALSE),"-")</f>
        <v xml:space="preserve">Último </v>
      </c>
      <c r="N29" s="51">
        <f>IFERROR(VLOOKUP(B29,'STATUS INVEST FII'!$A$2:$N$404,12,0),"-")</f>
        <v>551</v>
      </c>
      <c r="O29" s="54">
        <f>IFERROR(VLOOKUP(B29,'STATUS INVEST FII'!$A$2:$N$404,7,0),0)</f>
        <v>2566.83</v>
      </c>
    </row>
    <row r="30" spans="2:15" x14ac:dyDescent="0.25">
      <c r="B30" s="132" t="s">
        <v>356</v>
      </c>
      <c r="C30" s="9">
        <f>IFERROR(VLOOKUP(B30,'STATUS INVEST FII'!$A$2:$N$404,2,0),0)</f>
        <v>95</v>
      </c>
      <c r="D30" s="10">
        <f>IFERROR(VLOOKUP(B30,'STATUS INVEST FII'!$A$2:$N$404,4,0)/100,0)</f>
        <v>0.1024</v>
      </c>
      <c r="E30" s="11">
        <f>IFERROR(VLOOKUP(B30,'STATUS INVEST FII'!$A$2:$N$404,6,0),0)</f>
        <v>0.97</v>
      </c>
      <c r="F30" s="12">
        <f>IFERROR(VLOOKUP(B30,'STATUS INVEST FII'!$A$2:$N$404,8,0)/100,0)</f>
        <v>1.44E-2</v>
      </c>
      <c r="G30" s="13">
        <f>IFERROR(VLOOKUP(B30,'STATUS INVEST FII'!$A$2:$N$404,9,0)/100,0)</f>
        <v>0</v>
      </c>
      <c r="H30" s="13">
        <f>IFERROR(VLOOKUP(B30,'STATUS INVEST FII'!$A$2:$N$404,10,0)/100,0)</f>
        <v>0</v>
      </c>
      <c r="I30" s="20">
        <f>IFERROR(VLOOKUP(B30,'STATUS INVEST FII'!$A$2:$N$404,11,0),0)</f>
        <v>40178684.689999998</v>
      </c>
      <c r="J30" s="24" t="str">
        <f>IFERROR(VLOOKUP(B30,'ATIVOS-GESTÃO'!$A$1:$C$329,2),"-")</f>
        <v>MULTI</v>
      </c>
      <c r="K30" s="24" t="str">
        <f>IFERROR(VLOOKUP(B30,'ATIVOS-GESTÃO'!$A$1:$C$329,3),"-")</f>
        <v>-</v>
      </c>
      <c r="L30" s="20" t="str">
        <f>IFERROR(VLOOKUP(B30,'STATUS INVEST FII'!$A$2:$N$404,13,0),"-")</f>
        <v>Ativa</v>
      </c>
      <c r="M30" s="20" t="str">
        <f>IFERROR(VLOOKUP(B30,'DATA-COM'!A:B,2,FALSE),"-")</f>
        <v xml:space="preserve">Décimo </v>
      </c>
      <c r="N30" s="51">
        <f>IFERROR(VLOOKUP(B30,'STATUS INVEST FII'!$A$2:$N$404,12,0),"-")</f>
        <v>119</v>
      </c>
      <c r="O30" s="54">
        <f>IFERROR(VLOOKUP(B30,'STATUS INVEST FII'!$A$2:$N$404,7,0),0)</f>
        <v>6081.11</v>
      </c>
    </row>
    <row r="31" spans="2:15" x14ac:dyDescent="0.25">
      <c r="B31" s="132" t="s">
        <v>12</v>
      </c>
      <c r="C31" s="9">
        <f>IFERROR(VLOOKUP(B31,'STATUS INVEST FII'!$A$2:$N$404,2,0),0)</f>
        <v>91.99</v>
      </c>
      <c r="D31" s="10">
        <f>IFERROR(VLOOKUP(B31,'STATUS INVEST FII'!$A$2:$N$404,4,0)/100,0)</f>
        <v>0.10050000000000001</v>
      </c>
      <c r="E31" s="11">
        <f>IFERROR(VLOOKUP(B31,'STATUS INVEST FII'!$A$2:$N$404,6,0),0)</f>
        <v>0.94</v>
      </c>
      <c r="F31" s="12">
        <f>IFERROR(VLOOKUP(B31,'STATUS INVEST FII'!$A$2:$N$404,8,0)/100,0)</f>
        <v>0.15429999999999999</v>
      </c>
      <c r="G31" s="13">
        <f>IFERROR(VLOOKUP(B31,'STATUS INVEST FII'!$A$2:$N$404,9,0)/100,0)</f>
        <v>7.7600000000000002E-2</v>
      </c>
      <c r="H31" s="13">
        <f>IFERROR(VLOOKUP(B31,'STATUS INVEST FII'!$A$2:$N$404,10,0)/100,0)</f>
        <v>-3.0099999999999998E-2</v>
      </c>
      <c r="I31" s="20">
        <f>IFERROR(VLOOKUP(B31,'STATUS INVEST FII'!$A$2:$N$404,11,0),0)</f>
        <v>472927195.19999999</v>
      </c>
      <c r="J31" s="24" t="str">
        <f>IFERROR(VLOOKUP(B31,'ATIVOS-GESTÃO'!$A$1:$C$329,2),"-")</f>
        <v>MULTI</v>
      </c>
      <c r="K31" s="24" t="str">
        <f>IFERROR(VLOOKUP(B31,'ATIVOS-GESTÃO'!$A$1:$C$329,3),"-")</f>
        <v>-</v>
      </c>
      <c r="L31" s="20" t="str">
        <f>IFERROR(VLOOKUP(B31,'STATUS INVEST FII'!$A$2:$N$404,13,0),"-")</f>
        <v>Ativa</v>
      </c>
      <c r="M31" s="20" t="str">
        <f>IFERROR(VLOOKUP(B31,'DATA-COM'!A:B,2,FALSE),"-")</f>
        <v xml:space="preserve">Quinto </v>
      </c>
      <c r="N31" s="51">
        <f>IFERROR(VLOOKUP(B31,'STATUS INVEST FII'!$A$2:$N$404,12,0),"-")</f>
        <v>10682</v>
      </c>
      <c r="O31" s="54">
        <f>IFERROR(VLOOKUP(B31,'STATUS INVEST FII'!$A$2:$N$404,7,0),0)</f>
        <v>879150.53</v>
      </c>
    </row>
    <row r="32" spans="2:15" x14ac:dyDescent="0.25">
      <c r="B32" s="132" t="s">
        <v>450</v>
      </c>
      <c r="C32" s="9">
        <f>IFERROR(VLOOKUP(B32,'STATUS INVEST FII'!$A$2:$N$404,2,0),0)</f>
        <v>109</v>
      </c>
      <c r="D32" s="10">
        <f>IFERROR(VLOOKUP(B32,'STATUS INVEST FII'!$A$2:$N$404,4,0)/100,0)</f>
        <v>0.1376</v>
      </c>
      <c r="E32" s="11">
        <f>IFERROR(VLOOKUP(B32,'STATUS INVEST FII'!$A$2:$N$404,6,0),0)</f>
        <v>1.08</v>
      </c>
      <c r="F32" s="12">
        <f>IFERROR(VLOOKUP(B32,'STATUS INVEST FII'!$A$2:$N$404,8,0)/100,0)</f>
        <v>8.6999999999999994E-2</v>
      </c>
      <c r="G32" s="13">
        <f>IFERROR(VLOOKUP(B32,'STATUS INVEST FII'!$A$2:$N$404,9,0)/100,0)</f>
        <v>0</v>
      </c>
      <c r="H32" s="13">
        <f>IFERROR(VLOOKUP(B32,'STATUS INVEST FII'!$A$2:$N$404,10,0)/100,0)</f>
        <v>0</v>
      </c>
      <c r="I32" s="20">
        <f>IFERROR(VLOOKUP(B32,'STATUS INVEST FII'!$A$2:$N$404,11,0),0)</f>
        <v>153988919.25999999</v>
      </c>
      <c r="J32" s="24" t="str">
        <f>IFERROR(VLOOKUP(B32,'ATIVOS-GESTÃO'!$A$1:$C$329,2),"-")</f>
        <v xml:space="preserve">MONO </v>
      </c>
      <c r="K32" s="24" t="str">
        <f>IFERROR(VLOOKUP(B32,'ATIVOS-GESTÃO'!$A$1:$C$329,3),"-")</f>
        <v>MULTI</v>
      </c>
      <c r="L32" s="20" t="str">
        <f>IFERROR(VLOOKUP(B32,'STATUS INVEST FII'!$A$2:$N$404,13,0),"-")</f>
        <v>Ativa</v>
      </c>
      <c r="M32" s="20" t="str">
        <f>IFERROR(VLOOKUP(B32,'DATA-COM'!A:B,2,FALSE),"-")</f>
        <v xml:space="preserve">Último </v>
      </c>
      <c r="N32" s="51">
        <f>IFERROR(VLOOKUP(B32,'STATUS INVEST FII'!$A$2:$N$404,12,0),"-")</f>
        <v>3486</v>
      </c>
      <c r="O32" s="54">
        <f>IFERROR(VLOOKUP(B32,'STATUS INVEST FII'!$A$2:$N$404,7,0),0)</f>
        <v>284785.78999999998</v>
      </c>
    </row>
    <row r="33" spans="2:15" x14ac:dyDescent="0.25">
      <c r="B33" s="132" t="s">
        <v>355</v>
      </c>
      <c r="C33" s="9">
        <f>IFERROR(VLOOKUP(B33,'STATUS INVEST FII'!$A$2:$N$404,2,0),0)</f>
        <v>99.9</v>
      </c>
      <c r="D33" s="10">
        <f>IFERROR(VLOOKUP(B33,'STATUS INVEST FII'!$A$2:$N$404,4,0)/100,0)</f>
        <v>6.5700000000000008E-2</v>
      </c>
      <c r="E33" s="11">
        <f>IFERROR(VLOOKUP(B33,'STATUS INVEST FII'!$A$2:$N$404,6,0),0)</f>
        <v>0.99</v>
      </c>
      <c r="F33" s="12">
        <f>IFERROR(VLOOKUP(B33,'STATUS INVEST FII'!$A$2:$N$404,8,0)/100,0)</f>
        <v>5.9299999999999999E-2</v>
      </c>
      <c r="G33" s="13">
        <f>IFERROR(VLOOKUP(B33,'STATUS INVEST FII'!$A$2:$N$404,9,0)/100,0)</f>
        <v>0</v>
      </c>
      <c r="H33" s="13">
        <f>IFERROR(VLOOKUP(B33,'STATUS INVEST FII'!$A$2:$N$404,10,0)/100,0)</f>
        <v>0</v>
      </c>
      <c r="I33" s="20">
        <f>IFERROR(VLOOKUP(B33,'STATUS INVEST FII'!$A$2:$N$404,11,0),0)</f>
        <v>157469483.91</v>
      </c>
      <c r="J33" s="24" t="str">
        <f>IFERROR(VLOOKUP(B33,'ATIVOS-GESTÃO'!$A$1:$C$329,2),"-")</f>
        <v>MULTI</v>
      </c>
      <c r="K33" s="24" t="str">
        <f>IFERROR(VLOOKUP(B33,'ATIVOS-GESTÃO'!$A$1:$C$329,3),"-")</f>
        <v>-</v>
      </c>
      <c r="L33" s="20" t="str">
        <f>IFERROR(VLOOKUP(B33,'STATUS INVEST FII'!$A$2:$N$404,13,0),"-")</f>
        <v>Ativa</v>
      </c>
      <c r="M33" s="20" t="str">
        <f>IFERROR(VLOOKUP(B33,'DATA-COM'!A:B,2,FALSE),"-")</f>
        <v xml:space="preserve">Décimo Terceiro </v>
      </c>
      <c r="N33" s="51">
        <f>IFERROR(VLOOKUP(B33,'STATUS INVEST FII'!$A$2:$N$404,12,0),"-")</f>
        <v>59</v>
      </c>
      <c r="O33" s="54">
        <f>IFERROR(VLOOKUP(B33,'STATUS INVEST FII'!$A$2:$N$404,7,0),0)</f>
        <v>13336.81</v>
      </c>
    </row>
    <row r="34" spans="2:15" x14ac:dyDescent="0.25">
      <c r="B34" s="132" t="s">
        <v>138</v>
      </c>
      <c r="C34" s="9">
        <f>IFERROR(VLOOKUP(B34,'STATUS INVEST FII'!$A$2:$N$404,2,0),0)</f>
        <v>101</v>
      </c>
      <c r="D34" s="10">
        <f>IFERROR(VLOOKUP(B34,'STATUS INVEST FII'!$A$2:$N$404,4,0)/100,0)</f>
        <v>0.1246</v>
      </c>
      <c r="E34" s="11">
        <f>IFERROR(VLOOKUP(B34,'STATUS INVEST FII'!$A$2:$N$404,6,0),0)</f>
        <v>1.02</v>
      </c>
      <c r="F34" s="12">
        <f>IFERROR(VLOOKUP(B34,'STATUS INVEST FII'!$A$2:$N$404,8,0)/100,0)</f>
        <v>2.5399999999999999E-2</v>
      </c>
      <c r="G34" s="13">
        <f>IFERROR(VLOOKUP(B34,'STATUS INVEST FII'!$A$2:$N$404,9,0)/100,0)</f>
        <v>0</v>
      </c>
      <c r="H34" s="13">
        <f>IFERROR(VLOOKUP(B34,'STATUS INVEST FII'!$A$2:$N$404,10,0)/100,0)</f>
        <v>0</v>
      </c>
      <c r="I34" s="20">
        <f>IFERROR(VLOOKUP(B34,'STATUS INVEST FII'!$A$2:$N$404,11,0),0)</f>
        <v>1050988640.61</v>
      </c>
      <c r="J34" s="24" t="str">
        <f>IFERROR(VLOOKUP(B34,'ATIVOS-GESTÃO'!$A$1:$C$329,2),"-")</f>
        <v>MULTI</v>
      </c>
      <c r="K34" s="24" t="str">
        <f>IFERROR(VLOOKUP(B34,'ATIVOS-GESTÃO'!$A$1:$C$329,3),"-")</f>
        <v>-</v>
      </c>
      <c r="L34" s="20" t="str">
        <f>IFERROR(VLOOKUP(B34,'STATUS INVEST FII'!$A$2:$N$404,13,0),"-")</f>
        <v>Ativa</v>
      </c>
      <c r="M34" s="20" t="str">
        <f>IFERROR(VLOOKUP(B34,'DATA-COM'!A:B,2,FALSE),"-")</f>
        <v xml:space="preserve">Sexto </v>
      </c>
      <c r="N34" s="51">
        <f>IFERROR(VLOOKUP(B34,'STATUS INVEST FII'!$A$2:$N$404,12,0),"-")</f>
        <v>53308</v>
      </c>
      <c r="O34" s="54">
        <f>IFERROR(VLOOKUP(B34,'STATUS INVEST FII'!$A$2:$N$404,7,0),0)</f>
        <v>4085786.68</v>
      </c>
    </row>
    <row r="35" spans="2:15" x14ac:dyDescent="0.25">
      <c r="B35" s="132" t="s">
        <v>452</v>
      </c>
      <c r="C35" s="9">
        <f>IFERROR(VLOOKUP(B35,'STATUS INVEST FII'!$A$2:$N$404,2,0),0)</f>
        <v>99.77</v>
      </c>
      <c r="D35" s="10">
        <f>IFERROR(VLOOKUP(B35,'STATUS INVEST FII'!$A$2:$N$404,4,0)/100,0)</f>
        <v>6.5099999999999991E-2</v>
      </c>
      <c r="E35" s="11">
        <f>IFERROR(VLOOKUP(B35,'STATUS INVEST FII'!$A$2:$N$404,6,0),0)</f>
        <v>1.06</v>
      </c>
      <c r="F35" s="12">
        <f>IFERROR(VLOOKUP(B35,'STATUS INVEST FII'!$A$2:$N$404,8,0)/100,0)</f>
        <v>6.25E-2</v>
      </c>
      <c r="G35" s="13">
        <f>IFERROR(VLOOKUP(B35,'STATUS INVEST FII'!$A$2:$N$404,9,0)/100,0)</f>
        <v>0</v>
      </c>
      <c r="H35" s="13">
        <f>IFERROR(VLOOKUP(B35,'STATUS INVEST FII'!$A$2:$N$404,10,0)/100,0)</f>
        <v>0</v>
      </c>
      <c r="I35" s="20">
        <f>IFERROR(VLOOKUP(B35,'STATUS INVEST FII'!$A$2:$N$404,11,0),0)</f>
        <v>60293805.329999998</v>
      </c>
      <c r="J35" s="24" t="str">
        <f>IFERROR(VLOOKUP(B35,'ATIVOS-GESTÃO'!$A$1:$C$329,2),"-")</f>
        <v>MULTI</v>
      </c>
      <c r="K35" s="24" t="str">
        <f>IFERROR(VLOOKUP(B35,'ATIVOS-GESTÃO'!$A$1:$C$329,3),"-")</f>
        <v>-</v>
      </c>
      <c r="L35" s="20" t="str">
        <f>IFERROR(VLOOKUP(B35,'STATUS INVEST FII'!$A$2:$N$404,13,0),"-")</f>
        <v>Ativa</v>
      </c>
      <c r="M35" s="20" t="str">
        <f>IFERROR(VLOOKUP(B35,'DATA-COM'!A:B,2,FALSE),"-")</f>
        <v xml:space="preserve">Último </v>
      </c>
      <c r="N35" s="51">
        <f>IFERROR(VLOOKUP(B35,'STATUS INVEST FII'!$A$2:$N$404,12,0),"-")</f>
        <v>240</v>
      </c>
      <c r="O35" s="54">
        <f>IFERROR(VLOOKUP(B35,'STATUS INVEST FII'!$A$2:$N$404,7,0),0)</f>
        <v>38846.559999999998</v>
      </c>
    </row>
    <row r="36" spans="2:15" x14ac:dyDescent="0.25">
      <c r="B36" s="132" t="s">
        <v>310</v>
      </c>
      <c r="C36" s="9">
        <f>IFERROR(VLOOKUP(B36,'STATUS INVEST FII'!$A$2:$N$404,2,0),0)</f>
        <v>101.56</v>
      </c>
      <c r="D36" s="10">
        <f>IFERROR(VLOOKUP(B36,'STATUS INVEST FII'!$A$2:$N$404,4,0)/100,0)</f>
        <v>0.156</v>
      </c>
      <c r="E36" s="11">
        <f>IFERROR(VLOOKUP(B36,'STATUS INVEST FII'!$A$2:$N$404,6,0),0)</f>
        <v>1.05</v>
      </c>
      <c r="F36" s="12">
        <f>IFERROR(VLOOKUP(B36,'STATUS INVEST FII'!$A$2:$N$404,8,0)/100,0)</f>
        <v>5.28E-2</v>
      </c>
      <c r="G36" s="13">
        <f>IFERROR(VLOOKUP(B36,'STATUS INVEST FII'!$A$2:$N$404,9,0)/100,0)</f>
        <v>0</v>
      </c>
      <c r="H36" s="13">
        <f>IFERROR(VLOOKUP(B36,'STATUS INVEST FII'!$A$2:$N$404,10,0)/100,0)</f>
        <v>0</v>
      </c>
      <c r="I36" s="20">
        <f>IFERROR(VLOOKUP(B36,'STATUS INVEST FII'!$A$2:$N$404,11,0),0)</f>
        <v>1348941632.3299999</v>
      </c>
      <c r="J36" s="24" t="str">
        <f>IFERROR(VLOOKUP(B36,'ATIVOS-GESTÃO'!$A$1:$C$329,2),"-")</f>
        <v>MULTI</v>
      </c>
      <c r="K36" s="24" t="str">
        <f>IFERROR(VLOOKUP(B36,'ATIVOS-GESTÃO'!$A$1:$C$329,3),"-")</f>
        <v>-</v>
      </c>
      <c r="L36" s="20" t="str">
        <f>IFERROR(VLOOKUP(B36,'STATUS INVEST FII'!$A$2:$N$404,13,0),"-")</f>
        <v>Ativa</v>
      </c>
      <c r="M36" s="20" t="str">
        <f>IFERROR(VLOOKUP(B36,'DATA-COM'!A:B,2,FALSE),"-")</f>
        <v xml:space="preserve">Quinto </v>
      </c>
      <c r="N36" s="51">
        <f>IFERROR(VLOOKUP(B36,'STATUS INVEST FII'!$A$2:$N$404,12,0),"-")</f>
        <v>83740</v>
      </c>
      <c r="O36" s="54">
        <f>IFERROR(VLOOKUP(B36,'STATUS INVEST FII'!$A$2:$N$404,7,0),0)</f>
        <v>6402875.2400000002</v>
      </c>
    </row>
    <row r="37" spans="2:15" x14ac:dyDescent="0.25">
      <c r="B37" s="132" t="s">
        <v>437</v>
      </c>
      <c r="C37" s="9">
        <f>IFERROR(VLOOKUP(B37,'STATUS INVEST FII'!$A$2:$N$404,2,0),0)</f>
        <v>91.7</v>
      </c>
      <c r="D37" s="10">
        <f>IFERROR(VLOOKUP(B37,'STATUS INVEST FII'!$A$2:$N$404,4,0)/100,0)</f>
        <v>0.1225</v>
      </c>
      <c r="E37" s="11">
        <f>IFERROR(VLOOKUP(B37,'STATUS INVEST FII'!$A$2:$N$404,6,0),0)</f>
        <v>0.97</v>
      </c>
      <c r="F37" s="12">
        <f>IFERROR(VLOOKUP(B37,'STATUS INVEST FII'!$A$2:$N$404,8,0)/100,0)</f>
        <v>1.9900000000000001E-2</v>
      </c>
      <c r="G37" s="13">
        <f>IFERROR(VLOOKUP(B37,'STATUS INVEST FII'!$A$2:$N$404,9,0)/100,0)</f>
        <v>-0.26269999999999999</v>
      </c>
      <c r="H37" s="13">
        <f>IFERROR(VLOOKUP(B37,'STATUS INVEST FII'!$A$2:$N$404,10,0)/100,0)</f>
        <v>0</v>
      </c>
      <c r="I37" s="20">
        <f>IFERROR(VLOOKUP(B37,'STATUS INVEST FII'!$A$2:$N$404,11,0),0)</f>
        <v>137821478.59</v>
      </c>
      <c r="J37" s="24" t="str">
        <f>IFERROR(VLOOKUP(B37,'ATIVOS-GESTÃO'!$A$1:$C$329,2),"-")</f>
        <v>MULTI</v>
      </c>
      <c r="K37" s="24" t="str">
        <f>IFERROR(VLOOKUP(B37,'ATIVOS-GESTÃO'!$A$1:$C$329,3),"-")</f>
        <v>-</v>
      </c>
      <c r="L37" s="20" t="str">
        <f>IFERROR(VLOOKUP(B37,'STATUS INVEST FII'!$A$2:$N$404,13,0),"-")</f>
        <v>Ativa</v>
      </c>
      <c r="M37" s="20" t="str">
        <f>IFERROR(VLOOKUP(B37,'DATA-COM'!A:B,2,FALSE),"-")</f>
        <v xml:space="preserve">Quinto </v>
      </c>
      <c r="N37" s="51">
        <f>IFERROR(VLOOKUP(B37,'STATUS INVEST FII'!$A$2:$N$404,12,0),"-")</f>
        <v>8816</v>
      </c>
      <c r="O37" s="54">
        <f>IFERROR(VLOOKUP(B37,'STATUS INVEST FII'!$A$2:$N$404,7,0),0)</f>
        <v>594567.24</v>
      </c>
    </row>
    <row r="38" spans="2:15" x14ac:dyDescent="0.25">
      <c r="B38" s="132" t="s">
        <v>463</v>
      </c>
      <c r="C38" s="9">
        <f>IFERROR(VLOOKUP(B38,'STATUS INVEST FII'!$A$2:$N$404,2,0),0)</f>
        <v>99.97</v>
      </c>
      <c r="D38" s="10">
        <f>IFERROR(VLOOKUP(B38,'STATUS INVEST FII'!$A$2:$N$404,4,0)/100,0)</f>
        <v>2.1099999999999997E-2</v>
      </c>
      <c r="E38" s="11">
        <f>IFERROR(VLOOKUP(B38,'STATUS INVEST FII'!$A$2:$N$404,6,0),0)</f>
        <v>0.98</v>
      </c>
      <c r="F38" s="12">
        <f>IFERROR(VLOOKUP(B38,'STATUS INVEST FII'!$A$2:$N$404,8,0)/100,0)</f>
        <v>0.1157</v>
      </c>
      <c r="G38" s="13">
        <f>IFERROR(VLOOKUP(B38,'STATUS INVEST FII'!$A$2:$N$404,9,0)/100,0)</f>
        <v>0</v>
      </c>
      <c r="H38" s="13">
        <f>IFERROR(VLOOKUP(B38,'STATUS INVEST FII'!$A$2:$N$404,10,0)/100,0)</f>
        <v>0</v>
      </c>
      <c r="I38" s="20">
        <f>IFERROR(VLOOKUP(B38,'STATUS INVEST FII'!$A$2:$N$404,11,0),0)</f>
        <v>50977855.109999999</v>
      </c>
      <c r="J38" s="24" t="str">
        <f>IFERROR(VLOOKUP(B38,'ATIVOS-GESTÃO'!$A$1:$C$329,2),"-")</f>
        <v>MULTI</v>
      </c>
      <c r="K38" s="24" t="str">
        <f>IFERROR(VLOOKUP(B38,'ATIVOS-GESTÃO'!$A$1:$C$329,3),"-")</f>
        <v>-</v>
      </c>
      <c r="L38" s="20" t="str">
        <f>IFERROR(VLOOKUP(B38,'STATUS INVEST FII'!$A$2:$N$404,13,0),"-")</f>
        <v>Ativa</v>
      </c>
      <c r="M38" s="20" t="str">
        <f>IFERROR(VLOOKUP(B38,'DATA-COM'!A:B,2,FALSE),"-")</f>
        <v xml:space="preserve">Décimo Terceiro </v>
      </c>
      <c r="N38" s="51">
        <f>IFERROR(VLOOKUP(B38,'STATUS INVEST FII'!$A$2:$N$404,12,0),"-")</f>
        <v>97</v>
      </c>
      <c r="O38" s="54">
        <f>IFERROR(VLOOKUP(B38,'STATUS INVEST FII'!$A$2:$N$404,7,0),0)</f>
        <v>13839.88</v>
      </c>
    </row>
    <row r="39" spans="2:15" x14ac:dyDescent="0.25">
      <c r="B39" s="132" t="s">
        <v>323</v>
      </c>
      <c r="C39" s="9">
        <f>IFERROR(VLOOKUP(B39,'STATUS INVEST FII'!$A$2:$N$404,2,0),0)</f>
        <v>99.35</v>
      </c>
      <c r="D39" s="10">
        <f>IFERROR(VLOOKUP(B39,'STATUS INVEST FII'!$A$2:$N$404,4,0)/100,0)</f>
        <v>0.16</v>
      </c>
      <c r="E39" s="11">
        <f>IFERROR(VLOOKUP(B39,'STATUS INVEST FII'!$A$2:$N$404,6,0),0)</f>
        <v>0.99</v>
      </c>
      <c r="F39" s="12">
        <f>IFERROR(VLOOKUP(B39,'STATUS INVEST FII'!$A$2:$N$404,8,0)/100,0)</f>
        <v>3.8100000000000002E-2</v>
      </c>
      <c r="G39" s="13">
        <f>IFERROR(VLOOKUP(B39,'STATUS INVEST FII'!$A$2:$N$404,9,0)/100,0)</f>
        <v>0</v>
      </c>
      <c r="H39" s="13">
        <f>IFERROR(VLOOKUP(B39,'STATUS INVEST FII'!$A$2:$N$404,10,0)/100,0)</f>
        <v>0</v>
      </c>
      <c r="I39" s="20">
        <f>IFERROR(VLOOKUP(B39,'STATUS INVEST FII'!$A$2:$N$404,11,0),0)</f>
        <v>50185828.630000003</v>
      </c>
      <c r="J39" s="24" t="str">
        <f>IFERROR(VLOOKUP(B39,'ATIVOS-GESTÃO'!$A$1:$C$329,2),"-")</f>
        <v>-</v>
      </c>
      <c r="K39" s="24" t="str">
        <f>IFERROR(VLOOKUP(B39,'ATIVOS-GESTÃO'!$A$1:$C$329,3),"-")</f>
        <v>-</v>
      </c>
      <c r="L39" s="20" t="str">
        <f>IFERROR(VLOOKUP(B39,'STATUS INVEST FII'!$A$2:$N$404,13,0),"-")</f>
        <v>Ativa</v>
      </c>
      <c r="M39" s="20" t="str">
        <f>IFERROR(VLOOKUP(B39,'DATA-COM'!A:B,2,FALSE),"-")</f>
        <v xml:space="preserve">Quinto </v>
      </c>
      <c r="N39" s="51">
        <f>IFERROR(VLOOKUP(B39,'STATUS INVEST FII'!$A$2:$N$404,12,0),"-")</f>
        <v>842</v>
      </c>
      <c r="O39" s="54">
        <f>IFERROR(VLOOKUP(B39,'STATUS INVEST FII'!$A$2:$N$404,7,0),0)</f>
        <v>388759.38</v>
      </c>
    </row>
    <row r="40" spans="2:15" x14ac:dyDescent="0.25">
      <c r="B40" s="132" t="s">
        <v>340</v>
      </c>
      <c r="C40" s="9">
        <f>IFERROR(VLOOKUP(B40,'STATUS INVEST FII'!$A$2:$N$404,2,0),0)</f>
        <v>97.95</v>
      </c>
      <c r="D40" s="10">
        <f>IFERROR(VLOOKUP(B40,'STATUS INVEST FII'!$A$2:$N$404,4,0)/100,0)</f>
        <v>0.13</v>
      </c>
      <c r="E40" s="11">
        <f>IFERROR(VLOOKUP(B40,'STATUS INVEST FII'!$A$2:$N$404,6,0),0)</f>
        <v>0.99</v>
      </c>
      <c r="F40" s="12">
        <f>IFERROR(VLOOKUP(B40,'STATUS INVEST FII'!$A$2:$N$404,8,0)/100,0)</f>
        <v>3.0699999999999998E-2</v>
      </c>
      <c r="G40" s="13">
        <f>IFERROR(VLOOKUP(B40,'STATUS INVEST FII'!$A$2:$N$404,9,0)/100,0)</f>
        <v>0</v>
      </c>
      <c r="H40" s="13">
        <f>IFERROR(VLOOKUP(B40,'STATUS INVEST FII'!$A$2:$N$404,10,0)/100,0)</f>
        <v>0</v>
      </c>
      <c r="I40" s="20">
        <f>IFERROR(VLOOKUP(B40,'STATUS INVEST FII'!$A$2:$N$404,11,0),0)</f>
        <v>99402617.609999999</v>
      </c>
      <c r="J40" s="24" t="str">
        <f>IFERROR(VLOOKUP(B40,'ATIVOS-GESTÃO'!$A$1:$C$329,2),"-")</f>
        <v>-</v>
      </c>
      <c r="K40" s="24" t="str">
        <f>IFERROR(VLOOKUP(B40,'ATIVOS-GESTÃO'!$A$1:$C$329,3),"-")</f>
        <v>-</v>
      </c>
      <c r="L40" s="20" t="str">
        <f>IFERROR(VLOOKUP(B40,'STATUS INVEST FII'!$A$2:$N$404,13,0),"-")</f>
        <v>Ativa</v>
      </c>
      <c r="M40" s="20" t="str">
        <f>IFERROR(VLOOKUP(B40,'DATA-COM'!A:B,2,FALSE),"-")</f>
        <v xml:space="preserve">Nono </v>
      </c>
      <c r="N40" s="51">
        <f>IFERROR(VLOOKUP(B40,'STATUS INVEST FII'!$A$2:$N$404,12,0),"-")</f>
        <v>1439</v>
      </c>
      <c r="O40" s="54">
        <f>IFERROR(VLOOKUP(B40,'STATUS INVEST FII'!$A$2:$N$404,7,0),0)</f>
        <v>257740.65</v>
      </c>
    </row>
    <row r="41" spans="2:15" x14ac:dyDescent="0.25">
      <c r="B41" s="132" t="s">
        <v>360</v>
      </c>
      <c r="C41" s="9">
        <f>IFERROR(VLOOKUP(B41,'STATUS INVEST FII'!$A$2:$N$404,2,0),0)</f>
        <v>87.25</v>
      </c>
      <c r="D41" s="10">
        <f>IFERROR(VLOOKUP(B41,'STATUS INVEST FII'!$A$2:$N$404,4,0)/100,0)</f>
        <v>6.0299999999999999E-2</v>
      </c>
      <c r="E41" s="11">
        <f>IFERROR(VLOOKUP(B41,'STATUS INVEST FII'!$A$2:$N$404,6,0),0)</f>
        <v>0.89</v>
      </c>
      <c r="F41" s="12">
        <f>IFERROR(VLOOKUP(B41,'STATUS INVEST FII'!$A$2:$N$404,8,0)/100,0)</f>
        <v>1.7299999999999999E-2</v>
      </c>
      <c r="G41" s="13">
        <f>IFERROR(VLOOKUP(B41,'STATUS INVEST FII'!$A$2:$N$404,9,0)/100,0)</f>
        <v>0</v>
      </c>
      <c r="H41" s="13">
        <f>IFERROR(VLOOKUP(B41,'STATUS INVEST FII'!$A$2:$N$404,10,0)/100,0)</f>
        <v>0</v>
      </c>
      <c r="I41" s="20">
        <f>IFERROR(VLOOKUP(B41,'STATUS INVEST FII'!$A$2:$N$404,11,0),0)</f>
        <v>116953977.51000001</v>
      </c>
      <c r="J41" s="24" t="str">
        <f>IFERROR(VLOOKUP(B41,'ATIVOS-GESTÃO'!$A$1:$C$329,2),"-")</f>
        <v>-</v>
      </c>
      <c r="K41" s="24" t="str">
        <f>IFERROR(VLOOKUP(B41,'ATIVOS-GESTÃO'!$A$1:$C$329,3),"-")</f>
        <v>-</v>
      </c>
      <c r="L41" s="20" t="str">
        <f>IFERROR(VLOOKUP(B41,'STATUS INVEST FII'!$A$2:$N$404,13,0),"-")</f>
        <v>Ativa</v>
      </c>
      <c r="M41" s="20" t="str">
        <f>IFERROR(VLOOKUP(B41,'DATA-COM'!A:B,2,FALSE),"-")</f>
        <v xml:space="preserve">Último </v>
      </c>
      <c r="N41" s="51">
        <f>IFERROR(VLOOKUP(B41,'STATUS INVEST FII'!$A$2:$N$404,12,0),"-")</f>
        <v>319</v>
      </c>
      <c r="O41" s="54">
        <f>IFERROR(VLOOKUP(B41,'STATUS INVEST FII'!$A$2:$N$404,7,0),0)</f>
        <v>9538.0499999999993</v>
      </c>
    </row>
    <row r="42" spans="2:15" x14ac:dyDescent="0.25">
      <c r="B42" s="132" t="s">
        <v>10</v>
      </c>
      <c r="C42" s="9">
        <f>IFERROR(VLOOKUP(B42,'STATUS INVEST FII'!$A$2:$N$404,2,0),0)</f>
        <v>122.15</v>
      </c>
      <c r="D42" s="10">
        <f>IFERROR(VLOOKUP(B42,'STATUS INVEST FII'!$A$2:$N$404,4,0)/100,0)</f>
        <v>0.16850000000000001</v>
      </c>
      <c r="E42" s="11">
        <f>IFERROR(VLOOKUP(B42,'STATUS INVEST FII'!$A$2:$N$404,6,0),0)</f>
        <v>1.04</v>
      </c>
      <c r="F42" s="12">
        <f>IFERROR(VLOOKUP(B42,'STATUS INVEST FII'!$A$2:$N$404,8,0)/100,0)</f>
        <v>1.72E-2</v>
      </c>
      <c r="G42" s="13">
        <f>IFERROR(VLOOKUP(B42,'STATUS INVEST FII'!$A$2:$N$404,9,0)/100,0)</f>
        <v>0</v>
      </c>
      <c r="H42" s="13">
        <f>IFERROR(VLOOKUP(B42,'STATUS INVEST FII'!$A$2:$N$404,10,0)/100,0)</f>
        <v>0</v>
      </c>
      <c r="I42" s="20">
        <f>IFERROR(VLOOKUP(B42,'STATUS INVEST FII'!$A$2:$N$404,11,0),0)</f>
        <v>2389620318.6300001</v>
      </c>
      <c r="J42" s="24" t="str">
        <f>IFERROR(VLOOKUP(B42,'ATIVOS-GESTÃO'!$A$1:$C$329,2),"-")</f>
        <v>MULTI</v>
      </c>
      <c r="K42" s="24" t="str">
        <f>IFERROR(VLOOKUP(B42,'ATIVOS-GESTÃO'!$A$1:$C$329,3),"-")</f>
        <v>-</v>
      </c>
      <c r="L42" s="20" t="str">
        <f>IFERROR(VLOOKUP(B42,'STATUS INVEST FII'!$A$2:$N$404,13,0),"-")</f>
        <v>Ativa</v>
      </c>
      <c r="M42" s="20" t="str">
        <f>IFERROR(VLOOKUP(B42,'DATA-COM'!A:B,2,FALSE),"-")</f>
        <v xml:space="preserve">Quinto </v>
      </c>
      <c r="N42" s="51">
        <f>IFERROR(VLOOKUP(B42,'STATUS INVEST FII'!$A$2:$N$404,12,0),"-")</f>
        <v>163252</v>
      </c>
      <c r="O42" s="54">
        <f>IFERROR(VLOOKUP(B42,'STATUS INVEST FII'!$A$2:$N$404,7,0),0)</f>
        <v>8063524.3200000003</v>
      </c>
    </row>
    <row r="43" spans="2:15" x14ac:dyDescent="0.25">
      <c r="B43" s="132" t="s">
        <v>351</v>
      </c>
      <c r="C43" s="9">
        <f>IFERROR(VLOOKUP(B43,'STATUS INVEST FII'!$A$2:$N$404,2,0),0)</f>
        <v>107.5</v>
      </c>
      <c r="D43" s="10">
        <f>IFERROR(VLOOKUP(B43,'STATUS INVEST FII'!$A$2:$N$404,4,0)/100,0)</f>
        <v>8.4000000000000005E-2</v>
      </c>
      <c r="E43" s="11">
        <f>IFERROR(VLOOKUP(B43,'STATUS INVEST FII'!$A$2:$N$404,6,0),0)</f>
        <v>1</v>
      </c>
      <c r="F43" s="12">
        <f>IFERROR(VLOOKUP(B43,'STATUS INVEST FII'!$A$2:$N$404,8,0)/100,0)</f>
        <v>8.7899999999999992E-2</v>
      </c>
      <c r="G43" s="13">
        <f>IFERROR(VLOOKUP(B43,'STATUS INVEST FII'!$A$2:$N$404,9,0)/100,0)</f>
        <v>0</v>
      </c>
      <c r="H43" s="13">
        <f>IFERROR(VLOOKUP(B43,'STATUS INVEST FII'!$A$2:$N$404,10,0)/100,0)</f>
        <v>0</v>
      </c>
      <c r="I43" s="20">
        <f>IFERROR(VLOOKUP(B43,'STATUS INVEST FII'!$A$2:$N$404,11,0),0)</f>
        <v>30024831.539999999</v>
      </c>
      <c r="J43" s="24" t="str">
        <f>IFERROR(VLOOKUP(B43,'ATIVOS-GESTÃO'!$A$1:$C$329,2),"-")</f>
        <v>-</v>
      </c>
      <c r="K43" s="24" t="str">
        <f>IFERROR(VLOOKUP(B43,'ATIVOS-GESTÃO'!$A$1:$C$329,3),"-")</f>
        <v>-</v>
      </c>
      <c r="L43" s="20" t="str">
        <f>IFERROR(VLOOKUP(B43,'STATUS INVEST FII'!$A$2:$N$404,13,0),"-")</f>
        <v>Ativa</v>
      </c>
      <c r="M43" s="20" t="str">
        <f>IFERROR(VLOOKUP(B43,'DATA-COM'!A:B,2,FALSE),"-")</f>
        <v xml:space="preserve">Último </v>
      </c>
      <c r="N43" s="51">
        <f>IFERROR(VLOOKUP(B43,'STATUS INVEST FII'!$A$2:$N$404,12,0),"-")</f>
        <v>254</v>
      </c>
      <c r="O43" s="54">
        <f>IFERROR(VLOOKUP(B43,'STATUS INVEST FII'!$A$2:$N$404,7,0),0)</f>
        <v>391313.82</v>
      </c>
    </row>
    <row r="44" spans="2:15" x14ac:dyDescent="0.25">
      <c r="B44" s="132" t="s">
        <v>305</v>
      </c>
      <c r="C44" s="9">
        <f>IFERROR(VLOOKUP(B44,'STATUS INVEST FII'!$A$2:$N$404,2,0),0)</f>
        <v>96</v>
      </c>
      <c r="D44" s="10">
        <f>IFERROR(VLOOKUP(B44,'STATUS INVEST FII'!$A$2:$N$404,4,0)/100,0)</f>
        <v>0.1069</v>
      </c>
      <c r="E44" s="11">
        <f>IFERROR(VLOOKUP(B44,'STATUS INVEST FII'!$A$2:$N$404,6,0),0)</f>
        <v>1.05</v>
      </c>
      <c r="F44" s="12">
        <f>IFERROR(VLOOKUP(B44,'STATUS INVEST FII'!$A$2:$N$404,8,0)/100,0)</f>
        <v>4.6900000000000004E-2</v>
      </c>
      <c r="G44" s="13">
        <f>IFERROR(VLOOKUP(B44,'STATUS INVEST FII'!$A$2:$N$404,9,0)/100,0)</f>
        <v>0</v>
      </c>
      <c r="H44" s="13">
        <f>IFERROR(VLOOKUP(B44,'STATUS INVEST FII'!$A$2:$N$404,10,0)/100,0)</f>
        <v>0</v>
      </c>
      <c r="I44" s="20">
        <f>IFERROR(VLOOKUP(B44,'STATUS INVEST FII'!$A$2:$N$404,11,0),0)</f>
        <v>428204347.48000002</v>
      </c>
      <c r="J44" s="24" t="str">
        <f>IFERROR(VLOOKUP(B44,'ATIVOS-GESTÃO'!$A$1:$C$329,2),"-")</f>
        <v>-</v>
      </c>
      <c r="K44" s="24" t="str">
        <f>IFERROR(VLOOKUP(B44,'ATIVOS-GESTÃO'!$A$1:$C$329,3),"-")</f>
        <v>-</v>
      </c>
      <c r="L44" s="20" t="str">
        <f>IFERROR(VLOOKUP(B44,'STATUS INVEST FII'!$A$2:$N$404,13,0),"-")</f>
        <v>Ativa</v>
      </c>
      <c r="M44" s="20" t="str">
        <f>IFERROR(VLOOKUP(B44,'DATA-COM'!A:B,2,FALSE),"-")</f>
        <v xml:space="preserve">Último </v>
      </c>
      <c r="N44" s="51">
        <f>IFERROR(VLOOKUP(B44,'STATUS INVEST FII'!$A$2:$N$404,12,0),"-")</f>
        <v>390</v>
      </c>
      <c r="O44" s="54">
        <f>IFERROR(VLOOKUP(B44,'STATUS INVEST FII'!$A$2:$N$404,7,0),0)</f>
        <v>10406.67</v>
      </c>
    </row>
    <row r="45" spans="2:15" x14ac:dyDescent="0.25">
      <c r="B45" s="132" t="s">
        <v>231</v>
      </c>
      <c r="C45" s="9">
        <f>IFERROR(VLOOKUP(B45,'STATUS INVEST FII'!$A$2:$N$404,2,0),0)</f>
        <v>95.2</v>
      </c>
      <c r="D45" s="10">
        <f>IFERROR(VLOOKUP(B45,'STATUS INVEST FII'!$A$2:$N$404,4,0)/100,0)</f>
        <v>0.1283</v>
      </c>
      <c r="E45" s="11">
        <f>IFERROR(VLOOKUP(B45,'STATUS INVEST FII'!$A$2:$N$404,6,0),0)</f>
        <v>0.99</v>
      </c>
      <c r="F45" s="12">
        <f>IFERROR(VLOOKUP(B45,'STATUS INVEST FII'!$A$2:$N$404,8,0)/100,0)</f>
        <v>1.95E-2</v>
      </c>
      <c r="G45" s="13">
        <f>IFERROR(VLOOKUP(B45,'STATUS INVEST FII'!$A$2:$N$404,9,0)/100,0)</f>
        <v>0</v>
      </c>
      <c r="H45" s="13">
        <f>IFERROR(VLOOKUP(B45,'STATUS INVEST FII'!$A$2:$N$404,10,0)/100,0)</f>
        <v>0</v>
      </c>
      <c r="I45" s="20">
        <f>IFERROR(VLOOKUP(B45,'STATUS INVEST FII'!$A$2:$N$404,11,0),0)</f>
        <v>169441239.06</v>
      </c>
      <c r="J45" s="24" t="str">
        <f>IFERROR(VLOOKUP(B45,'ATIVOS-GESTÃO'!$A$1:$C$329,2),"-")</f>
        <v>-</v>
      </c>
      <c r="K45" s="24" t="str">
        <f>IFERROR(VLOOKUP(B45,'ATIVOS-GESTÃO'!$A$1:$C$329,3),"-")</f>
        <v>-</v>
      </c>
      <c r="L45" s="20" t="str">
        <f>IFERROR(VLOOKUP(B45,'STATUS INVEST FII'!$A$2:$N$404,13,0),"-")</f>
        <v>Ativa</v>
      </c>
      <c r="M45" s="20" t="str">
        <f>IFERROR(VLOOKUP(B45,'DATA-COM'!A:B,2,FALSE),"-")</f>
        <v xml:space="preserve">Último </v>
      </c>
      <c r="N45" s="51">
        <f>IFERROR(VLOOKUP(B45,'STATUS INVEST FII'!$A$2:$N$404,12,0),"-")</f>
        <v>5151</v>
      </c>
      <c r="O45" s="54">
        <f>IFERROR(VLOOKUP(B45,'STATUS INVEST FII'!$A$2:$N$404,7,0),0)</f>
        <v>420840.12</v>
      </c>
    </row>
    <row r="46" spans="2:15" x14ac:dyDescent="0.25">
      <c r="B46" s="132" t="s">
        <v>456</v>
      </c>
      <c r="C46" s="9">
        <f>IFERROR(VLOOKUP(B46,'STATUS INVEST FII'!$A$2:$N$404,2,0),0)</f>
        <v>96.15</v>
      </c>
      <c r="D46" s="10">
        <f>IFERROR(VLOOKUP(B46,'STATUS INVEST FII'!$A$2:$N$404,4,0)/100,0)</f>
        <v>0.1051</v>
      </c>
      <c r="E46" s="11">
        <f>IFERROR(VLOOKUP(B46,'STATUS INVEST FII'!$A$2:$N$404,6,0),0)</f>
        <v>0.98</v>
      </c>
      <c r="F46" s="12">
        <f>IFERROR(VLOOKUP(B46,'STATUS INVEST FII'!$A$2:$N$404,8,0)/100,0)</f>
        <v>0.10039999999999999</v>
      </c>
      <c r="G46" s="13">
        <f>IFERROR(VLOOKUP(B46,'STATUS INVEST FII'!$A$2:$N$404,9,0)/100,0)</f>
        <v>0</v>
      </c>
      <c r="H46" s="13">
        <f>IFERROR(VLOOKUP(B46,'STATUS INVEST FII'!$A$2:$N$404,10,0)/100,0)</f>
        <v>0</v>
      </c>
      <c r="I46" s="20">
        <f>IFERROR(VLOOKUP(B46,'STATUS INVEST FII'!$A$2:$N$404,11,0),0)</f>
        <v>78400846.069999993</v>
      </c>
      <c r="J46" s="24" t="str">
        <f>IFERROR(VLOOKUP(B46,'ATIVOS-GESTÃO'!$A$1:$C$329,2),"-")</f>
        <v>-</v>
      </c>
      <c r="K46" s="24" t="str">
        <f>IFERROR(VLOOKUP(B46,'ATIVOS-GESTÃO'!$A$1:$C$329,3),"-")</f>
        <v>-</v>
      </c>
      <c r="L46" s="20" t="str">
        <f>IFERROR(VLOOKUP(B46,'STATUS INVEST FII'!$A$2:$N$404,13,0),"-")</f>
        <v>Ativa</v>
      </c>
      <c r="M46" s="20" t="str">
        <f>IFERROR(VLOOKUP(B46,'DATA-COM'!A:B,2,FALSE),"-")</f>
        <v xml:space="preserve">Sétimo </v>
      </c>
      <c r="N46" s="51">
        <f>IFERROR(VLOOKUP(B46,'STATUS INVEST FII'!$A$2:$N$404,12,0),"-")</f>
        <v>957</v>
      </c>
      <c r="O46" s="54">
        <f>IFERROR(VLOOKUP(B46,'STATUS INVEST FII'!$A$2:$N$404,7,0),0)</f>
        <v>404498.26</v>
      </c>
    </row>
    <row r="47" spans="2:15" x14ac:dyDescent="0.25">
      <c r="B47" s="126" t="s">
        <v>473</v>
      </c>
      <c r="C47" s="9">
        <f>IFERROR(VLOOKUP(B47,'STATUS INVEST FII'!$A$2:$N$404,2,0),0)</f>
        <v>111.6</v>
      </c>
      <c r="D47" s="10">
        <f>IFERROR(VLOOKUP(B47,'STATUS INVEST FII'!$A$2:$N$404,4,0)/100,0)</f>
        <v>6.1900000000000004E-2</v>
      </c>
      <c r="E47" s="11">
        <f>IFERROR(VLOOKUP(B47,'STATUS INVEST FII'!$A$2:$N$404,6,0),0)</f>
        <v>1.1100000000000001</v>
      </c>
      <c r="F47" s="12">
        <f>IFERROR(VLOOKUP(B47,'STATUS INVEST FII'!$A$2:$N$404,8,0)/100,0)</f>
        <v>3.1600000000000003E-2</v>
      </c>
      <c r="G47" s="13">
        <f>IFERROR(VLOOKUP(B47,'STATUS INVEST FII'!$A$2:$N$404,9,0)/100,0)</f>
        <v>0</v>
      </c>
      <c r="H47" s="13">
        <f>IFERROR(VLOOKUP(B47,'STATUS INVEST FII'!$A$2:$N$404,10,0)/100,0)</f>
        <v>0</v>
      </c>
      <c r="I47" s="20">
        <f>IFERROR(VLOOKUP(B47,'STATUS INVEST FII'!$A$2:$N$404,11,0),0)</f>
        <v>131030556.13</v>
      </c>
      <c r="J47" s="24" t="str">
        <f>IFERROR(VLOOKUP(B47,'ATIVOS-GESTÃO'!$A$1:$C$329,2),"-")</f>
        <v>-</v>
      </c>
      <c r="K47" s="24" t="str">
        <f>IFERROR(VLOOKUP(B47,'ATIVOS-GESTÃO'!$A$1:$C$329,3),"-")</f>
        <v>-</v>
      </c>
      <c r="L47" s="20" t="str">
        <f>IFERROR(VLOOKUP(B47,'STATUS INVEST FII'!$A$2:$N$404,13,0),"-")</f>
        <v>Ativa</v>
      </c>
      <c r="M47" s="20" t="str">
        <f>IFERROR(VLOOKUP(B47,'DATA-COM'!A:B,2,FALSE),"-")</f>
        <v xml:space="preserve">Sétimo </v>
      </c>
      <c r="N47" s="51">
        <f>IFERROR(VLOOKUP(B47,'STATUS INVEST FII'!$A$2:$N$404,12,0),"-")</f>
        <v>480</v>
      </c>
      <c r="O47" s="54">
        <f>IFERROR(VLOOKUP(B47,'STATUS INVEST FII'!$A$2:$N$404,7,0),0)</f>
        <v>58375.21</v>
      </c>
    </row>
    <row r="48" spans="2:15" x14ac:dyDescent="0.25">
      <c r="B48" s="126" t="s">
        <v>153</v>
      </c>
      <c r="C48" s="9">
        <f>IFERROR(VLOOKUP(B48,'STATUS INVEST FII'!$A$2:$N$404,2,0),0)</f>
        <v>98.28</v>
      </c>
      <c r="D48" s="10">
        <f>IFERROR(VLOOKUP(B48,'STATUS INVEST FII'!$A$2:$N$404,4,0)/100,0)</f>
        <v>0.13039999999999999</v>
      </c>
      <c r="E48" s="11">
        <f>IFERROR(VLOOKUP(B48,'STATUS INVEST FII'!$A$2:$N$404,6,0),0)</f>
        <v>0.93</v>
      </c>
      <c r="F48" s="12">
        <f>IFERROR(VLOOKUP(B48,'STATUS INVEST FII'!$A$2:$N$404,8,0)/100,0)</f>
        <v>2.5000000000000001E-2</v>
      </c>
      <c r="G48" s="13">
        <f>IFERROR(VLOOKUP(B48,'STATUS INVEST FII'!$A$2:$N$404,9,0)/100,0)</f>
        <v>0</v>
      </c>
      <c r="H48" s="13">
        <f>IFERROR(VLOOKUP(B48,'STATUS INVEST FII'!$A$2:$N$404,10,0)/100,0)</f>
        <v>0</v>
      </c>
      <c r="I48" s="20">
        <f>IFERROR(VLOOKUP(B48,'STATUS INVEST FII'!$A$2:$N$404,11,0),0)</f>
        <v>63951771.369999997</v>
      </c>
      <c r="J48" s="24" t="str">
        <f>IFERROR(VLOOKUP(B48,'ATIVOS-GESTÃO'!$A$1:$C$329,2),"-")</f>
        <v>-</v>
      </c>
      <c r="K48" s="24" t="str">
        <f>IFERROR(VLOOKUP(B48,'ATIVOS-GESTÃO'!$A$1:$C$329,3),"-")</f>
        <v>-</v>
      </c>
      <c r="L48" s="20" t="str">
        <f>IFERROR(VLOOKUP(B48,'STATUS INVEST FII'!$A$2:$N$404,13,0),"-")</f>
        <v>Ativa</v>
      </c>
      <c r="M48" s="20" t="str">
        <f>IFERROR(VLOOKUP(B48,'DATA-COM'!A:B,2,FALSE),"-")</f>
        <v xml:space="preserve">Último </v>
      </c>
      <c r="N48" s="51">
        <f>IFERROR(VLOOKUP(B48,'STATUS INVEST FII'!$A$2:$N$404,12,0),"-")</f>
        <v>881</v>
      </c>
      <c r="O48" s="54">
        <f>IFERROR(VLOOKUP(B48,'STATUS INVEST FII'!$A$2:$N$404,7,0),0)</f>
        <v>57857.59</v>
      </c>
    </row>
    <row r="49" spans="2:15" x14ac:dyDescent="0.25">
      <c r="B49" s="126" t="s">
        <v>15</v>
      </c>
      <c r="C49" s="9">
        <f>IFERROR(VLOOKUP(B49,'STATUS INVEST FII'!$A$2:$N$404,2,0),0)</f>
        <v>103.5</v>
      </c>
      <c r="D49" s="10">
        <f>IFERROR(VLOOKUP(B49,'STATUS INVEST FII'!$A$2:$N$404,4,0)/100,0)</f>
        <v>0.14460000000000001</v>
      </c>
      <c r="E49" s="11">
        <f>IFERROR(VLOOKUP(B49,'STATUS INVEST FII'!$A$2:$N$404,6,0),0)</f>
        <v>1.06</v>
      </c>
      <c r="F49" s="12">
        <f>IFERROR(VLOOKUP(B49,'STATUS INVEST FII'!$A$2:$N$404,8,0)/100,0)</f>
        <v>0.1273</v>
      </c>
      <c r="G49" s="13">
        <f>IFERROR(VLOOKUP(B49,'STATUS INVEST FII'!$A$2:$N$404,9,0)/100,0)</f>
        <v>0.19699999999999998</v>
      </c>
      <c r="H49" s="13">
        <f>IFERROR(VLOOKUP(B49,'STATUS INVEST FII'!$A$2:$N$404,10,0)/100,0)</f>
        <v>-1.32E-2</v>
      </c>
      <c r="I49" s="20">
        <f>IFERROR(VLOOKUP(B49,'STATUS INVEST FII'!$A$2:$N$404,11,0),0)</f>
        <v>1408370228.72</v>
      </c>
      <c r="J49" s="24" t="str">
        <f>IFERROR(VLOOKUP(B49,'ATIVOS-GESTÃO'!$A$1:$C$329,2),"-")</f>
        <v>MULTI</v>
      </c>
      <c r="K49" s="24" t="str">
        <f>IFERROR(VLOOKUP(B49,'ATIVOS-GESTÃO'!$A$1:$C$329,3),"-")</f>
        <v>-</v>
      </c>
      <c r="L49" s="20" t="str">
        <f>IFERROR(VLOOKUP(B49,'STATUS INVEST FII'!$A$2:$N$404,13,0),"-")</f>
        <v>Ativa</v>
      </c>
      <c r="M49" s="20" t="str">
        <f>IFERROR(VLOOKUP(B49,'DATA-COM'!A:B,2,FALSE),"-")</f>
        <v xml:space="preserve">Último </v>
      </c>
      <c r="N49" s="51">
        <f>IFERROR(VLOOKUP(B49,'STATUS INVEST FII'!$A$2:$N$404,12,0),"-")</f>
        <v>11310</v>
      </c>
      <c r="O49" s="54">
        <f>IFERROR(VLOOKUP(B49,'STATUS INVEST FII'!$A$2:$N$404,7,0),0)</f>
        <v>3011216.41</v>
      </c>
    </row>
    <row r="50" spans="2:15" x14ac:dyDescent="0.25">
      <c r="B50" s="126" t="s">
        <v>14</v>
      </c>
      <c r="C50" s="9">
        <f>IFERROR(VLOOKUP(B50,'STATUS INVEST FII'!$A$2:$N$404,2,0),0)</f>
        <v>102.2</v>
      </c>
      <c r="D50" s="10">
        <f>IFERROR(VLOOKUP(B50,'STATUS INVEST FII'!$A$2:$N$404,4,0)/100,0)</f>
        <v>0.14410000000000001</v>
      </c>
      <c r="E50" s="11">
        <f>IFERROR(VLOOKUP(B50,'STATUS INVEST FII'!$A$2:$N$404,6,0),0)</f>
        <v>1.04</v>
      </c>
      <c r="F50" s="12">
        <f>IFERROR(VLOOKUP(B50,'STATUS INVEST FII'!$A$2:$N$404,8,0)/100,0)</f>
        <v>6.7099999999999993E-2</v>
      </c>
      <c r="G50" s="13">
        <f>IFERROR(VLOOKUP(B50,'STATUS INVEST FII'!$A$2:$N$404,9,0)/100,0)</f>
        <v>0.19870000000000002</v>
      </c>
      <c r="H50" s="13">
        <f>IFERROR(VLOOKUP(B50,'STATUS INVEST FII'!$A$2:$N$404,10,0)/100,0)</f>
        <v>-2.4700000000000003E-2</v>
      </c>
      <c r="I50" s="20">
        <f>IFERROR(VLOOKUP(B50,'STATUS INVEST FII'!$A$2:$N$404,11,0),0)</f>
        <v>6947622050.6700001</v>
      </c>
      <c r="J50" s="24" t="str">
        <f>IFERROR(VLOOKUP(B50,'ATIVOS-GESTÃO'!$A$1:$C$329,2),"-")</f>
        <v>MULTI</v>
      </c>
      <c r="K50" s="24" t="str">
        <f>IFERROR(VLOOKUP(B50,'ATIVOS-GESTÃO'!$A$1:$C$329,3),"-")</f>
        <v>-</v>
      </c>
      <c r="L50" s="20" t="str">
        <f>IFERROR(VLOOKUP(B50,'STATUS INVEST FII'!$A$2:$N$404,13,0),"-")</f>
        <v>Ativa</v>
      </c>
      <c r="M50" s="20" t="str">
        <f>IFERROR(VLOOKUP(B50,'DATA-COM'!A:B,2,FALSE),"-")</f>
        <v xml:space="preserve">Último </v>
      </c>
      <c r="N50" s="51">
        <f>IFERROR(VLOOKUP(B50,'STATUS INVEST FII'!$A$2:$N$404,12,0),"-")</f>
        <v>64079</v>
      </c>
      <c r="O50" s="54">
        <f>IFERROR(VLOOKUP(B50,'STATUS INVEST FII'!$A$2:$N$404,7,0),0)</f>
        <v>11267403.380000001</v>
      </c>
    </row>
    <row r="51" spans="2:15" x14ac:dyDescent="0.25">
      <c r="B51" s="126" t="s">
        <v>302</v>
      </c>
      <c r="C51" s="9">
        <f>IFERROR(VLOOKUP(B51,'STATUS INVEST FII'!$A$2:$N$404,2,0),0)</f>
        <v>95.95</v>
      </c>
      <c r="D51" s="10">
        <f>IFERROR(VLOOKUP(B51,'STATUS INVEST FII'!$A$2:$N$404,4,0)/100,0)</f>
        <v>0.14230000000000001</v>
      </c>
      <c r="E51" s="11">
        <f>IFERROR(VLOOKUP(B51,'STATUS INVEST FII'!$A$2:$N$404,6,0),0)</f>
        <v>1.08</v>
      </c>
      <c r="F51" s="12">
        <f>IFERROR(VLOOKUP(B51,'STATUS INVEST FII'!$A$2:$N$404,8,0)/100,0)</f>
        <v>5.3200000000000004E-2</v>
      </c>
      <c r="G51" s="13">
        <f>IFERROR(VLOOKUP(B51,'STATUS INVEST FII'!$A$2:$N$404,9,0)/100,0)</f>
        <v>0</v>
      </c>
      <c r="H51" s="13">
        <f>IFERROR(VLOOKUP(B51,'STATUS INVEST FII'!$A$2:$N$404,10,0)/100,0)</f>
        <v>0</v>
      </c>
      <c r="I51" s="20">
        <f>IFERROR(VLOOKUP(B51,'STATUS INVEST FII'!$A$2:$N$404,11,0),0)</f>
        <v>708642133.38</v>
      </c>
      <c r="J51" s="24" t="str">
        <f>IFERROR(VLOOKUP(B51,'ATIVOS-GESTÃO'!$A$1:$C$329,2),"-")</f>
        <v>-</v>
      </c>
      <c r="K51" s="24" t="str">
        <f>IFERROR(VLOOKUP(B51,'ATIVOS-GESTÃO'!$A$1:$C$329,3),"-")</f>
        <v>-</v>
      </c>
      <c r="L51" s="20" t="str">
        <f>IFERROR(VLOOKUP(B51,'STATUS INVEST FII'!$A$2:$N$404,13,0),"-")</f>
        <v>Ativa</v>
      </c>
      <c r="M51" s="20" t="str">
        <f>IFERROR(VLOOKUP(B51,'DATA-COM'!A:B,2,FALSE),"-")</f>
        <v xml:space="preserve">Último </v>
      </c>
      <c r="N51" s="51">
        <f>IFERROR(VLOOKUP(B51,'STATUS INVEST FII'!$A$2:$N$404,12,0),"-")</f>
        <v>44699</v>
      </c>
      <c r="O51" s="54">
        <f>IFERROR(VLOOKUP(B51,'STATUS INVEST FII'!$A$2:$N$404,7,0),0)</f>
        <v>3972036.68</v>
      </c>
    </row>
    <row r="52" spans="2:15" x14ac:dyDescent="0.25">
      <c r="B52" s="126" t="s">
        <v>16</v>
      </c>
      <c r="C52" s="9">
        <f>IFERROR(VLOOKUP(B52,'STATUS INVEST FII'!$A$2:$N$404,2,0),0)</f>
        <v>100.21</v>
      </c>
      <c r="D52" s="10">
        <f>IFERROR(VLOOKUP(B52,'STATUS INVEST FII'!$A$2:$N$404,4,0)/100,0)</f>
        <v>0.1099</v>
      </c>
      <c r="E52" s="11">
        <f>IFERROR(VLOOKUP(B52,'STATUS INVEST FII'!$A$2:$N$404,6,0),0)</f>
        <v>1.03</v>
      </c>
      <c r="F52" s="12">
        <f>IFERROR(VLOOKUP(B52,'STATUS INVEST FII'!$A$2:$N$404,8,0)/100,0)</f>
        <v>5.4699999999999999E-2</v>
      </c>
      <c r="G52" s="13">
        <f>IFERROR(VLOOKUP(B52,'STATUS INVEST FII'!$A$2:$N$404,9,0)/100,0)</f>
        <v>0</v>
      </c>
      <c r="H52" s="13">
        <f>IFERROR(VLOOKUP(B52,'STATUS INVEST FII'!$A$2:$N$404,10,0)/100,0)</f>
        <v>0</v>
      </c>
      <c r="I52" s="20">
        <f>IFERROR(VLOOKUP(B52,'STATUS INVEST FII'!$A$2:$N$404,11,0),0)</f>
        <v>1202207530.3199999</v>
      </c>
      <c r="J52" s="24" t="str">
        <f>IFERROR(VLOOKUP(B52,'ATIVOS-GESTÃO'!$A$1:$C$329,2),"-")</f>
        <v>MULTI</v>
      </c>
      <c r="K52" s="24" t="str">
        <f>IFERROR(VLOOKUP(B52,'ATIVOS-GESTÃO'!$A$1:$C$329,3),"-")</f>
        <v>-</v>
      </c>
      <c r="L52" s="20" t="str">
        <f>IFERROR(VLOOKUP(B52,'STATUS INVEST FII'!$A$2:$N$404,13,0),"-")</f>
        <v>Ativa</v>
      </c>
      <c r="M52" s="20" t="str">
        <f>IFERROR(VLOOKUP(B52,'DATA-COM'!A:B,2,FALSE),"-")</f>
        <v xml:space="preserve">Oitavo </v>
      </c>
      <c r="N52" s="51">
        <f>IFERROR(VLOOKUP(B52,'STATUS INVEST FII'!$A$2:$N$404,12,0),"-")</f>
        <v>77282</v>
      </c>
      <c r="O52" s="54">
        <f>IFERROR(VLOOKUP(B52,'STATUS INVEST FII'!$A$2:$N$404,7,0),0)</f>
        <v>4197406.82</v>
      </c>
    </row>
    <row r="53" spans="2:15" x14ac:dyDescent="0.25">
      <c r="B53" s="126" t="s">
        <v>445</v>
      </c>
      <c r="C53" s="9">
        <f>IFERROR(VLOOKUP(B53,'STATUS INVEST FII'!$A$2:$N$404,2,0),0)</f>
        <v>114</v>
      </c>
      <c r="D53" s="10">
        <f>IFERROR(VLOOKUP(B53,'STATUS INVEST FII'!$A$2:$N$404,4,0)/100,0)</f>
        <v>6.8000000000000005E-2</v>
      </c>
      <c r="E53" s="11">
        <f>IFERROR(VLOOKUP(B53,'STATUS INVEST FII'!$A$2:$N$404,6,0),0)</f>
        <v>1.1200000000000001</v>
      </c>
      <c r="F53" s="12">
        <f>IFERROR(VLOOKUP(B53,'STATUS INVEST FII'!$A$2:$N$404,8,0)/100,0)</f>
        <v>2.2700000000000001E-2</v>
      </c>
      <c r="G53" s="13">
        <f>IFERROR(VLOOKUP(B53,'STATUS INVEST FII'!$A$2:$N$404,9,0)/100,0)</f>
        <v>0</v>
      </c>
      <c r="H53" s="13">
        <f>IFERROR(VLOOKUP(B53,'STATUS INVEST FII'!$A$2:$N$404,10,0)/100,0)</f>
        <v>0</v>
      </c>
      <c r="I53" s="20">
        <f>IFERROR(VLOOKUP(B53,'STATUS INVEST FII'!$A$2:$N$404,11,0),0)</f>
        <v>361739642.10000002</v>
      </c>
      <c r="J53" s="24" t="str">
        <f>IFERROR(VLOOKUP(B53,'ATIVOS-GESTÃO'!$A$1:$C$329,2),"-")</f>
        <v>-</v>
      </c>
      <c r="K53" s="24" t="str">
        <f>IFERROR(VLOOKUP(B53,'ATIVOS-GESTÃO'!$A$1:$C$329,3),"-")</f>
        <v>-</v>
      </c>
      <c r="L53" s="20" t="str">
        <f>IFERROR(VLOOKUP(B53,'STATUS INVEST FII'!$A$2:$N$404,13,0),"-")</f>
        <v>--</v>
      </c>
      <c r="M53" s="20" t="str">
        <f>IFERROR(VLOOKUP(B53,'DATA-COM'!A:B,2,FALSE),"-")</f>
        <v xml:space="preserve">Décimo primeiro </v>
      </c>
      <c r="N53" s="51">
        <f>IFERROR(VLOOKUP(B53,'STATUS INVEST FII'!$A$2:$N$404,12,0),"-")</f>
        <v>131</v>
      </c>
      <c r="O53" s="54">
        <f>IFERROR(VLOOKUP(B53,'STATUS INVEST FII'!$A$2:$N$404,7,0),0)</f>
        <v>409797.22</v>
      </c>
    </row>
    <row r="54" spans="2:15" x14ac:dyDescent="0.25">
      <c r="B54" s="126" t="s">
        <v>314</v>
      </c>
      <c r="C54" s="9">
        <f>IFERROR(VLOOKUP(B54,'STATUS INVEST FII'!$A$2:$N$404,2,0),0)</f>
        <v>86.11</v>
      </c>
      <c r="D54" s="10">
        <f>IFERROR(VLOOKUP(B54,'STATUS INVEST FII'!$A$2:$N$404,4,0)/100,0)</f>
        <v>0.1193</v>
      </c>
      <c r="E54" s="11">
        <f>IFERROR(VLOOKUP(B54,'STATUS INVEST FII'!$A$2:$N$404,6,0),0)</f>
        <v>0.92</v>
      </c>
      <c r="F54" s="12">
        <f>IFERROR(VLOOKUP(B54,'STATUS INVEST FII'!$A$2:$N$404,8,0)/100,0)</f>
        <v>0.11609999999999999</v>
      </c>
      <c r="G54" s="13">
        <f>IFERROR(VLOOKUP(B54,'STATUS INVEST FII'!$A$2:$N$404,9,0)/100,0)</f>
        <v>0</v>
      </c>
      <c r="H54" s="13">
        <f>IFERROR(VLOOKUP(B54,'STATUS INVEST FII'!$A$2:$N$404,10,0)/100,0)</f>
        <v>0</v>
      </c>
      <c r="I54" s="20">
        <f>IFERROR(VLOOKUP(B54,'STATUS INVEST FII'!$A$2:$N$404,11,0),0)</f>
        <v>135220897.16999999</v>
      </c>
      <c r="J54" s="24" t="str">
        <f>IFERROR(VLOOKUP(B54,'ATIVOS-GESTÃO'!$A$1:$C$329,2),"-")</f>
        <v>-</v>
      </c>
      <c r="K54" s="24" t="str">
        <f>IFERROR(VLOOKUP(B54,'ATIVOS-GESTÃO'!$A$1:$C$329,3),"-")</f>
        <v>-</v>
      </c>
      <c r="L54" s="20" t="str">
        <f>IFERROR(VLOOKUP(B54,'STATUS INVEST FII'!$A$2:$N$404,13,0),"-")</f>
        <v>Ativa</v>
      </c>
      <c r="M54" s="20" t="str">
        <f>IFERROR(VLOOKUP(B54,'DATA-COM'!A:B,2,FALSE),"-")</f>
        <v xml:space="preserve">Nono </v>
      </c>
      <c r="N54" s="51">
        <f>IFERROR(VLOOKUP(B54,'STATUS INVEST FII'!$A$2:$N$404,12,0),"-")</f>
        <v>2284</v>
      </c>
      <c r="O54" s="54">
        <f>IFERROR(VLOOKUP(B54,'STATUS INVEST FII'!$A$2:$N$404,7,0),0)</f>
        <v>133458.82</v>
      </c>
    </row>
    <row r="55" spans="2:15" x14ac:dyDescent="0.25">
      <c r="B55" s="126" t="s">
        <v>325</v>
      </c>
      <c r="C55" s="9">
        <f>IFERROR(VLOOKUP(B55,'STATUS INVEST FII'!$A$2:$N$404,2,0),0)</f>
        <v>99.99</v>
      </c>
      <c r="D55" s="10">
        <f>IFERROR(VLOOKUP(B55,'STATUS INVEST FII'!$A$2:$N$404,4,0)/100,0)</f>
        <v>7.9100000000000004E-2</v>
      </c>
      <c r="E55" s="11">
        <f>IFERROR(VLOOKUP(B55,'STATUS INVEST FII'!$A$2:$N$404,6,0),0)</f>
        <v>0.99</v>
      </c>
      <c r="F55" s="12">
        <f>IFERROR(VLOOKUP(B55,'STATUS INVEST FII'!$A$2:$N$404,8,0)/100,0)</f>
        <v>4.4000000000000004E-2</v>
      </c>
      <c r="G55" s="13">
        <f>IFERROR(VLOOKUP(B55,'STATUS INVEST FII'!$A$2:$N$404,9,0)/100,0)</f>
        <v>0</v>
      </c>
      <c r="H55" s="13">
        <f>IFERROR(VLOOKUP(B55,'STATUS INVEST FII'!$A$2:$N$404,10,0)/100,0)</f>
        <v>0</v>
      </c>
      <c r="I55" s="20">
        <f>IFERROR(VLOOKUP(B55,'STATUS INVEST FII'!$A$2:$N$404,11,0),0)</f>
        <v>78646991.180000007</v>
      </c>
      <c r="J55" s="24" t="str">
        <f>IFERROR(VLOOKUP(B55,'ATIVOS-GESTÃO'!$A$1:$C$329,2),"-")</f>
        <v>-</v>
      </c>
      <c r="K55" s="24" t="str">
        <f>IFERROR(VLOOKUP(B55,'ATIVOS-GESTÃO'!$A$1:$C$329,3),"-")</f>
        <v>-</v>
      </c>
      <c r="L55" s="20" t="str">
        <f>IFERROR(VLOOKUP(B55,'STATUS INVEST FII'!$A$2:$N$404,13,0),"-")</f>
        <v>Ativa</v>
      </c>
      <c r="M55" s="20" t="str">
        <f>IFERROR(VLOOKUP(B55,'DATA-COM'!A:B,2,FALSE),"-")</f>
        <v xml:space="preserve">Décimo Terceiro </v>
      </c>
      <c r="N55" s="51">
        <f>IFERROR(VLOOKUP(B55,'STATUS INVEST FII'!$A$2:$N$404,12,0),"-")</f>
        <v>537</v>
      </c>
      <c r="O55" s="54">
        <f>IFERROR(VLOOKUP(B55,'STATUS INVEST FII'!$A$2:$N$404,7,0),0)</f>
        <v>316099.94</v>
      </c>
    </row>
    <row r="56" spans="2:15" x14ac:dyDescent="0.25">
      <c r="B56" s="126" t="s">
        <v>170</v>
      </c>
      <c r="C56" s="9">
        <f>IFERROR(VLOOKUP(B56,'STATUS INVEST FII'!$A$2:$N$404,2,0),0)</f>
        <v>87.09</v>
      </c>
      <c r="D56" s="10">
        <f>IFERROR(VLOOKUP(B56,'STATUS INVEST FII'!$A$2:$N$404,4,0)/100,0)</f>
        <v>0.12520000000000001</v>
      </c>
      <c r="E56" s="11">
        <f>IFERROR(VLOOKUP(B56,'STATUS INVEST FII'!$A$2:$N$404,6,0),0)</f>
        <v>0.95</v>
      </c>
      <c r="F56" s="12">
        <f>IFERROR(VLOOKUP(B56,'STATUS INVEST FII'!$A$2:$N$404,8,0)/100,0)</f>
        <v>0.1517</v>
      </c>
      <c r="G56" s="13">
        <f>IFERROR(VLOOKUP(B56,'STATUS INVEST FII'!$A$2:$N$404,9,0)/100,0)</f>
        <v>0</v>
      </c>
      <c r="H56" s="13">
        <f>IFERROR(VLOOKUP(B56,'STATUS INVEST FII'!$A$2:$N$404,10,0)/100,0)</f>
        <v>0</v>
      </c>
      <c r="I56" s="20">
        <f>IFERROR(VLOOKUP(B56,'STATUS INVEST FII'!$A$2:$N$404,11,0),0)</f>
        <v>193164792.78</v>
      </c>
      <c r="J56" s="24" t="str">
        <f>IFERROR(VLOOKUP(B56,'ATIVOS-GESTÃO'!$A$1:$C$329,2),"-")</f>
        <v>-</v>
      </c>
      <c r="K56" s="24" t="str">
        <f>IFERROR(VLOOKUP(B56,'ATIVOS-GESTÃO'!$A$1:$C$329,3),"-")</f>
        <v>-</v>
      </c>
      <c r="L56" s="20" t="str">
        <f>IFERROR(VLOOKUP(B56,'STATUS INVEST FII'!$A$2:$N$404,13,0),"-")</f>
        <v>Ativa</v>
      </c>
      <c r="M56" s="20" t="str">
        <f>IFERROR(VLOOKUP(B56,'DATA-COM'!A:B,2,FALSE),"-")</f>
        <v xml:space="preserve">Último </v>
      </c>
      <c r="N56" s="51">
        <f>IFERROR(VLOOKUP(B56,'STATUS INVEST FII'!$A$2:$N$404,12,0),"-")</f>
        <v>9740</v>
      </c>
      <c r="O56" s="54">
        <f>IFERROR(VLOOKUP(B56,'STATUS INVEST FII'!$A$2:$N$404,7,0),0)</f>
        <v>436080.76</v>
      </c>
    </row>
    <row r="57" spans="2:15" x14ac:dyDescent="0.25">
      <c r="B57" s="126" t="s">
        <v>172</v>
      </c>
      <c r="C57" s="9">
        <f>IFERROR(VLOOKUP(B57,'STATUS INVEST FII'!$A$2:$N$404,2,0),0)</f>
        <v>94.42</v>
      </c>
      <c r="D57" s="10">
        <f>IFERROR(VLOOKUP(B57,'STATUS INVEST FII'!$A$2:$N$404,4,0)/100,0)</f>
        <v>0.12359999999999999</v>
      </c>
      <c r="E57" s="11">
        <f>IFERROR(VLOOKUP(B57,'STATUS INVEST FII'!$A$2:$N$404,6,0),0)</f>
        <v>0.94</v>
      </c>
      <c r="F57" s="12">
        <f>IFERROR(VLOOKUP(B57,'STATUS INVEST FII'!$A$2:$N$404,8,0)/100,0)</f>
        <v>4.9100000000000005E-2</v>
      </c>
      <c r="G57" s="13">
        <f>IFERROR(VLOOKUP(B57,'STATUS INVEST FII'!$A$2:$N$404,9,0)/100,0)</f>
        <v>0</v>
      </c>
      <c r="H57" s="13">
        <f>IFERROR(VLOOKUP(B57,'STATUS INVEST FII'!$A$2:$N$404,10,0)/100,0)</f>
        <v>-1.5100000000000001E-2</v>
      </c>
      <c r="I57" s="20">
        <f>IFERROR(VLOOKUP(B57,'STATUS INVEST FII'!$A$2:$N$404,11,0),0)</f>
        <v>370264765.49000001</v>
      </c>
      <c r="J57" s="24" t="str">
        <f>IFERROR(VLOOKUP(B57,'ATIVOS-GESTÃO'!$A$1:$C$329,2),"-")</f>
        <v>MULTI</v>
      </c>
      <c r="K57" s="24" t="str">
        <f>IFERROR(VLOOKUP(B57,'ATIVOS-GESTÃO'!$A$1:$C$329,3),"-")</f>
        <v>-</v>
      </c>
      <c r="L57" s="20" t="str">
        <f>IFERROR(VLOOKUP(B57,'STATUS INVEST FII'!$A$2:$N$404,13,0),"-")</f>
        <v>Ativa</v>
      </c>
      <c r="M57" s="20" t="str">
        <f>IFERROR(VLOOKUP(B57,'DATA-COM'!A:B,2,FALSE),"-")</f>
        <v xml:space="preserve">Último </v>
      </c>
      <c r="N57" s="51">
        <f>IFERROR(VLOOKUP(B57,'STATUS INVEST FII'!$A$2:$N$404,12,0),"-")</f>
        <v>14427</v>
      </c>
      <c r="O57" s="54">
        <f>IFERROR(VLOOKUP(B57,'STATUS INVEST FII'!$A$2:$N$404,7,0),0)</f>
        <v>766712.74</v>
      </c>
    </row>
    <row r="58" spans="2:15" x14ac:dyDescent="0.25">
      <c r="B58" s="126" t="s">
        <v>454</v>
      </c>
      <c r="C58" s="9">
        <f>IFERROR(VLOOKUP(B58,'STATUS INVEST FII'!$A$2:$N$404,2,0),0)</f>
        <v>96.05</v>
      </c>
      <c r="D58" s="10">
        <f>IFERROR(VLOOKUP(B58,'STATUS INVEST FII'!$A$2:$N$404,4,0)/100,0)</f>
        <v>0.1143</v>
      </c>
      <c r="E58" s="11">
        <f>IFERROR(VLOOKUP(B58,'STATUS INVEST FII'!$A$2:$N$404,6,0),0)</f>
        <v>1.08</v>
      </c>
      <c r="F58" s="12">
        <f>IFERROR(VLOOKUP(B58,'STATUS INVEST FII'!$A$2:$N$404,8,0)/100,0)</f>
        <v>2.1099999999999997E-2</v>
      </c>
      <c r="G58" s="13">
        <f>IFERROR(VLOOKUP(B58,'STATUS INVEST FII'!$A$2:$N$404,9,0)/100,0)</f>
        <v>0</v>
      </c>
      <c r="H58" s="13">
        <f>IFERROR(VLOOKUP(B58,'STATUS INVEST FII'!$A$2:$N$404,10,0)/100,0)</f>
        <v>0</v>
      </c>
      <c r="I58" s="20">
        <f>IFERROR(VLOOKUP(B58,'STATUS INVEST FII'!$A$2:$N$404,11,0),0)</f>
        <v>72067259.469999999</v>
      </c>
      <c r="J58" s="24" t="str">
        <f>IFERROR(VLOOKUP(B58,'ATIVOS-GESTÃO'!$A$1:$C$329,2),"-")</f>
        <v>-</v>
      </c>
      <c r="K58" s="24" t="str">
        <f>IFERROR(VLOOKUP(B58,'ATIVOS-GESTÃO'!$A$1:$C$329,3),"-")</f>
        <v>-</v>
      </c>
      <c r="L58" s="20" t="str">
        <f>IFERROR(VLOOKUP(B58,'STATUS INVEST FII'!$A$2:$N$404,13,0),"-")</f>
        <v>Ativa</v>
      </c>
      <c r="M58" s="20" t="str">
        <f>IFERROR(VLOOKUP(B58,'DATA-COM'!A:B,2,FALSE),"-")</f>
        <v xml:space="preserve">Último </v>
      </c>
      <c r="N58" s="51">
        <f>IFERROR(VLOOKUP(B58,'STATUS INVEST FII'!$A$2:$N$404,12,0),"-")</f>
        <v>1093</v>
      </c>
      <c r="O58" s="54">
        <f>IFERROR(VLOOKUP(B58,'STATUS INVEST FII'!$A$2:$N$404,7,0),0)</f>
        <v>99630.74</v>
      </c>
    </row>
    <row r="59" spans="2:15" x14ac:dyDescent="0.25">
      <c r="B59" s="126" t="s">
        <v>441</v>
      </c>
      <c r="C59" s="9">
        <f>IFERROR(VLOOKUP(B59,'STATUS INVEST FII'!$A$2:$N$404,2,0),0)</f>
        <v>86</v>
      </c>
      <c r="D59" s="10">
        <f>IFERROR(VLOOKUP(B59,'STATUS INVEST FII'!$A$2:$N$404,4,0)/100,0)</f>
        <v>0.12089999999999999</v>
      </c>
      <c r="E59" s="11">
        <f>IFERROR(VLOOKUP(B59,'STATUS INVEST FII'!$A$2:$N$404,6,0),0)</f>
        <v>0.9</v>
      </c>
      <c r="F59" s="12">
        <f>IFERROR(VLOOKUP(B59,'STATUS INVEST FII'!$A$2:$N$404,8,0)/100,0)</f>
        <v>2.5600000000000001E-2</v>
      </c>
      <c r="G59" s="13">
        <f>IFERROR(VLOOKUP(B59,'STATUS INVEST FII'!$A$2:$N$404,9,0)/100,0)</f>
        <v>0</v>
      </c>
      <c r="H59" s="13">
        <f>IFERROR(VLOOKUP(B59,'STATUS INVEST FII'!$A$2:$N$404,10,0)/100,0)</f>
        <v>0</v>
      </c>
      <c r="I59" s="20">
        <f>IFERROR(VLOOKUP(B59,'STATUS INVEST FII'!$A$2:$N$404,11,0),0)</f>
        <v>166523437.59999999</v>
      </c>
      <c r="J59" s="24" t="str">
        <f>IFERROR(VLOOKUP(B59,'ATIVOS-GESTÃO'!$A$1:$C$329,2),"-")</f>
        <v>MONO</v>
      </c>
      <c r="K59" s="24" t="str">
        <f>IFERROR(VLOOKUP(B59,'ATIVOS-GESTÃO'!$A$1:$C$329,3),"-")</f>
        <v>MULTI</v>
      </c>
      <c r="L59" s="20" t="str">
        <f>IFERROR(VLOOKUP(B59,'STATUS INVEST FII'!$A$2:$N$404,13,0),"-")</f>
        <v>Ativa</v>
      </c>
      <c r="M59" s="20" t="str">
        <f>IFERROR(VLOOKUP(B59,'DATA-COM'!A:B,2,FALSE),"-")</f>
        <v>-</v>
      </c>
      <c r="N59" s="51">
        <f>IFERROR(VLOOKUP(B59,'STATUS INVEST FII'!$A$2:$N$404,12,0),"-")</f>
        <v>8</v>
      </c>
      <c r="O59" s="54">
        <f>IFERROR(VLOOKUP(B59,'STATUS INVEST FII'!$A$2:$N$404,7,0),0)</f>
        <v>384093.47</v>
      </c>
    </row>
    <row r="60" spans="2:15" x14ac:dyDescent="0.25">
      <c r="B60" s="126" t="s">
        <v>330</v>
      </c>
      <c r="C60" s="9">
        <f>IFERROR(VLOOKUP(B60,'STATUS INVEST FII'!$A$2:$N$404,2,0),0)</f>
        <v>100.19</v>
      </c>
      <c r="D60" s="10">
        <f>IFERROR(VLOOKUP(B60,'STATUS INVEST FII'!$A$2:$N$404,4,0)/100,0)</f>
        <v>0.14300000000000002</v>
      </c>
      <c r="E60" s="11">
        <f>IFERROR(VLOOKUP(B60,'STATUS INVEST FII'!$A$2:$N$404,6,0),0)</f>
        <v>1.03</v>
      </c>
      <c r="F60" s="12">
        <f>IFERROR(VLOOKUP(B60,'STATUS INVEST FII'!$A$2:$N$404,8,0)/100,0)</f>
        <v>0.1128</v>
      </c>
      <c r="G60" s="13">
        <f>IFERROR(VLOOKUP(B60,'STATUS INVEST FII'!$A$2:$N$404,9,0)/100,0)</f>
        <v>0</v>
      </c>
      <c r="H60" s="13">
        <f>IFERROR(VLOOKUP(B60,'STATUS INVEST FII'!$A$2:$N$404,10,0)/100,0)</f>
        <v>0</v>
      </c>
      <c r="I60" s="20">
        <f>IFERROR(VLOOKUP(B60,'STATUS INVEST FII'!$A$2:$N$404,11,0),0)</f>
        <v>153973051.71000001</v>
      </c>
      <c r="J60" s="24" t="str">
        <f>IFERROR(VLOOKUP(B60,'ATIVOS-GESTÃO'!$A$1:$C$329,2),"-")</f>
        <v>-</v>
      </c>
      <c r="K60" s="24" t="str">
        <f>IFERROR(VLOOKUP(B60,'ATIVOS-GESTÃO'!$A$1:$C$329,3),"-")</f>
        <v>-</v>
      </c>
      <c r="L60" s="20" t="str">
        <f>IFERROR(VLOOKUP(B60,'STATUS INVEST FII'!$A$2:$N$404,13,0),"-")</f>
        <v>Ativa</v>
      </c>
      <c r="M60" s="20" t="str">
        <f>IFERROR(VLOOKUP(B60,'DATA-COM'!A:B,2,FALSE),"-")</f>
        <v xml:space="preserve">Último </v>
      </c>
      <c r="N60" s="51">
        <f>IFERROR(VLOOKUP(B60,'STATUS INVEST FII'!$A$2:$N$404,12,0),"-")</f>
        <v>1992</v>
      </c>
      <c r="O60" s="54">
        <f>IFERROR(VLOOKUP(B60,'STATUS INVEST FII'!$A$2:$N$404,7,0),0)</f>
        <v>353554.59</v>
      </c>
    </row>
    <row r="61" spans="2:15" x14ac:dyDescent="0.25">
      <c r="B61" s="126" t="s">
        <v>235</v>
      </c>
      <c r="C61" s="9">
        <f>IFERROR(VLOOKUP(B61,'STATUS INVEST FII'!$A$2:$N$404,2,0),0)</f>
        <v>1200</v>
      </c>
      <c r="D61" s="10">
        <f>IFERROR(VLOOKUP(B61,'STATUS INVEST FII'!$A$2:$N$404,4,0)/100,0)</f>
        <v>3.3399999999999999E-2</v>
      </c>
      <c r="E61" s="11">
        <f>IFERROR(VLOOKUP(B61,'STATUS INVEST FII'!$A$2:$N$404,6,0),0)</f>
        <v>3.28</v>
      </c>
      <c r="F61" s="12">
        <f>IFERROR(VLOOKUP(B61,'STATUS INVEST FII'!$A$2:$N$404,8,0)/100,0)</f>
        <v>0.70799999999999996</v>
      </c>
      <c r="G61" s="13">
        <f>IFERROR(VLOOKUP(B61,'STATUS INVEST FII'!$A$2:$N$404,9,0)/100,0)</f>
        <v>0</v>
      </c>
      <c r="H61" s="13">
        <f>IFERROR(VLOOKUP(B61,'STATUS INVEST FII'!$A$2:$N$404,10,0)/100,0)</f>
        <v>0</v>
      </c>
      <c r="I61" s="20">
        <f>IFERROR(VLOOKUP(B61,'STATUS INVEST FII'!$A$2:$N$404,11,0),0)</f>
        <v>18639596.100000001</v>
      </c>
      <c r="J61" s="24" t="str">
        <f>IFERROR(VLOOKUP(B61,'ATIVOS-GESTÃO'!$A$1:$C$329,2),"-")</f>
        <v>-</v>
      </c>
      <c r="K61" s="24" t="str">
        <f>IFERROR(VLOOKUP(B61,'ATIVOS-GESTÃO'!$A$1:$C$329,3),"-")</f>
        <v>-</v>
      </c>
      <c r="L61" s="20" t="str">
        <f>IFERROR(VLOOKUP(B61,'STATUS INVEST FII'!$A$2:$N$404,13,0),"-")</f>
        <v>Ativa</v>
      </c>
      <c r="M61" s="20" t="str">
        <f>IFERROR(VLOOKUP(B61,'DATA-COM'!A:B,2,FALSE),"-")</f>
        <v xml:space="preserve">Último </v>
      </c>
      <c r="N61" s="51">
        <f>IFERROR(VLOOKUP(B61,'STATUS INVEST FII'!$A$2:$N$404,12,0),"-")</f>
        <v>149</v>
      </c>
      <c r="O61" s="54">
        <f>IFERROR(VLOOKUP(B61,'STATUS INVEST FII'!$A$2:$N$404,7,0),0)</f>
        <v>1200</v>
      </c>
    </row>
    <row r="62" spans="2:15" x14ac:dyDescent="0.25">
      <c r="B62" s="126" t="s">
        <v>307</v>
      </c>
      <c r="C62" s="9">
        <f>IFERROR(VLOOKUP(B62,'STATUS INVEST FII'!$A$2:$N$404,2,0),0)</f>
        <v>85.55</v>
      </c>
      <c r="D62" s="10">
        <f>IFERROR(VLOOKUP(B62,'STATUS INVEST FII'!$A$2:$N$404,4,0)/100,0)</f>
        <v>0.11349999999999999</v>
      </c>
      <c r="E62" s="11">
        <f>IFERROR(VLOOKUP(B62,'STATUS INVEST FII'!$A$2:$N$404,6,0),0)</f>
        <v>0.88</v>
      </c>
      <c r="F62" s="12">
        <f>IFERROR(VLOOKUP(B62,'STATUS INVEST FII'!$A$2:$N$404,8,0)/100,0)</f>
        <v>1.9299999999999998E-2</v>
      </c>
      <c r="G62" s="13">
        <f>IFERROR(VLOOKUP(B62,'STATUS INVEST FII'!$A$2:$N$404,9,0)/100,0)</f>
        <v>0</v>
      </c>
      <c r="H62" s="13">
        <f>IFERROR(VLOOKUP(B62,'STATUS INVEST FII'!$A$2:$N$404,10,0)/100,0)</f>
        <v>0</v>
      </c>
      <c r="I62" s="20">
        <f>IFERROR(VLOOKUP(B62,'STATUS INVEST FII'!$A$2:$N$404,11,0),0)</f>
        <v>46976706.810000002</v>
      </c>
      <c r="J62" s="24" t="str">
        <f>IFERROR(VLOOKUP(B62,'ATIVOS-GESTÃO'!$A$1:$C$329,2),"-")</f>
        <v>-</v>
      </c>
      <c r="K62" s="24" t="str">
        <f>IFERROR(VLOOKUP(B62,'ATIVOS-GESTÃO'!$A$1:$C$329,3),"-")</f>
        <v>-</v>
      </c>
      <c r="L62" s="20" t="str">
        <f>IFERROR(VLOOKUP(B62,'STATUS INVEST FII'!$A$2:$N$404,13,0),"-")</f>
        <v>Ativa</v>
      </c>
      <c r="M62" s="20" t="str">
        <f>IFERROR(VLOOKUP(B62,'DATA-COM'!A:B,2,FALSE),"-")</f>
        <v xml:space="preserve">Último </v>
      </c>
      <c r="N62" s="51">
        <f>IFERROR(VLOOKUP(B62,'STATUS INVEST FII'!$A$2:$N$404,12,0),"-")</f>
        <v>2066</v>
      </c>
      <c r="O62" s="54">
        <f>IFERROR(VLOOKUP(B62,'STATUS INVEST FII'!$A$2:$N$404,7,0),0)</f>
        <v>116442.65</v>
      </c>
    </row>
    <row r="63" spans="2:15" x14ac:dyDescent="0.25">
      <c r="B63" s="126" t="s">
        <v>438</v>
      </c>
      <c r="C63" s="9">
        <f>IFERROR(VLOOKUP(B63,'STATUS INVEST FII'!$A$2:$N$404,2,0),0)</f>
        <v>102.99</v>
      </c>
      <c r="D63" s="10">
        <f>IFERROR(VLOOKUP(B63,'STATUS INVEST FII'!$A$2:$N$404,4,0)/100,0)</f>
        <v>5.5599999999999997E-2</v>
      </c>
      <c r="E63" s="11">
        <f>IFERROR(VLOOKUP(B63,'STATUS INVEST FII'!$A$2:$N$404,6,0),0)</f>
        <v>1.04</v>
      </c>
      <c r="F63" s="12">
        <f>IFERROR(VLOOKUP(B63,'STATUS INVEST FII'!$A$2:$N$404,8,0)/100,0)</f>
        <v>1.2E-2</v>
      </c>
      <c r="G63" s="13">
        <f>IFERROR(VLOOKUP(B63,'STATUS INVEST FII'!$A$2:$N$404,9,0)/100,0)</f>
        <v>0</v>
      </c>
      <c r="H63" s="13">
        <f>IFERROR(VLOOKUP(B63,'STATUS INVEST FII'!$A$2:$N$404,10,0)/100,0)</f>
        <v>0</v>
      </c>
      <c r="I63" s="20">
        <f>IFERROR(VLOOKUP(B63,'STATUS INVEST FII'!$A$2:$N$404,11,0),0)</f>
        <v>159458258.28</v>
      </c>
      <c r="J63" s="24" t="str">
        <f>IFERROR(VLOOKUP(B63,'ATIVOS-GESTÃO'!$A$1:$C$329,2),"-")</f>
        <v>-</v>
      </c>
      <c r="K63" s="24" t="str">
        <f>IFERROR(VLOOKUP(B63,'ATIVOS-GESTÃO'!$A$1:$C$329,3),"-")</f>
        <v>-</v>
      </c>
      <c r="L63" s="20" t="str">
        <f>IFERROR(VLOOKUP(B63,'STATUS INVEST FII'!$A$2:$N$404,13,0),"-")</f>
        <v>Ativa</v>
      </c>
      <c r="M63" s="20" t="str">
        <f>IFERROR(VLOOKUP(B63,'DATA-COM'!A:B,2,FALSE),"-")</f>
        <v xml:space="preserve">Décimo primeiro </v>
      </c>
      <c r="N63" s="51">
        <f>IFERROR(VLOOKUP(B63,'STATUS INVEST FII'!$A$2:$N$404,12,0),"-")</f>
        <v>12646</v>
      </c>
      <c r="O63" s="54">
        <f>IFERROR(VLOOKUP(B63,'STATUS INVEST FII'!$A$2:$N$404,7,0),0)</f>
        <v>1790341</v>
      </c>
    </row>
    <row r="64" spans="2:15" x14ac:dyDescent="0.25">
      <c r="B64" s="126" t="s">
        <v>188</v>
      </c>
      <c r="C64" s="9">
        <f>IFERROR(VLOOKUP(B64,'STATUS INVEST FII'!$A$2:$N$404,2,0),0)</f>
        <v>96.58</v>
      </c>
      <c r="D64" s="10">
        <f>IFERROR(VLOOKUP(B64,'STATUS INVEST FII'!$A$2:$N$404,4,0)/100,0)</f>
        <v>0.12470000000000001</v>
      </c>
      <c r="E64" s="11">
        <f>IFERROR(VLOOKUP(B64,'STATUS INVEST FII'!$A$2:$N$404,6,0),0)</f>
        <v>1.03</v>
      </c>
      <c r="F64" s="12">
        <f>IFERROR(VLOOKUP(B64,'STATUS INVEST FII'!$A$2:$N$404,8,0)/100,0)</f>
        <v>6.0199999999999997E-2</v>
      </c>
      <c r="G64" s="13">
        <f>IFERROR(VLOOKUP(B64,'STATUS INVEST FII'!$A$2:$N$404,9,0)/100,0)</f>
        <v>0</v>
      </c>
      <c r="H64" s="13">
        <f>IFERROR(VLOOKUP(B64,'STATUS INVEST FII'!$A$2:$N$404,10,0)/100,0)</f>
        <v>0</v>
      </c>
      <c r="I64" s="20">
        <f>IFERROR(VLOOKUP(B64,'STATUS INVEST FII'!$A$2:$N$404,11,0),0)</f>
        <v>1167961094.9200001</v>
      </c>
      <c r="J64" s="24" t="str">
        <f>IFERROR(VLOOKUP(B64,'ATIVOS-GESTÃO'!$A$1:$C$329,2),"-")</f>
        <v>-</v>
      </c>
      <c r="K64" s="24" t="str">
        <f>IFERROR(VLOOKUP(B64,'ATIVOS-GESTÃO'!$A$1:$C$329,3),"-")</f>
        <v>-</v>
      </c>
      <c r="L64" s="20" t="str">
        <f>IFERROR(VLOOKUP(B64,'STATUS INVEST FII'!$A$2:$N$404,13,0),"-")</f>
        <v>Ativa</v>
      </c>
      <c r="M64" s="20" t="str">
        <f>IFERROR(VLOOKUP(B64,'DATA-COM'!A:B,2,FALSE),"-")</f>
        <v xml:space="preserve">Último </v>
      </c>
      <c r="N64" s="51">
        <f>IFERROR(VLOOKUP(B64,'STATUS INVEST FII'!$A$2:$N$404,12,0),"-")</f>
        <v>8270</v>
      </c>
      <c r="O64" s="54">
        <f>IFERROR(VLOOKUP(B64,'STATUS INVEST FII'!$A$2:$N$404,7,0),0)</f>
        <v>1396543.85</v>
      </c>
    </row>
    <row r="65" spans="2:15" x14ac:dyDescent="0.25">
      <c r="B65" s="126" t="s">
        <v>109</v>
      </c>
      <c r="C65" s="9">
        <f>IFERROR(VLOOKUP(B65,'STATUS INVEST FII'!$A$2:$N$404,2,0),0)</f>
        <v>99.72</v>
      </c>
      <c r="D65" s="10">
        <f>IFERROR(VLOOKUP(B65,'STATUS INVEST FII'!$A$2:$N$404,4,0)/100,0)</f>
        <v>0.1411</v>
      </c>
      <c r="E65" s="11">
        <f>IFERROR(VLOOKUP(B65,'STATUS INVEST FII'!$A$2:$N$404,6,0),0)</f>
        <v>1.05</v>
      </c>
      <c r="F65" s="12">
        <f>IFERROR(VLOOKUP(B65,'STATUS INVEST FII'!$A$2:$N$404,8,0)/100,0)</f>
        <v>1.49E-2</v>
      </c>
      <c r="G65" s="13">
        <f>IFERROR(VLOOKUP(B65,'STATUS INVEST FII'!$A$2:$N$404,9,0)/100,0)</f>
        <v>0</v>
      </c>
      <c r="H65" s="13">
        <f>IFERROR(VLOOKUP(B65,'STATUS INVEST FII'!$A$2:$N$404,10,0)/100,0)</f>
        <v>0</v>
      </c>
      <c r="I65" s="20">
        <f>IFERROR(VLOOKUP(B65,'STATUS INVEST FII'!$A$2:$N$404,11,0),0)</f>
        <v>885673658.24000001</v>
      </c>
      <c r="J65" s="24" t="str">
        <f>IFERROR(VLOOKUP(B65,'ATIVOS-GESTÃO'!$A$1:$C$329,2),"-")</f>
        <v>MULTI</v>
      </c>
      <c r="K65" s="24" t="str">
        <f>IFERROR(VLOOKUP(B65,'ATIVOS-GESTÃO'!$A$1:$C$329,3),"-")</f>
        <v>-</v>
      </c>
      <c r="L65" s="20" t="str">
        <f>IFERROR(VLOOKUP(B65,'STATUS INVEST FII'!$A$2:$N$404,13,0),"-")</f>
        <v>Ativa</v>
      </c>
      <c r="M65" s="20" t="str">
        <f>IFERROR(VLOOKUP(B65,'DATA-COM'!A:B,2,FALSE),"-")</f>
        <v xml:space="preserve">Oitavo </v>
      </c>
      <c r="N65" s="51">
        <f>IFERROR(VLOOKUP(B65,'STATUS INVEST FII'!$A$2:$N$404,12,0),"-")</f>
        <v>54076</v>
      </c>
      <c r="O65" s="54">
        <f>IFERROR(VLOOKUP(B65,'STATUS INVEST FII'!$A$2:$N$404,7,0),0)</f>
        <v>4448789.29</v>
      </c>
    </row>
    <row r="66" spans="2:15" x14ac:dyDescent="0.25">
      <c r="B66" s="126" t="s">
        <v>19</v>
      </c>
      <c r="C66" s="9">
        <f>IFERROR(VLOOKUP(B66,'STATUS INVEST FII'!$A$2:$N$404,2,0),0)</f>
        <v>104.73</v>
      </c>
      <c r="D66" s="10">
        <f>IFERROR(VLOOKUP(B66,'STATUS INVEST FII'!$A$2:$N$404,4,0)/100,0)</f>
        <v>0.1226</v>
      </c>
      <c r="E66" s="11">
        <f>IFERROR(VLOOKUP(B66,'STATUS INVEST FII'!$A$2:$N$404,6,0),0)</f>
        <v>1.0900000000000001</v>
      </c>
      <c r="F66" s="12">
        <f>IFERROR(VLOOKUP(B66,'STATUS INVEST FII'!$A$2:$N$404,8,0)/100,0)</f>
        <v>4.6999999999999993E-3</v>
      </c>
      <c r="G66" s="13">
        <f>IFERROR(VLOOKUP(B66,'STATUS INVEST FII'!$A$2:$N$404,9,0)/100,0)</f>
        <v>6.9800000000000001E-2</v>
      </c>
      <c r="H66" s="13">
        <f>IFERROR(VLOOKUP(B66,'STATUS INVEST FII'!$A$2:$N$404,10,0)/100,0)</f>
        <v>-6.4399999999999999E-2</v>
      </c>
      <c r="I66" s="20">
        <f>IFERROR(VLOOKUP(B66,'STATUS INVEST FII'!$A$2:$N$404,11,0),0)</f>
        <v>1076572380.55</v>
      </c>
      <c r="J66" s="24" t="str">
        <f>IFERROR(VLOOKUP(B66,'ATIVOS-GESTÃO'!$A$1:$C$329,2),"-")</f>
        <v>MULTI</v>
      </c>
      <c r="K66" s="24" t="str">
        <f>IFERROR(VLOOKUP(B66,'ATIVOS-GESTÃO'!$A$1:$C$329,3),"-")</f>
        <v>-</v>
      </c>
      <c r="L66" s="20" t="str">
        <f>IFERROR(VLOOKUP(B66,'STATUS INVEST FII'!$A$2:$N$404,13,0),"-")</f>
        <v>Ativa</v>
      </c>
      <c r="M66" s="20" t="str">
        <f>IFERROR(VLOOKUP(B66,'DATA-COM'!A:B,2,FALSE),"-")</f>
        <v xml:space="preserve">Último </v>
      </c>
      <c r="N66" s="51">
        <f>IFERROR(VLOOKUP(B66,'STATUS INVEST FII'!$A$2:$N$404,12,0),"-")</f>
        <v>95305</v>
      </c>
      <c r="O66" s="54">
        <f>IFERROR(VLOOKUP(B66,'STATUS INVEST FII'!$A$2:$N$404,7,0),0)</f>
        <v>2160787.71</v>
      </c>
    </row>
    <row r="67" spans="2:15" x14ac:dyDescent="0.25">
      <c r="B67" s="126" t="s">
        <v>376</v>
      </c>
      <c r="C67" s="9">
        <f>IFERROR(VLOOKUP(B67,'STATUS INVEST FII'!$A$2:$N$404,2,0),0)</f>
        <v>9.49</v>
      </c>
      <c r="D67" s="10">
        <f>IFERROR(VLOOKUP(B67,'STATUS INVEST FII'!$A$2:$N$404,4,0)/100,0)</f>
        <v>0.16889999999999999</v>
      </c>
      <c r="E67" s="11">
        <f>IFERROR(VLOOKUP(B67,'STATUS INVEST FII'!$A$2:$N$404,6,0),0)</f>
        <v>0.96</v>
      </c>
      <c r="F67" s="12">
        <f>IFERROR(VLOOKUP(B67,'STATUS INVEST FII'!$A$2:$N$404,8,0)/100,0)</f>
        <v>3.2400000000000005E-2</v>
      </c>
      <c r="G67" s="13">
        <f>IFERROR(VLOOKUP(B67,'STATUS INVEST FII'!$A$2:$N$404,9,0)/100,0)</f>
        <v>0</v>
      </c>
      <c r="H67" s="13">
        <f>IFERROR(VLOOKUP(B67,'STATUS INVEST FII'!$A$2:$N$404,10,0)/100,0)</f>
        <v>0</v>
      </c>
      <c r="I67" s="20">
        <f>IFERROR(VLOOKUP(B67,'STATUS INVEST FII'!$A$2:$N$404,11,0),0)</f>
        <v>295524402.81</v>
      </c>
      <c r="J67" s="24" t="str">
        <f>IFERROR(VLOOKUP(B67,'ATIVOS-GESTÃO'!$A$1:$C$329,2),"-")</f>
        <v>-</v>
      </c>
      <c r="K67" s="24" t="str">
        <f>IFERROR(VLOOKUP(B67,'ATIVOS-GESTÃO'!$A$1:$C$329,3),"-")</f>
        <v>-</v>
      </c>
      <c r="L67" s="20" t="str">
        <f>IFERROR(VLOOKUP(B67,'STATUS INVEST FII'!$A$2:$N$404,13,0),"-")</f>
        <v>Ativa</v>
      </c>
      <c r="M67" s="20" t="str">
        <f>IFERROR(VLOOKUP(B67,'DATA-COM'!A:B,2,FALSE),"-")</f>
        <v xml:space="preserve">Quinto </v>
      </c>
      <c r="N67" s="51">
        <f>IFERROR(VLOOKUP(B67,'STATUS INVEST FII'!$A$2:$N$404,12,0),"-")</f>
        <v>50847</v>
      </c>
      <c r="O67" s="54">
        <f>IFERROR(VLOOKUP(B67,'STATUS INVEST FII'!$A$2:$N$404,7,0),0)</f>
        <v>1569694.35</v>
      </c>
    </row>
    <row r="68" spans="2:15" ht="15.75" thickBot="1" x14ac:dyDescent="0.3">
      <c r="B68" s="133" t="s">
        <v>20</v>
      </c>
      <c r="C68" s="14">
        <f>IFERROR(VLOOKUP(B68,'STATUS INVEST FII'!$A$2:$N$404,2,0),0)</f>
        <v>96.4</v>
      </c>
      <c r="D68" s="15">
        <f>IFERROR(VLOOKUP(B68,'STATUS INVEST FII'!$A$2:$N$404,4,0)/100,0)</f>
        <v>0.1191</v>
      </c>
      <c r="E68" s="16">
        <f>IFERROR(VLOOKUP(B68,'STATUS INVEST FII'!$A$2:$N$404,6,0),0)</f>
        <v>1.01</v>
      </c>
      <c r="F68" s="17">
        <f>IFERROR(VLOOKUP(B68,'STATUS INVEST FII'!$A$2:$N$404,8,0)/100,0)</f>
        <v>1.8500000000000003E-2</v>
      </c>
      <c r="G68" s="18">
        <f>IFERROR(VLOOKUP(B68,'STATUS INVEST FII'!$A$2:$N$404,9,0)/100,0)</f>
        <v>0</v>
      </c>
      <c r="H68" s="18">
        <f>IFERROR(VLOOKUP(B68,'STATUS INVEST FII'!$A$2:$N$404,10,0)/100,0)</f>
        <v>0</v>
      </c>
      <c r="I68" s="21">
        <f>IFERROR(VLOOKUP(B68,'STATUS INVEST FII'!$A$2:$N$404,11,0),0)</f>
        <v>655466884.16999996</v>
      </c>
      <c r="J68" s="25" t="str">
        <f>IFERROR(VLOOKUP(B68,'ATIVOS-GESTÃO'!$A$1:$C$329,2),"-")</f>
        <v>MULTI</v>
      </c>
      <c r="K68" s="25" t="str">
        <f>IFERROR(VLOOKUP(B68,'ATIVOS-GESTÃO'!$A$1:$C$329,3),"-")</f>
        <v>-</v>
      </c>
      <c r="L68" s="21" t="str">
        <f>IFERROR(VLOOKUP(B68,'STATUS INVEST FII'!$A$2:$N$404,13,0),"-")</f>
        <v>Ativa</v>
      </c>
      <c r="M68" s="21" t="str">
        <f>IFERROR(VLOOKUP(B68,'DATA-COM'!A:B,2,FALSE),"-")</f>
        <v xml:space="preserve">Último </v>
      </c>
      <c r="N68" s="55">
        <f>IFERROR(VLOOKUP(B68,'STATUS INVEST FII'!$A$2:$N$404,12,0),"-")</f>
        <v>51972</v>
      </c>
      <c r="O68" s="56">
        <f>IFERROR(VLOOKUP(B68,'STATUS INVEST FII'!$A$2:$N$404,7,0),0)</f>
        <v>2705629.94</v>
      </c>
    </row>
    <row r="69" spans="2:15" s="203" customFormat="1" ht="15.75" thickBot="1" x14ac:dyDescent="0.3">
      <c r="B69" s="216" t="s">
        <v>5</v>
      </c>
      <c r="C69" s="217">
        <f>IFERROR(VLOOKUP(B69,'STATUS INVEST FII'!$A$2:$N$404,2,0),0)</f>
        <v>0</v>
      </c>
      <c r="D69" s="218">
        <f>IFERROR(VLOOKUP(B69,'STATUS INVEST FII'!$A$2:$N$404,4,0)/100,0)</f>
        <v>0</v>
      </c>
      <c r="E69" s="218">
        <f>IFERROR(VLOOKUP(B69,'STATUS INVEST FII'!$A$2:$N$404,6,0),0)</f>
        <v>0</v>
      </c>
      <c r="F69" s="218">
        <f>IFERROR(VLOOKUP(B69,'STATUS INVEST FII'!$A$2:$N$404,8,0)/100,0)</f>
        <v>0</v>
      </c>
      <c r="G69" s="218">
        <f>IFERROR(VLOOKUP(B69,'STATUS INVEST FII'!$A$2:$N$404,9,0)/100,0)</f>
        <v>0</v>
      </c>
      <c r="H69" s="218">
        <f>IFERROR(VLOOKUP(B69,'STATUS INVEST FII'!$A$2:$N$404,10,0)/100,0)</f>
        <v>0</v>
      </c>
      <c r="I69" s="218">
        <f>IFERROR(VLOOKUP(B69,'STATUS INVEST FII'!$A$2:$N$404,11,0),0)</f>
        <v>0</v>
      </c>
      <c r="J69" s="218" t="str">
        <f>IFERROR(VLOOKUP(B69,'ATIVOS-GESTÃO'!$A$1:$C$329,2),"-")</f>
        <v>-</v>
      </c>
      <c r="K69" s="218" t="str">
        <f>IFERROR(VLOOKUP(B69,'ATIVOS-GESTÃO'!$A$1:$C$329,3),"-")</f>
        <v>-</v>
      </c>
      <c r="L69" s="218" t="str">
        <f>IFERROR(VLOOKUP(B69,'STATUS INVEST FII'!$A$2:$N$404,13,0),"-")</f>
        <v>-</v>
      </c>
      <c r="M69" s="218" t="str">
        <f>IFERROR(VLOOKUP(B69,'DATA-COM'!A:B,2,FALSE),"-")</f>
        <v>-</v>
      </c>
      <c r="N69" s="218" t="str">
        <f>IFERROR(VLOOKUP(B69,'STATUS INVEST FII'!$A$2:$N$404,12,0),"-")</f>
        <v>-</v>
      </c>
      <c r="O69" s="219">
        <f>IFERROR(VLOOKUP(B69,'STATUS INVEST FII'!$A$2:$N$404,7,0),0)</f>
        <v>0</v>
      </c>
    </row>
    <row r="70" spans="2:15" x14ac:dyDescent="0.25">
      <c r="B70" s="132" t="s">
        <v>8</v>
      </c>
      <c r="C70" s="4">
        <f>IFERROR(VLOOKUP(B70,'STATUS INVEST FII'!$A$2:$N$404,2,0),0)</f>
        <v>103</v>
      </c>
      <c r="D70" s="5">
        <f>IFERROR(VLOOKUP(B70,'STATUS INVEST FII'!$A$2:$N$404,4,0)/100,0)</f>
        <v>0.13600000000000001</v>
      </c>
      <c r="E70" s="6">
        <f>IFERROR(VLOOKUP(B70,'STATUS INVEST FII'!$A$2:$N$404,6,0),0)</f>
        <v>1.02</v>
      </c>
      <c r="F70" s="7">
        <f>IFERROR(VLOOKUP(B70,'STATUS INVEST FII'!$A$2:$N$404,8,0)/100,0)</f>
        <v>5.5800000000000002E-2</v>
      </c>
      <c r="G70" s="13">
        <f>IFERROR(VLOOKUP(B70,'STATUS INVEST FII'!$A$2:$N$404,9,0)/100,0)</f>
        <v>0</v>
      </c>
      <c r="H70" s="13">
        <f>IFERROR(VLOOKUP(B70,'STATUS INVEST FII'!$A$2:$N$404,10,0)/100,0)</f>
        <v>0</v>
      </c>
      <c r="I70" s="19">
        <f>IFERROR(VLOOKUP(B70,'STATUS INVEST FII'!$A$2:$N$404,11,0),0)</f>
        <v>470505074.49000001</v>
      </c>
      <c r="J70" s="23" t="str">
        <f>IFERROR(VLOOKUP(B70,'ATIVOS-GESTÃO'!$A$1:$C$329,2),"-")</f>
        <v>MULTI</v>
      </c>
      <c r="K70" s="23" t="str">
        <f>IFERROR(VLOOKUP(B70,'ATIVOS-GESTÃO'!$A$1:$C$329,3),"-")</f>
        <v>-</v>
      </c>
      <c r="L70" s="19" t="str">
        <f>IFERROR(VLOOKUP(B70,'STATUS INVEST FII'!$A$2:$N$404,13,0),"-")</f>
        <v>Ativa</v>
      </c>
      <c r="M70" s="19" t="str">
        <f>IFERROR(VLOOKUP(B70,'DATA-COM'!A:B,2,FALSE),"-")</f>
        <v xml:space="preserve">Último </v>
      </c>
      <c r="N70" s="52">
        <f>IFERROR(VLOOKUP(B70,'STATUS INVEST FII'!$A$2:$N$404,12,0),"-")</f>
        <v>32881</v>
      </c>
      <c r="O70" s="53">
        <f>IFERROR(VLOOKUP(B70,'STATUS INVEST FII'!$A$2:$N$404,7,0),0)</f>
        <v>1246603.5900000001</v>
      </c>
    </row>
    <row r="71" spans="2:15" x14ac:dyDescent="0.25">
      <c r="B71" s="132" t="s">
        <v>9</v>
      </c>
      <c r="C71" s="9">
        <f>IFERROR(VLOOKUP(B71,'STATUS INVEST FII'!$A$2:$N$404,2,0),0)</f>
        <v>107.84</v>
      </c>
      <c r="D71" s="10">
        <f>IFERROR(VLOOKUP(B71,'STATUS INVEST FII'!$A$2:$N$404,4,0)/100,0)</f>
        <v>0.1686</v>
      </c>
      <c r="E71" s="11">
        <f>IFERROR(VLOOKUP(B71,'STATUS INVEST FII'!$A$2:$N$404,6,0),0)</f>
        <v>1.1100000000000001</v>
      </c>
      <c r="F71" s="12">
        <f>IFERROR(VLOOKUP(B71,'STATUS INVEST FII'!$A$2:$N$404,8,0)/100,0)</f>
        <v>7.0699999999999999E-2</v>
      </c>
      <c r="G71" s="13">
        <f>IFERROR(VLOOKUP(B71,'STATUS INVEST FII'!$A$2:$N$404,9,0)/100,0)</f>
        <v>0</v>
      </c>
      <c r="H71" s="13">
        <f>IFERROR(VLOOKUP(B71,'STATUS INVEST FII'!$A$2:$N$404,10,0)/100,0)</f>
        <v>0</v>
      </c>
      <c r="I71" s="20">
        <f>IFERROR(VLOOKUP(B71,'STATUS INVEST FII'!$A$2:$N$404,11,0),0)</f>
        <v>731147472.69000006</v>
      </c>
      <c r="J71" s="24" t="str">
        <f>IFERROR(VLOOKUP(B71,'ATIVOS-GESTÃO'!$A$1:$C$329,2),"-")</f>
        <v>MULTI</v>
      </c>
      <c r="K71" s="24" t="str">
        <f>IFERROR(VLOOKUP(B71,'ATIVOS-GESTÃO'!$A$1:$C$329,3),"-")</f>
        <v>-</v>
      </c>
      <c r="L71" s="20" t="str">
        <f>IFERROR(VLOOKUP(B71,'STATUS INVEST FII'!$A$2:$N$404,13,0),"-")</f>
        <v>Ativa</v>
      </c>
      <c r="M71" s="20" t="str">
        <f>IFERROR(VLOOKUP(B71,'DATA-COM'!A:B,2,FALSE),"-")</f>
        <v xml:space="preserve">Último </v>
      </c>
      <c r="N71" s="51">
        <f>IFERROR(VLOOKUP(B71,'STATUS INVEST FII'!$A$2:$N$404,12,0),"-")</f>
        <v>46828</v>
      </c>
      <c r="O71" s="54">
        <f>IFERROR(VLOOKUP(B71,'STATUS INVEST FII'!$A$2:$N$404,7,0),0)</f>
        <v>2053091.38</v>
      </c>
    </row>
    <row r="72" spans="2:15" x14ac:dyDescent="0.25">
      <c r="B72" s="126" t="s">
        <v>368</v>
      </c>
      <c r="C72" s="9">
        <f>IFERROR(VLOOKUP(B72,'STATUS INVEST FII'!$A$2:$N$404,2,0),0)</f>
        <v>64</v>
      </c>
      <c r="D72" s="10">
        <f>IFERROR(VLOOKUP(B72,'STATUS INVEST FII'!$A$2:$N$404,4,0)/100,0)</f>
        <v>0.2802</v>
      </c>
      <c r="E72" s="11">
        <f>IFERROR(VLOOKUP(B72,'STATUS INVEST FII'!$A$2:$N$404,6,0),0)</f>
        <v>0.75</v>
      </c>
      <c r="F72" s="12">
        <f>IFERROR(VLOOKUP(B72,'STATUS INVEST FII'!$A$2:$N$404,8,0)/100,0)</f>
        <v>8.0799999999999997E-2</v>
      </c>
      <c r="G72" s="13">
        <f>IFERROR(VLOOKUP(B72,'STATUS INVEST FII'!$A$2:$N$404,9,0)/100,0)</f>
        <v>0</v>
      </c>
      <c r="H72" s="13">
        <f>IFERROR(VLOOKUP(B72,'STATUS INVEST FII'!$A$2:$N$404,10,0)/100,0)</f>
        <v>0</v>
      </c>
      <c r="I72" s="20">
        <f>IFERROR(VLOOKUP(B72,'STATUS INVEST FII'!$A$2:$N$404,11,0),0)</f>
        <v>47402332.710000001</v>
      </c>
      <c r="J72" s="24" t="str">
        <f>IFERROR(VLOOKUP(B72,'ATIVOS-GESTÃO'!$A$1:$C$329,2),"-")</f>
        <v>-</v>
      </c>
      <c r="K72" s="24" t="str">
        <f>IFERROR(VLOOKUP(B72,'ATIVOS-GESTÃO'!$A$1:$C$329,3),"-")</f>
        <v>-</v>
      </c>
      <c r="L72" s="20" t="str">
        <f>IFERROR(VLOOKUP(B72,'STATUS INVEST FII'!$A$2:$N$404,13,0),"-")</f>
        <v>Ativa</v>
      </c>
      <c r="M72" s="20" t="str">
        <f>IFERROR(VLOOKUP(B72,'DATA-COM'!A:B,2,FALSE),"-")</f>
        <v xml:space="preserve">Último </v>
      </c>
      <c r="N72" s="51">
        <f>IFERROR(VLOOKUP(B72,'STATUS INVEST FII'!$A$2:$N$404,12,0),"-")</f>
        <v>133</v>
      </c>
      <c r="O72" s="54">
        <f>IFERROR(VLOOKUP(B72,'STATUS INVEST FII'!$A$2:$N$404,7,0),0)</f>
        <v>12538.06</v>
      </c>
    </row>
    <row r="73" spans="2:15" x14ac:dyDescent="0.25">
      <c r="B73" s="126" t="s">
        <v>180</v>
      </c>
      <c r="C73" s="9">
        <f>IFERROR(VLOOKUP(B73,'STATUS INVEST FII'!$A$2:$N$404,2,0),0)</f>
        <v>12.4</v>
      </c>
      <c r="D73" s="10">
        <f>IFERROR(VLOOKUP(B73,'STATUS INVEST FII'!$A$2:$N$404,4,0)/100,0)</f>
        <v>3.5499999999999997E-2</v>
      </c>
      <c r="E73" s="11">
        <f>IFERROR(VLOOKUP(B73,'STATUS INVEST FII'!$A$2:$N$404,6,0),0)</f>
        <v>0.56999999999999995</v>
      </c>
      <c r="F73" s="12">
        <f>IFERROR(VLOOKUP(B73,'STATUS INVEST FII'!$A$2:$N$404,8,0)/100,0)</f>
        <v>6.5299999999999997E-2</v>
      </c>
      <c r="G73" s="13">
        <f>IFERROR(VLOOKUP(B73,'STATUS INVEST FII'!$A$2:$N$404,9,0)/100,0)</f>
        <v>-0.42430000000000001</v>
      </c>
      <c r="H73" s="13">
        <f>IFERROR(VLOOKUP(B73,'STATUS INVEST FII'!$A$2:$N$404,10,0)/100,0)</f>
        <v>-0.33960000000000001</v>
      </c>
      <c r="I73" s="20">
        <f>IFERROR(VLOOKUP(B73,'STATUS INVEST FII'!$A$2:$N$404,11,0),0)</f>
        <v>11724556.689999999</v>
      </c>
      <c r="J73" s="24" t="str">
        <f>IFERROR(VLOOKUP(B73,'ATIVOS-GESTÃO'!$A$1:$C$329,2),"-")</f>
        <v>MULTI</v>
      </c>
      <c r="K73" s="24" t="str">
        <f>IFERROR(VLOOKUP(B73,'ATIVOS-GESTÃO'!$A$1:$C$329,3),"-")</f>
        <v>-</v>
      </c>
      <c r="L73" s="20" t="str">
        <f>IFERROR(VLOOKUP(B73,'STATUS INVEST FII'!$A$2:$N$404,13,0),"-")</f>
        <v>--</v>
      </c>
      <c r="M73" s="20" t="str">
        <f>IFERROR(VLOOKUP(B73,'DATA-COM'!A:B,2,FALSE),"-")</f>
        <v xml:space="preserve">Último </v>
      </c>
      <c r="N73" s="51">
        <f>IFERROR(VLOOKUP(B73,'STATUS INVEST FII'!$A$2:$N$404,12,0),"-")</f>
        <v>0</v>
      </c>
      <c r="O73" s="54">
        <f>IFERROR(VLOOKUP(B73,'STATUS INVEST FII'!$A$2:$N$404,7,0),0)</f>
        <v>4938.4399999999996</v>
      </c>
    </row>
    <row r="74" spans="2:15" x14ac:dyDescent="0.25">
      <c r="B74" s="126" t="s">
        <v>11</v>
      </c>
      <c r="C74" s="9">
        <f>IFERROR(VLOOKUP(B74,'STATUS INVEST FII'!$A$2:$N$404,2,0),0)</f>
        <v>9.36</v>
      </c>
      <c r="D74" s="10">
        <f>IFERROR(VLOOKUP(B74,'STATUS INVEST FII'!$A$2:$N$404,4,0)/100,0)</f>
        <v>0.11869999999999999</v>
      </c>
      <c r="E74" s="11">
        <f>IFERROR(VLOOKUP(B74,'STATUS INVEST FII'!$A$2:$N$404,6,0),0)</f>
        <v>0.7</v>
      </c>
      <c r="F74" s="12">
        <f>IFERROR(VLOOKUP(B74,'STATUS INVEST FII'!$A$2:$N$404,8,0)/100,0)</f>
        <v>8.1000000000000013E-3</v>
      </c>
      <c r="G74" s="13">
        <f>IFERROR(VLOOKUP(B74,'STATUS INVEST FII'!$A$2:$N$404,9,0)/100,0)</f>
        <v>0</v>
      </c>
      <c r="H74" s="13">
        <f>IFERROR(VLOOKUP(B74,'STATUS INVEST FII'!$A$2:$N$404,10,0)/100,0)</f>
        <v>0</v>
      </c>
      <c r="I74" s="20">
        <f>IFERROR(VLOOKUP(B74,'STATUS INVEST FII'!$A$2:$N$404,11,0),0)</f>
        <v>472438792.00999999</v>
      </c>
      <c r="J74" s="24" t="str">
        <f>IFERROR(VLOOKUP(B74,'ATIVOS-GESTÃO'!$A$1:$C$329,2),"-")</f>
        <v>MULTI</v>
      </c>
      <c r="K74" s="24" t="str">
        <f>IFERROR(VLOOKUP(B74,'ATIVOS-GESTÃO'!$A$1:$C$329,3),"-")</f>
        <v>-</v>
      </c>
      <c r="L74" s="20" t="str">
        <f>IFERROR(VLOOKUP(B74,'STATUS INVEST FII'!$A$2:$N$404,13,0),"-")</f>
        <v>Ativa</v>
      </c>
      <c r="M74" s="20" t="str">
        <f>IFERROR(VLOOKUP(B74,'DATA-COM'!A:B,2,FALSE),"-")</f>
        <v xml:space="preserve">Quinto </v>
      </c>
      <c r="N74" s="51">
        <f>IFERROR(VLOOKUP(B74,'STATUS INVEST FII'!$A$2:$N$404,12,0),"-")</f>
        <v>100183</v>
      </c>
      <c r="O74" s="54">
        <f>IFERROR(VLOOKUP(B74,'STATUS INVEST FII'!$A$2:$N$404,7,0),0)</f>
        <v>743061.03</v>
      </c>
    </row>
    <row r="75" spans="2:15" ht="15.75" thickBot="1" x14ac:dyDescent="0.3">
      <c r="B75" s="133" t="s">
        <v>108</v>
      </c>
      <c r="C75" s="14">
        <f>IFERROR(VLOOKUP(B75,'STATUS INVEST FII'!$A$2:$N$404,2,0),0)</f>
        <v>117</v>
      </c>
      <c r="D75" s="15">
        <f>IFERROR(VLOOKUP(B75,'STATUS INVEST FII'!$A$2:$N$404,4,0)/100,0)</f>
        <v>0.19469999999999998</v>
      </c>
      <c r="E75" s="16">
        <f>IFERROR(VLOOKUP(B75,'STATUS INVEST FII'!$A$2:$N$404,6,0),0)</f>
        <v>1.22</v>
      </c>
      <c r="F75" s="17">
        <f>IFERROR(VLOOKUP(B75,'STATUS INVEST FII'!$A$2:$N$404,8,0)/100,0)</f>
        <v>0.47170000000000001</v>
      </c>
      <c r="G75" s="13">
        <f>IFERROR(VLOOKUP(B75,'STATUS INVEST FII'!$A$2:$N$404,9,0)/100,0)</f>
        <v>0</v>
      </c>
      <c r="H75" s="13">
        <f>IFERROR(VLOOKUP(B75,'STATUS INVEST FII'!$A$2:$N$404,10,0)/100,0)</f>
        <v>0</v>
      </c>
      <c r="I75" s="21">
        <f>IFERROR(VLOOKUP(B75,'STATUS INVEST FII'!$A$2:$N$404,11,0),0)</f>
        <v>349485932.24000001</v>
      </c>
      <c r="J75" s="25" t="str">
        <f>IFERROR(VLOOKUP(B75,'ATIVOS-GESTÃO'!$A$1:$C$329,2),"-")</f>
        <v>MULTI</v>
      </c>
      <c r="K75" s="25" t="str">
        <f>IFERROR(VLOOKUP(B75,'ATIVOS-GESTÃO'!$A$1:$C$329,3),"-")</f>
        <v>-</v>
      </c>
      <c r="L75" s="21" t="str">
        <f>IFERROR(VLOOKUP(B75,'STATUS INVEST FII'!$A$2:$N$404,13,0),"-")</f>
        <v>Ativa</v>
      </c>
      <c r="M75" s="21" t="str">
        <f>IFERROR(VLOOKUP(B75,'DATA-COM'!A:B,2,FALSE),"-")</f>
        <v xml:space="preserve">Último </v>
      </c>
      <c r="N75" s="55">
        <f>IFERROR(VLOOKUP(B75,'STATUS INVEST FII'!$A$2:$N$404,12,0),"-")</f>
        <v>38260</v>
      </c>
      <c r="O75" s="56">
        <f>IFERROR(VLOOKUP(B75,'STATUS INVEST FII'!$A$2:$N$404,7,0),0)</f>
        <v>3540787.35</v>
      </c>
    </row>
    <row r="76" spans="2:15" s="203" customFormat="1" ht="15.75" thickBot="1" x14ac:dyDescent="0.3">
      <c r="B76" s="216" t="s">
        <v>7</v>
      </c>
      <c r="C76" s="217">
        <f>IFERROR(VLOOKUP(B76,'STATUS INVEST FII'!$A$2:$N$404,2,0),0)</f>
        <v>0</v>
      </c>
      <c r="D76" s="218">
        <f>IFERROR(VLOOKUP(B76,'STATUS INVEST FII'!$A$2:$N$404,4,0)/100,0)</f>
        <v>0</v>
      </c>
      <c r="E76" s="218">
        <f>IFERROR(VLOOKUP(B76,'STATUS INVEST FII'!$A$2:$N$404,6,0),0)</f>
        <v>0</v>
      </c>
      <c r="F76" s="218">
        <f>IFERROR(VLOOKUP(B76,'STATUS INVEST FII'!$A$2:$N$404,8,0)/100,0)</f>
        <v>0</v>
      </c>
      <c r="G76" s="218">
        <f>IFERROR(VLOOKUP(B76,'STATUS INVEST FII'!$A$2:$N$404,9,0)/100,0)</f>
        <v>0</v>
      </c>
      <c r="H76" s="218">
        <f>IFERROR(VLOOKUP(B76,'STATUS INVEST FII'!$A$2:$N$404,10,0)/100,0)</f>
        <v>0</v>
      </c>
      <c r="I76" s="218">
        <f>IFERROR(VLOOKUP(B76,'STATUS INVEST FII'!$A$2:$N$404,11,0),0)</f>
        <v>0</v>
      </c>
      <c r="J76" s="218" t="str">
        <f>IFERROR(VLOOKUP(B76,'ATIVOS-GESTÃO'!$A$1:$C$329,2),"-")</f>
        <v>-</v>
      </c>
      <c r="K76" s="218" t="str">
        <f>IFERROR(VLOOKUP(B76,'ATIVOS-GESTÃO'!$A$1:$C$329,3),"-")</f>
        <v>-</v>
      </c>
      <c r="L76" s="218" t="str">
        <f>IFERROR(VLOOKUP(B76,'STATUS INVEST FII'!$A$2:$N$404,13,0),"-")</f>
        <v>-</v>
      </c>
      <c r="M76" s="218" t="str">
        <f>IFERROR(VLOOKUP(B76,'DATA-COM'!A:B,2,FALSE),"-")</f>
        <v>-</v>
      </c>
      <c r="N76" s="218" t="str">
        <f>IFERROR(VLOOKUP(B76,'STATUS INVEST FII'!$A$2:$N$404,12,0),"-")</f>
        <v>-</v>
      </c>
      <c r="O76" s="219">
        <f>IFERROR(VLOOKUP(B76,'STATUS INVEST FII'!$A$2:$N$404,7,0),0)</f>
        <v>0</v>
      </c>
    </row>
    <row r="77" spans="2:15" x14ac:dyDescent="0.25">
      <c r="B77" s="132" t="s">
        <v>13</v>
      </c>
      <c r="C77" s="39">
        <f>IFERROR(VLOOKUP(B77,'STATUS INVEST FII'!$A$2:$N$404,2,0),0)</f>
        <v>96.3</v>
      </c>
      <c r="D77" s="40">
        <f>IFERROR(VLOOKUP(B77,'STATUS INVEST FII'!$A$2:$N$404,4,0)/100,0)</f>
        <v>0.1278</v>
      </c>
      <c r="E77" s="41">
        <f>IFERROR(VLOOKUP(B77,'STATUS INVEST FII'!$A$2:$N$404,6,0),0)</f>
        <v>1.03</v>
      </c>
      <c r="F77" s="42">
        <f>IFERROR(VLOOKUP(B77,'STATUS INVEST FII'!$A$2:$N$404,8,0)/100,0)</f>
        <v>0</v>
      </c>
      <c r="G77" s="13">
        <f>IFERROR(VLOOKUP(B77,'STATUS INVEST FII'!$A$2:$N$404,9,0)/100,0)</f>
        <v>0.14099999999999999</v>
      </c>
      <c r="H77" s="13">
        <f>IFERROR(VLOOKUP(B77,'STATUS INVEST FII'!$A$2:$N$404,10,0)/100,0)</f>
        <v>-1.61E-2</v>
      </c>
      <c r="I77" s="44">
        <f>IFERROR(VLOOKUP(B77,'STATUS INVEST FII'!$A$2:$N$404,11,0),0)</f>
        <v>2627597253.52</v>
      </c>
      <c r="J77" s="45" t="str">
        <f>IFERROR(VLOOKUP(B77,'ATIVOS-GESTÃO'!$A$1:$C$329,2),"-")</f>
        <v>MULTI</v>
      </c>
      <c r="K77" s="45" t="str">
        <f>IFERROR(VLOOKUP(B77,'ATIVOS-GESTÃO'!$A$1:$C$329,3),"-")</f>
        <v>-</v>
      </c>
      <c r="L77" s="44" t="str">
        <f>IFERROR(VLOOKUP(B77,'STATUS INVEST FII'!$A$2:$N$404,13,0),"-")</f>
        <v>Ativa</v>
      </c>
      <c r="M77" s="44" t="str">
        <f>IFERROR(VLOOKUP(B77,'DATA-COM'!A:B,2,FALSE),"-")</f>
        <v xml:space="preserve">Oitavo </v>
      </c>
      <c r="N77" s="57">
        <f>IFERROR(VLOOKUP(B77,'STATUS INVEST FII'!$A$2:$N$404,12,0),"-")</f>
        <v>145003</v>
      </c>
      <c r="O77" s="58">
        <f>IFERROR(VLOOKUP(B77,'STATUS INVEST FII'!$A$2:$N$404,7,0),0)</f>
        <v>7487943.6799999997</v>
      </c>
    </row>
    <row r="78" spans="2:15" x14ac:dyDescent="0.25">
      <c r="B78" s="126" t="s">
        <v>22</v>
      </c>
      <c r="C78" s="9">
        <f>IFERROR(VLOOKUP(B78,'STATUS INVEST FII'!$A$2:$N$404,2,0),0)</f>
        <v>87.89</v>
      </c>
      <c r="D78" s="10">
        <f>IFERROR(VLOOKUP(B78,'STATUS INVEST FII'!$A$2:$N$404,4,0)/100,0)</f>
        <v>0.11320000000000001</v>
      </c>
      <c r="E78" s="11">
        <f>IFERROR(VLOOKUP(B78,'STATUS INVEST FII'!$A$2:$N$404,6,0),0)</f>
        <v>0.94</v>
      </c>
      <c r="F78" s="12">
        <f>IFERROR(VLOOKUP(B78,'STATUS INVEST FII'!$A$2:$N$404,8,0)/100,0)</f>
        <v>9.5100000000000004E-2</v>
      </c>
      <c r="G78" s="13">
        <f>IFERROR(VLOOKUP(B78,'STATUS INVEST FII'!$A$2:$N$404,9,0)/100,0)</f>
        <v>5.2300000000000006E-2</v>
      </c>
      <c r="H78" s="13">
        <f>IFERROR(VLOOKUP(B78,'STATUS INVEST FII'!$A$2:$N$404,10,0)/100,0)</f>
        <v>-5.5599999999999997E-2</v>
      </c>
      <c r="I78" s="20">
        <f>IFERROR(VLOOKUP(B78,'STATUS INVEST FII'!$A$2:$N$404,11,0),0)</f>
        <v>569331207.45000005</v>
      </c>
      <c r="J78" s="24" t="str">
        <f>IFERROR(VLOOKUP(B78,'ATIVOS-GESTÃO'!$A$1:$C$329,2),"-")</f>
        <v>MULTI</v>
      </c>
      <c r="K78" s="24" t="str">
        <f>IFERROR(VLOOKUP(B78,'ATIVOS-GESTÃO'!$A$1:$C$329,3),"-")</f>
        <v>-</v>
      </c>
      <c r="L78" s="20" t="str">
        <f>IFERROR(VLOOKUP(B78,'STATUS INVEST FII'!$A$2:$N$404,13,0),"-")</f>
        <v>Ativa</v>
      </c>
      <c r="M78" s="20" t="str">
        <f>IFERROR(VLOOKUP(B78,'DATA-COM'!A:B,2,FALSE),"-")</f>
        <v xml:space="preserve">Quinto </v>
      </c>
      <c r="N78" s="51">
        <f>IFERROR(VLOOKUP(B78,'STATUS INVEST FII'!$A$2:$N$404,12,0),"-")</f>
        <v>18019</v>
      </c>
      <c r="O78" s="54">
        <f>IFERROR(VLOOKUP(B78,'STATUS INVEST FII'!$A$2:$N$404,7,0),0)</f>
        <v>1064547.8500000001</v>
      </c>
    </row>
    <row r="79" spans="2:15" x14ac:dyDescent="0.25">
      <c r="B79" s="126" t="s">
        <v>149</v>
      </c>
      <c r="C79" s="9">
        <f>IFERROR(VLOOKUP(B79,'STATUS INVEST FII'!$A$2:$N$404,2,0),0)</f>
        <v>105.29</v>
      </c>
      <c r="D79" s="10">
        <f>IFERROR(VLOOKUP(B79,'STATUS INVEST FII'!$A$2:$N$404,4,0)/100,0)</f>
        <v>0.1027</v>
      </c>
      <c r="E79" s="11">
        <f>IFERROR(VLOOKUP(B79,'STATUS INVEST FII'!$A$2:$N$404,6,0),0)</f>
        <v>1.04</v>
      </c>
      <c r="F79" s="12">
        <f>IFERROR(VLOOKUP(B79,'STATUS INVEST FII'!$A$2:$N$404,8,0)/100,0)</f>
        <v>3.9100000000000003E-2</v>
      </c>
      <c r="G79" s="13">
        <f>IFERROR(VLOOKUP(B79,'STATUS INVEST FII'!$A$2:$N$404,9,0)/100,0)</f>
        <v>8.48E-2</v>
      </c>
      <c r="H79" s="13">
        <f>IFERROR(VLOOKUP(B79,'STATUS INVEST FII'!$A$2:$N$404,10,0)/100,0)</f>
        <v>-2.4399999999999998E-2</v>
      </c>
      <c r="I79" s="20">
        <f>IFERROR(VLOOKUP(B79,'STATUS INVEST FII'!$A$2:$N$404,11,0),0)</f>
        <v>1256498706.6800001</v>
      </c>
      <c r="J79" s="24" t="str">
        <f>IFERROR(VLOOKUP(B79,'ATIVOS-GESTÃO'!$A$1:$C$329,2),"-")</f>
        <v>MULTI</v>
      </c>
      <c r="K79" s="24" t="str">
        <f>IFERROR(VLOOKUP(B79,'ATIVOS-GESTÃO'!$A$1:$C$329,3),"-")</f>
        <v>-</v>
      </c>
      <c r="L79" s="20" t="str">
        <f>IFERROR(VLOOKUP(B79,'STATUS INVEST FII'!$A$2:$N$404,13,0),"-")</f>
        <v>Ativa</v>
      </c>
      <c r="M79" s="20" t="str">
        <f>IFERROR(VLOOKUP(B79,'DATA-COM'!A:B,2,FALSE),"-")</f>
        <v xml:space="preserve">Último </v>
      </c>
      <c r="N79" s="51">
        <f>IFERROR(VLOOKUP(B79,'STATUS INVEST FII'!$A$2:$N$404,12,0),"-")</f>
        <v>60004</v>
      </c>
      <c r="O79" s="54">
        <f>IFERROR(VLOOKUP(B79,'STATUS INVEST FII'!$A$2:$N$404,7,0),0)</f>
        <v>2751928.15</v>
      </c>
    </row>
    <row r="80" spans="2:15" x14ac:dyDescent="0.25">
      <c r="B80" s="126" t="s">
        <v>23</v>
      </c>
      <c r="C80" s="9">
        <f>IFERROR(VLOOKUP(B80,'STATUS INVEST FII'!$A$2:$N$404,2,0),0)</f>
        <v>106.91</v>
      </c>
      <c r="D80" s="10">
        <f>IFERROR(VLOOKUP(B80,'STATUS INVEST FII'!$A$2:$N$404,4,0)/100,0)</f>
        <v>0.1321</v>
      </c>
      <c r="E80" s="11">
        <f>IFERROR(VLOOKUP(B80,'STATUS INVEST FII'!$A$2:$N$404,6,0),0)</f>
        <v>1.1000000000000001</v>
      </c>
      <c r="F80" s="12">
        <f>IFERROR(VLOOKUP(B80,'STATUS INVEST FII'!$A$2:$N$404,8,0)/100,0)</f>
        <v>4.6799999999999994E-2</v>
      </c>
      <c r="G80" s="13">
        <f>IFERROR(VLOOKUP(B80,'STATUS INVEST FII'!$A$2:$N$404,9,0)/100,0)</f>
        <v>0.11070000000000001</v>
      </c>
      <c r="H80" s="13">
        <f>IFERROR(VLOOKUP(B80,'STATUS INVEST FII'!$A$2:$N$404,10,0)/100,0)</f>
        <v>9.0000000000000011E-3</v>
      </c>
      <c r="I80" s="20">
        <f>IFERROR(VLOOKUP(B80,'STATUS INVEST FII'!$A$2:$N$404,11,0),0)</f>
        <v>3208708568.71</v>
      </c>
      <c r="J80" s="24" t="str">
        <f>IFERROR(VLOOKUP(B80,'ATIVOS-GESTÃO'!$A$1:$C$329,2),"-")</f>
        <v>MULTI</v>
      </c>
      <c r="K80" s="24" t="str">
        <f>IFERROR(VLOOKUP(B80,'ATIVOS-GESTÃO'!$A$1:$C$329,3),"-")</f>
        <v>-</v>
      </c>
      <c r="L80" s="20" t="str">
        <f>IFERROR(VLOOKUP(B80,'STATUS INVEST FII'!$A$2:$N$404,13,0),"-")</f>
        <v>Ativa</v>
      </c>
      <c r="M80" s="20" t="str">
        <f>IFERROR(VLOOKUP(B80,'DATA-COM'!A:B,2,FALSE),"-")</f>
        <v xml:space="preserve">Sétimo </v>
      </c>
      <c r="N80" s="51">
        <f>IFERROR(VLOOKUP(B80,'STATUS INVEST FII'!$A$2:$N$404,12,0),"-")</f>
        <v>231540</v>
      </c>
      <c r="O80" s="54">
        <f>IFERROR(VLOOKUP(B80,'STATUS INVEST FII'!$A$2:$N$404,7,0),0)</f>
        <v>7764518.8799999999</v>
      </c>
    </row>
    <row r="81" spans="2:15" x14ac:dyDescent="0.25">
      <c r="B81" s="126" t="s">
        <v>24</v>
      </c>
      <c r="C81" s="9">
        <f>IFERROR(VLOOKUP(B81,'STATUS INVEST FII'!$A$2:$N$404,2,0),0)</f>
        <v>99.57</v>
      </c>
      <c r="D81" s="10">
        <f>IFERROR(VLOOKUP(B81,'STATUS INVEST FII'!$A$2:$N$404,4,0)/100,0)</f>
        <v>0.06</v>
      </c>
      <c r="E81" s="11">
        <f>IFERROR(VLOOKUP(B81,'STATUS INVEST FII'!$A$2:$N$404,6,0),0)</f>
        <v>0.99</v>
      </c>
      <c r="F81" s="12">
        <f>IFERROR(VLOOKUP(B81,'STATUS INVEST FII'!$A$2:$N$404,8,0)/100,0)</f>
        <v>4.2300000000000004E-2</v>
      </c>
      <c r="G81" s="13">
        <f>IFERROR(VLOOKUP(B81,'STATUS INVEST FII'!$A$2:$N$404,9,0)/100,0)</f>
        <v>-3.04E-2</v>
      </c>
      <c r="H81" s="13">
        <f>IFERROR(VLOOKUP(B81,'STATUS INVEST FII'!$A$2:$N$404,10,0)/100,0)</f>
        <v>-1.6899999999999998E-2</v>
      </c>
      <c r="I81" s="20">
        <f>IFERROR(VLOOKUP(B81,'STATUS INVEST FII'!$A$2:$N$404,11,0),0)</f>
        <v>3947593005.4899998</v>
      </c>
      <c r="J81" s="24" t="str">
        <f>IFERROR(VLOOKUP(B81,'ATIVOS-GESTÃO'!$A$1:$C$329,2),"-")</f>
        <v>MULTI</v>
      </c>
      <c r="K81" s="24" t="str">
        <f>IFERROR(VLOOKUP(B81,'ATIVOS-GESTÃO'!$A$1:$C$329,3),"-")</f>
        <v>-</v>
      </c>
      <c r="L81" s="20" t="str">
        <f>IFERROR(VLOOKUP(B81,'STATUS INVEST FII'!$A$2:$N$404,13,0),"-")</f>
        <v>Ativa</v>
      </c>
      <c r="M81" s="20" t="str">
        <f>IFERROR(VLOOKUP(B81,'DATA-COM'!A:B,2,FALSE),"-")</f>
        <v xml:space="preserve">Último </v>
      </c>
      <c r="N81" s="51">
        <f>IFERROR(VLOOKUP(B81,'STATUS INVEST FII'!$A$2:$N$404,12,0),"-")</f>
        <v>87425</v>
      </c>
      <c r="O81" s="54">
        <f>IFERROR(VLOOKUP(B81,'STATUS INVEST FII'!$A$2:$N$404,7,0),0)</f>
        <v>6935715.5</v>
      </c>
    </row>
    <row r="82" spans="2:15" x14ac:dyDescent="0.25">
      <c r="B82" s="126" t="s">
        <v>25</v>
      </c>
      <c r="C82" s="9">
        <f>IFERROR(VLOOKUP(B82,'STATUS INVEST FII'!$A$2:$N$404,2,0),0)</f>
        <v>9.39</v>
      </c>
      <c r="D82" s="10">
        <f>IFERROR(VLOOKUP(B82,'STATUS INVEST FII'!$A$2:$N$404,4,0)/100,0)</f>
        <v>0.10220000000000001</v>
      </c>
      <c r="E82" s="11">
        <f>IFERROR(VLOOKUP(B82,'STATUS INVEST FII'!$A$2:$N$404,6,0),0)</f>
        <v>0.92</v>
      </c>
      <c r="F82" s="12">
        <f>IFERROR(VLOOKUP(B82,'STATUS INVEST FII'!$A$2:$N$404,8,0)/100,0)</f>
        <v>1.3899999999999999E-2</v>
      </c>
      <c r="G82" s="13">
        <f>IFERROR(VLOOKUP(B82,'STATUS INVEST FII'!$A$2:$N$404,9,0)/100,0)</f>
        <v>-3.4000000000000002E-3</v>
      </c>
      <c r="H82" s="13">
        <f>IFERROR(VLOOKUP(B82,'STATUS INVEST FII'!$A$2:$N$404,10,0)/100,0)</f>
        <v>-5.0499999999999996E-2</v>
      </c>
      <c r="I82" s="20">
        <f>IFERROR(VLOOKUP(B82,'STATUS INVEST FII'!$A$2:$N$404,11,0),0)</f>
        <v>2315148318.21</v>
      </c>
      <c r="J82" s="24" t="str">
        <f>IFERROR(VLOOKUP(B82,'ATIVOS-GESTÃO'!$A$1:$C$329,2),"-")</f>
        <v>MULTI</v>
      </c>
      <c r="K82" s="24" t="str">
        <f>IFERROR(VLOOKUP(B82,'ATIVOS-GESTÃO'!$A$1:$C$329,3),"-")</f>
        <v>-</v>
      </c>
      <c r="L82" s="20" t="str">
        <f>IFERROR(VLOOKUP(B82,'STATUS INVEST FII'!$A$2:$N$404,13,0),"-")</f>
        <v>Ativa</v>
      </c>
      <c r="M82" s="20" t="str">
        <f>IFERROR(VLOOKUP(B82,'DATA-COM'!A:B,2,FALSE),"-")</f>
        <v xml:space="preserve">Último </v>
      </c>
      <c r="N82" s="51">
        <f>IFERROR(VLOOKUP(B82,'STATUS INVEST FII'!$A$2:$N$404,12,0),"-")</f>
        <v>503710</v>
      </c>
      <c r="O82" s="54">
        <f>IFERROR(VLOOKUP(B82,'STATUS INVEST FII'!$A$2:$N$404,7,0),0)</f>
        <v>8719871.7899999991</v>
      </c>
    </row>
    <row r="83" spans="2:15" x14ac:dyDescent="0.25">
      <c r="B83" s="126" t="s">
        <v>167</v>
      </c>
      <c r="C83" s="9">
        <f>IFERROR(VLOOKUP(B83,'STATUS INVEST FII'!$A$2:$N$404,2,0),0)</f>
        <v>89.89</v>
      </c>
      <c r="D83" s="10">
        <f>IFERROR(VLOOKUP(B83,'STATUS INVEST FII'!$A$2:$N$404,4,0)/100,0)</f>
        <v>0.11119999999999999</v>
      </c>
      <c r="E83" s="11">
        <f>IFERROR(VLOOKUP(B83,'STATUS INVEST FII'!$A$2:$N$404,6,0),0)</f>
        <v>0.89</v>
      </c>
      <c r="F83" s="12">
        <f>IFERROR(VLOOKUP(B83,'STATUS INVEST FII'!$A$2:$N$404,8,0)/100,0)</f>
        <v>7.5399999999999995E-2</v>
      </c>
      <c r="G83" s="13">
        <f>IFERROR(VLOOKUP(B83,'STATUS INVEST FII'!$A$2:$N$404,9,0)/100,0)</f>
        <v>3.6299999999999999E-2</v>
      </c>
      <c r="H83" s="13">
        <f>IFERROR(VLOOKUP(B83,'STATUS INVEST FII'!$A$2:$N$404,10,0)/100,0)</f>
        <v>-5.5899999999999998E-2</v>
      </c>
      <c r="I83" s="20">
        <f>IFERROR(VLOOKUP(B83,'STATUS INVEST FII'!$A$2:$N$404,11,0),0)</f>
        <v>328448674.24000001</v>
      </c>
      <c r="J83" s="24" t="str">
        <f>IFERROR(VLOOKUP(B83,'ATIVOS-GESTÃO'!$A$1:$C$329,2),"-")</f>
        <v>MULTI</v>
      </c>
      <c r="K83" s="24" t="str">
        <f>IFERROR(VLOOKUP(B83,'ATIVOS-GESTÃO'!$A$1:$C$329,3),"-")</f>
        <v>-</v>
      </c>
      <c r="L83" s="20" t="str">
        <f>IFERROR(VLOOKUP(B83,'STATUS INVEST FII'!$A$2:$N$404,13,0),"-")</f>
        <v>Ativa</v>
      </c>
      <c r="M83" s="20" t="str">
        <f>IFERROR(VLOOKUP(B83,'DATA-COM'!A:B,2,FALSE),"-")</f>
        <v xml:space="preserve">Último </v>
      </c>
      <c r="N83" s="51">
        <f>IFERROR(VLOOKUP(B83,'STATUS INVEST FII'!$A$2:$N$404,12,0),"-")</f>
        <v>21203</v>
      </c>
      <c r="O83" s="54">
        <f>IFERROR(VLOOKUP(B83,'STATUS INVEST FII'!$A$2:$N$404,7,0),0)</f>
        <v>486237.97</v>
      </c>
    </row>
    <row r="84" spans="2:15" x14ac:dyDescent="0.25">
      <c r="B84" s="126" t="s">
        <v>26</v>
      </c>
      <c r="C84" s="9">
        <f>IFERROR(VLOOKUP(B84,'STATUS INVEST FII'!$A$2:$N$404,2,0),0)</f>
        <v>101.34</v>
      </c>
      <c r="D84" s="10">
        <f>IFERROR(VLOOKUP(B84,'STATUS INVEST FII'!$A$2:$N$404,4,0)/100,0)</f>
        <v>0.10050000000000001</v>
      </c>
      <c r="E84" s="11">
        <f>IFERROR(VLOOKUP(B84,'STATUS INVEST FII'!$A$2:$N$404,6,0),0)</f>
        <v>1.04</v>
      </c>
      <c r="F84" s="12">
        <f>IFERROR(VLOOKUP(B84,'STATUS INVEST FII'!$A$2:$N$404,8,0)/100,0)</f>
        <v>2.2099999999999998E-2</v>
      </c>
      <c r="G84" s="13">
        <f>IFERROR(VLOOKUP(B84,'STATUS INVEST FII'!$A$2:$N$404,9,0)/100,0)</f>
        <v>0.1343</v>
      </c>
      <c r="H84" s="13">
        <f>IFERROR(VLOOKUP(B84,'STATUS INVEST FII'!$A$2:$N$404,10,0)/100,0)</f>
        <v>-1.21E-2</v>
      </c>
      <c r="I84" s="20">
        <f>IFERROR(VLOOKUP(B84,'STATUS INVEST FII'!$A$2:$N$404,11,0),0)</f>
        <v>1023024300.27</v>
      </c>
      <c r="J84" s="24" t="str">
        <f>IFERROR(VLOOKUP(B84,'ATIVOS-GESTÃO'!$A$1:$C$329,2),"-")</f>
        <v>MULTI</v>
      </c>
      <c r="K84" s="24" t="str">
        <f>IFERROR(VLOOKUP(B84,'ATIVOS-GESTÃO'!$A$1:$C$329,3),"-")</f>
        <v>-</v>
      </c>
      <c r="L84" s="20" t="str">
        <f>IFERROR(VLOOKUP(B84,'STATUS INVEST FII'!$A$2:$N$404,13,0),"-")</f>
        <v>Ativa</v>
      </c>
      <c r="M84" s="20" t="str">
        <f>IFERROR(VLOOKUP(B84,'DATA-COM'!A:B,2,FALSE),"-")</f>
        <v xml:space="preserve">Sétimo </v>
      </c>
      <c r="N84" s="51">
        <f>IFERROR(VLOOKUP(B84,'STATUS INVEST FII'!$A$2:$N$404,12,0),"-")</f>
        <v>88521</v>
      </c>
      <c r="O84" s="54">
        <f>IFERROR(VLOOKUP(B84,'STATUS INVEST FII'!$A$2:$N$404,7,0),0)</f>
        <v>3574618.03</v>
      </c>
    </row>
    <row r="85" spans="2:15" x14ac:dyDescent="0.25">
      <c r="B85" s="126" t="s">
        <v>27</v>
      </c>
      <c r="C85" s="9">
        <f>IFERROR(VLOOKUP(B85,'STATUS INVEST FII'!$A$2:$N$404,2,0),0)</f>
        <v>105.65</v>
      </c>
      <c r="D85" s="10">
        <f>IFERROR(VLOOKUP(B85,'STATUS INVEST FII'!$A$2:$N$404,4,0)/100,0)</f>
        <v>0.1043</v>
      </c>
      <c r="E85" s="11">
        <f>IFERROR(VLOOKUP(B85,'STATUS INVEST FII'!$A$2:$N$404,6,0),0)</f>
        <v>1.02</v>
      </c>
      <c r="F85" s="12">
        <f>IFERROR(VLOOKUP(B85,'STATUS INVEST FII'!$A$2:$N$404,8,0)/100,0)</f>
        <v>3.5900000000000001E-2</v>
      </c>
      <c r="G85" s="13">
        <f>IFERROR(VLOOKUP(B85,'STATUS INVEST FII'!$A$2:$N$404,9,0)/100,0)</f>
        <v>0</v>
      </c>
      <c r="H85" s="13">
        <f>IFERROR(VLOOKUP(B85,'STATUS INVEST FII'!$A$2:$N$404,10,0)/100,0)</f>
        <v>0</v>
      </c>
      <c r="I85" s="20">
        <f>IFERROR(VLOOKUP(B85,'STATUS INVEST FII'!$A$2:$N$404,11,0),0)</f>
        <v>352540307.86000001</v>
      </c>
      <c r="J85" s="24" t="str">
        <f>IFERROR(VLOOKUP(B85,'ATIVOS-GESTÃO'!$A$1:$C$329,2),"-")</f>
        <v>MULTI</v>
      </c>
      <c r="K85" s="24" t="str">
        <f>IFERROR(VLOOKUP(B85,'ATIVOS-GESTÃO'!$A$1:$C$329,3),"-")</f>
        <v>-</v>
      </c>
      <c r="L85" s="20" t="str">
        <f>IFERROR(VLOOKUP(B85,'STATUS INVEST FII'!$A$2:$N$404,13,0),"-")</f>
        <v>Ativa</v>
      </c>
      <c r="M85" s="20" t="str">
        <f>IFERROR(VLOOKUP(B85,'DATA-COM'!A:B,2,FALSE),"-")</f>
        <v xml:space="preserve">Sétimo </v>
      </c>
      <c r="N85" s="51">
        <f>IFERROR(VLOOKUP(B85,'STATUS INVEST FII'!$A$2:$N$404,12,0),"-")</f>
        <v>12530</v>
      </c>
      <c r="O85" s="54">
        <f>IFERROR(VLOOKUP(B85,'STATUS INVEST FII'!$A$2:$N$404,7,0),0)</f>
        <v>815937.26</v>
      </c>
    </row>
    <row r="86" spans="2:15" x14ac:dyDescent="0.25">
      <c r="B86" s="126" t="s">
        <v>181</v>
      </c>
      <c r="C86" s="9">
        <f>IFERROR(VLOOKUP(B86,'STATUS INVEST FII'!$A$2:$N$404,2,0),0)</f>
        <v>55.79</v>
      </c>
      <c r="D86" s="10">
        <f>IFERROR(VLOOKUP(B86,'STATUS INVEST FII'!$A$2:$N$404,4,0)/100,0)</f>
        <v>0.10769999999999999</v>
      </c>
      <c r="E86" s="11">
        <f>IFERROR(VLOOKUP(B86,'STATUS INVEST FII'!$A$2:$N$404,6,0),0)</f>
        <v>0.94</v>
      </c>
      <c r="F86" s="12">
        <f>IFERROR(VLOOKUP(B86,'STATUS INVEST FII'!$A$2:$N$404,8,0)/100,0)</f>
        <v>0.10099999999999999</v>
      </c>
      <c r="G86" s="13">
        <f>IFERROR(VLOOKUP(B86,'STATUS INVEST FII'!$A$2:$N$404,9,0)/100,0)</f>
        <v>4.8399999999999999E-2</v>
      </c>
      <c r="H86" s="13">
        <f>IFERROR(VLOOKUP(B86,'STATUS INVEST FII'!$A$2:$N$404,10,0)/100,0)</f>
        <v>-0.1308</v>
      </c>
      <c r="I86" s="20">
        <f>IFERROR(VLOOKUP(B86,'STATUS INVEST FII'!$A$2:$N$404,11,0),0)</f>
        <v>63916321.189999998</v>
      </c>
      <c r="J86" s="24" t="str">
        <f>IFERROR(VLOOKUP(B86,'ATIVOS-GESTÃO'!$A$1:$C$329,2),"-")</f>
        <v>-</v>
      </c>
      <c r="K86" s="24" t="str">
        <f>IFERROR(VLOOKUP(B86,'ATIVOS-GESTÃO'!$A$1:$C$329,3),"-")</f>
        <v>-</v>
      </c>
      <c r="L86" s="20" t="str">
        <f>IFERROR(VLOOKUP(B86,'STATUS INVEST FII'!$A$2:$N$404,13,0),"-")</f>
        <v>Ativa</v>
      </c>
      <c r="M86" s="20" t="str">
        <f>IFERROR(VLOOKUP(B86,'DATA-COM'!A:B,2,FALSE),"-")</f>
        <v xml:space="preserve">Último </v>
      </c>
      <c r="N86" s="51">
        <f>IFERROR(VLOOKUP(B86,'STATUS INVEST FII'!$A$2:$N$404,12,0),"-")</f>
        <v>924</v>
      </c>
      <c r="O86" s="54">
        <f>IFERROR(VLOOKUP(B86,'STATUS INVEST FII'!$A$2:$N$404,7,0),0)</f>
        <v>3921.18</v>
      </c>
    </row>
    <row r="87" spans="2:15" x14ac:dyDescent="0.25">
      <c r="B87" s="126" t="s">
        <v>18</v>
      </c>
      <c r="C87" s="9">
        <f>IFERROR(VLOOKUP(B87,'STATUS INVEST FII'!$A$2:$N$404,2,0),0)</f>
        <v>99.96</v>
      </c>
      <c r="D87" s="10">
        <f>IFERROR(VLOOKUP(B87,'STATUS INVEST FII'!$A$2:$N$404,4,0)/100,0)</f>
        <v>0.1356</v>
      </c>
      <c r="E87" s="11">
        <f>IFERROR(VLOOKUP(B87,'STATUS INVEST FII'!$A$2:$N$404,6,0),0)</f>
        <v>1.05</v>
      </c>
      <c r="F87" s="12">
        <f>IFERROR(VLOOKUP(B87,'STATUS INVEST FII'!$A$2:$N$404,8,0)/100,0)</f>
        <v>1.5600000000000001E-2</v>
      </c>
      <c r="G87" s="13">
        <f>IFERROR(VLOOKUP(B87,'STATUS INVEST FII'!$A$2:$N$404,9,0)/100,0)</f>
        <v>0.13289999999999999</v>
      </c>
      <c r="H87" s="13">
        <f>IFERROR(VLOOKUP(B87,'STATUS INVEST FII'!$A$2:$N$404,10,0)/100,0)</f>
        <v>-1.8500000000000003E-2</v>
      </c>
      <c r="I87" s="20">
        <f>IFERROR(VLOOKUP(B87,'STATUS INVEST FII'!$A$2:$N$404,11,0),0)</f>
        <v>2314884536.8699999</v>
      </c>
      <c r="J87" s="24" t="str">
        <f>IFERROR(VLOOKUP(B87,'ATIVOS-GESTÃO'!$A$1:$C$329,2),"-")</f>
        <v>MULTI</v>
      </c>
      <c r="K87" s="24" t="str">
        <f>IFERROR(VLOOKUP(B87,'ATIVOS-GESTÃO'!$A$1:$C$329,3),"-")</f>
        <v>-</v>
      </c>
      <c r="L87" s="20" t="str">
        <f>IFERROR(VLOOKUP(B87,'STATUS INVEST FII'!$A$2:$N$404,13,0),"-")</f>
        <v>Ativa</v>
      </c>
      <c r="M87" s="20" t="str">
        <f>IFERROR(VLOOKUP(B87,'DATA-COM'!A:B,2,FALSE),"-")</f>
        <v xml:space="preserve">Quinto </v>
      </c>
      <c r="N87" s="51">
        <f>IFERROR(VLOOKUP(B87,'STATUS INVEST FII'!$A$2:$N$404,12,0),"-")</f>
        <v>149953</v>
      </c>
      <c r="O87" s="54">
        <f>IFERROR(VLOOKUP(B87,'STATUS INVEST FII'!$A$2:$N$404,7,0),0)</f>
        <v>6152589.1799999997</v>
      </c>
    </row>
    <row r="88" spans="2:15" x14ac:dyDescent="0.25">
      <c r="B88" s="126" t="s">
        <v>184</v>
      </c>
      <c r="C88" s="9">
        <f>IFERROR(VLOOKUP(B88,'STATUS INVEST FII'!$A$2:$N$404,2,0),0)</f>
        <v>604</v>
      </c>
      <c r="D88" s="10">
        <f>IFERROR(VLOOKUP(B88,'STATUS INVEST FII'!$A$2:$N$404,4,0)/100,0)</f>
        <v>8.1699999999999995E-2</v>
      </c>
      <c r="E88" s="11">
        <f>IFERROR(VLOOKUP(B88,'STATUS INVEST FII'!$A$2:$N$404,6,0),0)</f>
        <v>0.9</v>
      </c>
      <c r="F88" s="12">
        <f>IFERROR(VLOOKUP(B88,'STATUS INVEST FII'!$A$2:$N$404,8,0)/100,0)</f>
        <v>0.38290000000000002</v>
      </c>
      <c r="G88" s="13">
        <f>IFERROR(VLOOKUP(B88,'STATUS INVEST FII'!$A$2:$N$404,9,0)/100,0)</f>
        <v>-5.9299999999999999E-2</v>
      </c>
      <c r="H88" s="13">
        <f>IFERROR(VLOOKUP(B88,'STATUS INVEST FII'!$A$2:$N$404,10,0)/100,0)</f>
        <v>-0.14369999999999999</v>
      </c>
      <c r="I88" s="20">
        <f>IFERROR(VLOOKUP(B88,'STATUS INVEST FII'!$A$2:$N$404,11,0),0)</f>
        <v>72295428.040000007</v>
      </c>
      <c r="J88" s="24" t="str">
        <f>IFERROR(VLOOKUP(B88,'ATIVOS-GESTÃO'!$A$1:$C$329,2),"-")</f>
        <v>-</v>
      </c>
      <c r="K88" s="24" t="str">
        <f>IFERROR(VLOOKUP(B88,'ATIVOS-GESTÃO'!$A$1:$C$329,3),"-")</f>
        <v>-</v>
      </c>
      <c r="L88" s="20" t="str">
        <f>IFERROR(VLOOKUP(B88,'STATUS INVEST FII'!$A$2:$N$404,13,0),"-")</f>
        <v>Ativa</v>
      </c>
      <c r="M88" s="20" t="str">
        <f>IFERROR(VLOOKUP(B88,'DATA-COM'!A:B,2,FALSE),"-")</f>
        <v xml:space="preserve">Último </v>
      </c>
      <c r="N88" s="51">
        <f>IFERROR(VLOOKUP(B88,'STATUS INVEST FII'!$A$2:$N$404,12,0),"-")</f>
        <v>926</v>
      </c>
      <c r="O88" s="54">
        <f>IFERROR(VLOOKUP(B88,'STATUS INVEST FII'!$A$2:$N$404,7,0),0)</f>
        <v>15883.43</v>
      </c>
    </row>
    <row r="89" spans="2:15" x14ac:dyDescent="0.25">
      <c r="B89" s="126" t="s">
        <v>318</v>
      </c>
      <c r="C89" s="9">
        <f>IFERROR(VLOOKUP(B89,'STATUS INVEST FII'!$A$2:$N$404,2,0),0)</f>
        <v>95.28</v>
      </c>
      <c r="D89" s="10">
        <f>IFERROR(VLOOKUP(B89,'STATUS INVEST FII'!$A$2:$N$404,4,0)/100,0)</f>
        <v>0.10880000000000001</v>
      </c>
      <c r="E89" s="11">
        <f>IFERROR(VLOOKUP(B89,'STATUS INVEST FII'!$A$2:$N$404,6,0),0)</f>
        <v>1.01</v>
      </c>
      <c r="F89" s="12">
        <f>IFERROR(VLOOKUP(B89,'STATUS INVEST FII'!$A$2:$N$404,8,0)/100,0)</f>
        <v>1.41E-2</v>
      </c>
      <c r="G89" s="13">
        <f>IFERROR(VLOOKUP(B89,'STATUS INVEST FII'!$A$2:$N$404,9,0)/100,0)</f>
        <v>0</v>
      </c>
      <c r="H89" s="13">
        <f>IFERROR(VLOOKUP(B89,'STATUS INVEST FII'!$A$2:$N$404,10,0)/100,0)</f>
        <v>0</v>
      </c>
      <c r="I89" s="20">
        <f>IFERROR(VLOOKUP(B89,'STATUS INVEST FII'!$A$2:$N$404,11,0),0)</f>
        <v>281838303.05000001</v>
      </c>
      <c r="J89" s="24" t="str">
        <f>IFERROR(VLOOKUP(B89,'ATIVOS-GESTÃO'!$A$1:$C$329,2),"-")</f>
        <v>-</v>
      </c>
      <c r="K89" s="24" t="str">
        <f>IFERROR(VLOOKUP(B89,'ATIVOS-GESTÃO'!$A$1:$C$329,3),"-")</f>
        <v>-</v>
      </c>
      <c r="L89" s="20" t="str">
        <f>IFERROR(VLOOKUP(B89,'STATUS INVEST FII'!$A$2:$N$404,13,0),"-")</f>
        <v>Ativa</v>
      </c>
      <c r="M89" s="20" t="str">
        <f>IFERROR(VLOOKUP(B89,'DATA-COM'!A:B,2,FALSE),"-")</f>
        <v xml:space="preserve">Décimo </v>
      </c>
      <c r="N89" s="51">
        <f>IFERROR(VLOOKUP(B89,'STATUS INVEST FII'!$A$2:$N$404,12,0),"-")</f>
        <v>6823</v>
      </c>
      <c r="O89" s="54">
        <f>IFERROR(VLOOKUP(B89,'STATUS INVEST FII'!$A$2:$N$404,7,0),0)</f>
        <v>1306881.32</v>
      </c>
    </row>
    <row r="90" spans="2:15" x14ac:dyDescent="0.25">
      <c r="B90" s="126" t="s">
        <v>28</v>
      </c>
      <c r="C90" s="9">
        <f>IFERROR(VLOOKUP(B90,'STATUS INVEST FII'!$A$2:$N$404,2,0),0)</f>
        <v>88.7</v>
      </c>
      <c r="D90" s="10">
        <f>IFERROR(VLOOKUP(B90,'STATUS INVEST FII'!$A$2:$N$404,4,0)/100,0)</f>
        <v>5.79E-2</v>
      </c>
      <c r="E90" s="11">
        <f>IFERROR(VLOOKUP(B90,'STATUS INVEST FII'!$A$2:$N$404,6,0),0)</f>
        <v>0.89</v>
      </c>
      <c r="F90" s="12">
        <f>IFERROR(VLOOKUP(B90,'STATUS INVEST FII'!$A$2:$N$404,8,0)/100,0)</f>
        <v>0.12089999999999999</v>
      </c>
      <c r="G90" s="13">
        <f>IFERROR(VLOOKUP(B90,'STATUS INVEST FII'!$A$2:$N$404,9,0)/100,0)</f>
        <v>0</v>
      </c>
      <c r="H90" s="13">
        <f>IFERROR(VLOOKUP(B90,'STATUS INVEST FII'!$A$2:$N$404,10,0)/100,0)</f>
        <v>0</v>
      </c>
      <c r="I90" s="20">
        <f>IFERROR(VLOOKUP(B90,'STATUS INVEST FII'!$A$2:$N$404,11,0),0)</f>
        <v>319657407.01999998</v>
      </c>
      <c r="J90" s="24" t="str">
        <f>IFERROR(VLOOKUP(B90,'ATIVOS-GESTÃO'!$A$1:$C$329,2),"-")</f>
        <v>MULTI</v>
      </c>
      <c r="K90" s="24" t="str">
        <f>IFERROR(VLOOKUP(B90,'ATIVOS-GESTÃO'!$A$1:$C$329,3),"-")</f>
        <v>-</v>
      </c>
      <c r="L90" s="20" t="str">
        <f>IFERROR(VLOOKUP(B90,'STATUS INVEST FII'!$A$2:$N$404,13,0),"-")</f>
        <v>Ativa</v>
      </c>
      <c r="M90" s="20" t="str">
        <f>IFERROR(VLOOKUP(B90,'DATA-COM'!A:B,2,FALSE),"-")</f>
        <v xml:space="preserve">Último </v>
      </c>
      <c r="N90" s="51">
        <f>IFERROR(VLOOKUP(B90,'STATUS INVEST FII'!$A$2:$N$404,12,0),"-")</f>
        <v>2867</v>
      </c>
      <c r="O90" s="54">
        <f>IFERROR(VLOOKUP(B90,'STATUS INVEST FII'!$A$2:$N$404,7,0),0)</f>
        <v>901907.41</v>
      </c>
    </row>
    <row r="91" spans="2:15" x14ac:dyDescent="0.25">
      <c r="B91" s="126" t="s">
        <v>189</v>
      </c>
      <c r="C91" s="9">
        <f>IFERROR(VLOOKUP(B91,'STATUS INVEST FII'!$A$2:$N$404,2,0),0)</f>
        <v>100.34</v>
      </c>
      <c r="D91" s="10">
        <f>IFERROR(VLOOKUP(B91,'STATUS INVEST FII'!$A$2:$N$404,4,0)/100,0)</f>
        <v>8.0299999999999996E-2</v>
      </c>
      <c r="E91" s="11">
        <f>IFERROR(VLOOKUP(B91,'STATUS INVEST FII'!$A$2:$N$404,6,0),0)</f>
        <v>1.03</v>
      </c>
      <c r="F91" s="12">
        <f>IFERROR(VLOOKUP(B91,'STATUS INVEST FII'!$A$2:$N$404,8,0)/100,0)</f>
        <v>1.09E-2</v>
      </c>
      <c r="G91" s="13">
        <f>IFERROR(VLOOKUP(B91,'STATUS INVEST FII'!$A$2:$N$404,9,0)/100,0)</f>
        <v>-1.7100000000000001E-2</v>
      </c>
      <c r="H91" s="13">
        <f>IFERROR(VLOOKUP(B91,'STATUS INVEST FII'!$A$2:$N$404,10,0)/100,0)</f>
        <v>-1.7000000000000001E-3</v>
      </c>
      <c r="I91" s="20">
        <f>IFERROR(VLOOKUP(B91,'STATUS INVEST FII'!$A$2:$N$404,11,0),0)</f>
        <v>437140913.98000002</v>
      </c>
      <c r="J91" s="24" t="str">
        <f>IFERROR(VLOOKUP(B91,'ATIVOS-GESTÃO'!$A$1:$C$329,2),"-")</f>
        <v>MULTI</v>
      </c>
      <c r="K91" s="24" t="str">
        <f>IFERROR(VLOOKUP(B91,'ATIVOS-GESTÃO'!$A$1:$C$329,3),"-")</f>
        <v>-</v>
      </c>
      <c r="L91" s="20" t="str">
        <f>IFERROR(VLOOKUP(B91,'STATUS INVEST FII'!$A$2:$N$404,13,0),"-")</f>
        <v>Ativa</v>
      </c>
      <c r="M91" s="20" t="str">
        <f>IFERROR(VLOOKUP(B91,'DATA-COM'!A:B,2,FALSE),"-")</f>
        <v xml:space="preserve">Oitavo </v>
      </c>
      <c r="N91" s="51">
        <f>IFERROR(VLOOKUP(B91,'STATUS INVEST FII'!$A$2:$N$404,12,0),"-")</f>
        <v>28656</v>
      </c>
      <c r="O91" s="54">
        <f>IFERROR(VLOOKUP(B91,'STATUS INVEST FII'!$A$2:$N$404,7,0),0)</f>
        <v>1169714.21</v>
      </c>
    </row>
    <row r="92" spans="2:15" ht="15.75" thickBot="1" x14ac:dyDescent="0.3">
      <c r="B92" s="133" t="s">
        <v>191</v>
      </c>
      <c r="C92" s="14">
        <f>IFERROR(VLOOKUP(B92,'STATUS INVEST FII'!$A$2:$N$404,2,0),0)</f>
        <v>86.14</v>
      </c>
      <c r="D92" s="15">
        <f>IFERROR(VLOOKUP(B92,'STATUS INVEST FII'!$A$2:$N$404,4,0)/100,0)</f>
        <v>8.4100000000000008E-2</v>
      </c>
      <c r="E92" s="16">
        <f>IFERROR(VLOOKUP(B92,'STATUS INVEST FII'!$A$2:$N$404,6,0),0)</f>
        <v>0.88</v>
      </c>
      <c r="F92" s="17">
        <f>IFERROR(VLOOKUP(B92,'STATUS INVEST FII'!$A$2:$N$404,8,0)/100,0)</f>
        <v>9.9299999999999999E-2</v>
      </c>
      <c r="G92" s="13">
        <f>IFERROR(VLOOKUP(B92,'STATUS INVEST FII'!$A$2:$N$404,9,0)/100,0)</f>
        <v>9.4299999999999995E-2</v>
      </c>
      <c r="H92" s="13">
        <f>IFERROR(VLOOKUP(B92,'STATUS INVEST FII'!$A$2:$N$404,10,0)/100,0)</f>
        <v>-3.7000000000000002E-3</v>
      </c>
      <c r="I92" s="21">
        <f>IFERROR(VLOOKUP(B92,'STATUS INVEST FII'!$A$2:$N$404,11,0),0)</f>
        <v>80920487.930000007</v>
      </c>
      <c r="J92" s="25" t="str">
        <f>IFERROR(VLOOKUP(B92,'ATIVOS-GESTÃO'!$A$1:$C$329,2),"-")</f>
        <v>-</v>
      </c>
      <c r="K92" s="25" t="str">
        <f>IFERROR(VLOOKUP(B92,'ATIVOS-GESTÃO'!$A$1:$C$329,3),"-")</f>
        <v>-</v>
      </c>
      <c r="L92" s="21" t="str">
        <f>IFERROR(VLOOKUP(B92,'STATUS INVEST FII'!$A$2:$N$404,13,0),"-")</f>
        <v>Ativa</v>
      </c>
      <c r="M92" s="21" t="str">
        <f>IFERROR(VLOOKUP(B92,'DATA-COM'!A:B,2,FALSE),"-")</f>
        <v xml:space="preserve">Último </v>
      </c>
      <c r="N92" s="55">
        <f>IFERROR(VLOOKUP(B92,'STATUS INVEST FII'!$A$2:$N$404,12,0),"-")</f>
        <v>299</v>
      </c>
      <c r="O92" s="56">
        <f>IFERROR(VLOOKUP(B92,'STATUS INVEST FII'!$A$2:$N$404,7,0),0)</f>
        <v>2336.3200000000002</v>
      </c>
    </row>
    <row r="93" spans="2:15" s="203" customFormat="1" ht="15.75" thickBot="1" x14ac:dyDescent="0.3">
      <c r="B93" s="216" t="s">
        <v>124</v>
      </c>
      <c r="C93" s="217">
        <f>IFERROR(VLOOKUP(B93,'STATUS INVEST FII'!$A$2:$N$404,2,0),0)</f>
        <v>0</v>
      </c>
      <c r="D93" s="218">
        <f>IFERROR(VLOOKUP(B93,'STATUS INVEST FII'!$A$2:$N$404,4,0)/100,0)</f>
        <v>0</v>
      </c>
      <c r="E93" s="218">
        <f>IFERROR(VLOOKUP(B93,'STATUS INVEST FII'!$A$2:$N$404,6,0),0)</f>
        <v>0</v>
      </c>
      <c r="F93" s="218">
        <f>IFERROR(VLOOKUP(B93,'STATUS INVEST FII'!$A$2:$N$404,8,0)/100,0)</f>
        <v>0</v>
      </c>
      <c r="G93" s="218">
        <f>IFERROR(VLOOKUP(B93,'STATUS INVEST FII'!$A$2:$N$404,9,0)/100,0)</f>
        <v>0</v>
      </c>
      <c r="H93" s="218">
        <f>IFERROR(VLOOKUP(B93,'STATUS INVEST FII'!$A$2:$N$404,10,0)/100,0)</f>
        <v>0</v>
      </c>
      <c r="I93" s="218">
        <f>IFERROR(VLOOKUP(B93,'STATUS INVEST FII'!$A$2:$N$404,11,0),0)</f>
        <v>0</v>
      </c>
      <c r="J93" s="218" t="str">
        <f>IFERROR(VLOOKUP(B93,'ATIVOS-GESTÃO'!$A$1:$C$329,2),"-")</f>
        <v>-</v>
      </c>
      <c r="K93" s="218" t="str">
        <f>IFERROR(VLOOKUP(B93,'ATIVOS-GESTÃO'!$A$1:$C$329,3),"-")</f>
        <v>-</v>
      </c>
      <c r="L93" s="218" t="str">
        <f>IFERROR(VLOOKUP(B93,'STATUS INVEST FII'!$A$2:$N$404,13,0),"-")</f>
        <v>-</v>
      </c>
      <c r="M93" s="218" t="str">
        <f>IFERROR(VLOOKUP(B93,'DATA-COM'!A:B,2,FALSE),"-")</f>
        <v>-</v>
      </c>
      <c r="N93" s="218" t="str">
        <f>IFERROR(VLOOKUP(B93,'STATUS INVEST FII'!$A$2:$N$404,12,0),"-")</f>
        <v>-</v>
      </c>
      <c r="O93" s="219">
        <f>IFERROR(VLOOKUP(B93,'STATUS INVEST FII'!$A$2:$N$404,7,0),0)</f>
        <v>0</v>
      </c>
    </row>
    <row r="94" spans="2:15" x14ac:dyDescent="0.25">
      <c r="B94" s="132" t="s">
        <v>300</v>
      </c>
      <c r="C94" s="39">
        <f>IFERROR(VLOOKUP(B94,'STATUS INVEST FII'!$A$2:$N$404,2,0),0)</f>
        <v>74.98</v>
      </c>
      <c r="D94" s="40">
        <f>IFERROR(VLOOKUP(B94,'STATUS INVEST FII'!$A$2:$N$404,4,0)/100,0)</f>
        <v>0.10400000000000001</v>
      </c>
      <c r="E94" s="41">
        <f>IFERROR(VLOOKUP(B94,'STATUS INVEST FII'!$A$2:$N$404,6,0),0)</f>
        <v>0.73</v>
      </c>
      <c r="F94" s="42">
        <f>IFERROR(VLOOKUP(B94,'STATUS INVEST FII'!$A$2:$N$404,8,0)/100,0)</f>
        <v>5.6399999999999999E-2</v>
      </c>
      <c r="G94" s="13">
        <f>IFERROR(VLOOKUP(B94,'STATUS INVEST FII'!$A$2:$N$404,9,0)/100,0)</f>
        <v>0</v>
      </c>
      <c r="H94" s="13">
        <f>IFERROR(VLOOKUP(B94,'STATUS INVEST FII'!$A$2:$N$404,10,0)/100,0)</f>
        <v>0</v>
      </c>
      <c r="I94" s="44">
        <f>IFERROR(VLOOKUP(B94,'STATUS INVEST FII'!$A$2:$N$404,11,0),0)</f>
        <v>491699602.74000001</v>
      </c>
      <c r="J94" s="45" t="str">
        <f>IFERROR(VLOOKUP(B94,'ATIVOS-GESTÃO'!$A$1:$C$329,2),"-")</f>
        <v>MULTI</v>
      </c>
      <c r="K94" s="45" t="str">
        <f>IFERROR(VLOOKUP(B94,'ATIVOS-GESTÃO'!$A$1:$C$329,3),"-")</f>
        <v>MULTI</v>
      </c>
      <c r="L94" s="44" t="str">
        <f>IFERROR(VLOOKUP(B94,'STATUS INVEST FII'!$A$2:$N$404,13,0),"-")</f>
        <v>Ativa</v>
      </c>
      <c r="M94" s="44" t="str">
        <f>IFERROR(VLOOKUP(B94,'DATA-COM'!A:B,2,FALSE),"-")</f>
        <v xml:space="preserve">Último </v>
      </c>
      <c r="N94" s="57">
        <f>IFERROR(VLOOKUP(B94,'STATUS INVEST FII'!$A$2:$N$404,12,0),"-")</f>
        <v>6268</v>
      </c>
      <c r="O94" s="58">
        <f>IFERROR(VLOOKUP(B94,'STATUS INVEST FII'!$A$2:$N$404,7,0),0)</f>
        <v>978312.41</v>
      </c>
    </row>
    <row r="95" spans="2:15" x14ac:dyDescent="0.25">
      <c r="B95" s="132" t="s">
        <v>58</v>
      </c>
      <c r="C95" s="9">
        <f>IFERROR(VLOOKUP(B95,'STATUS INVEST FII'!$A$2:$N$404,2,0),0)</f>
        <v>906</v>
      </c>
      <c r="D95" s="10">
        <f>IFERROR(VLOOKUP(B95,'STATUS INVEST FII'!$A$2:$N$404,4,0)/100,0)</f>
        <v>0</v>
      </c>
      <c r="E95" s="11">
        <f>IFERROR(VLOOKUP(B95,'STATUS INVEST FII'!$A$2:$N$404,6,0),0)</f>
        <v>0.4</v>
      </c>
      <c r="F95" s="12">
        <f>IFERROR(VLOOKUP(B95,'STATUS INVEST FII'!$A$2:$N$404,8,0)/100,0)</f>
        <v>1.9699999999999999E-2</v>
      </c>
      <c r="G95" s="13">
        <f>IFERROR(VLOOKUP(B95,'STATUS INVEST FII'!$A$2:$N$404,9,0)/100,0)</f>
        <v>0</v>
      </c>
      <c r="H95" s="13">
        <f>IFERROR(VLOOKUP(B95,'STATUS INVEST FII'!$A$2:$N$404,10,0)/100,0)</f>
        <v>-0.14580000000000001</v>
      </c>
      <c r="I95" s="20">
        <f>IFERROR(VLOOKUP(B95,'STATUS INVEST FII'!$A$2:$N$404,11,0),0)</f>
        <v>250378909.50999999</v>
      </c>
      <c r="J95" s="45" t="str">
        <f>IFERROR(VLOOKUP(B95,'ATIVOS-GESTÃO'!$A$1:$C$329,2),"-")</f>
        <v>MONO</v>
      </c>
      <c r="K95" s="45" t="str">
        <f>IFERROR(VLOOKUP(B95,'ATIVOS-GESTÃO'!$A$1:$C$329,3),"-")</f>
        <v>MULTI</v>
      </c>
      <c r="L95" s="20" t="str">
        <f>IFERROR(VLOOKUP(B95,'STATUS INVEST FII'!$A$2:$N$404,13,0),"-")</f>
        <v>Passiva</v>
      </c>
      <c r="M95" s="20" t="str">
        <f>IFERROR(VLOOKUP(B95,'DATA-COM'!A:B,2,FALSE),"-")</f>
        <v xml:space="preserve">Último </v>
      </c>
      <c r="N95" s="51">
        <f>IFERROR(VLOOKUP(B95,'STATUS INVEST FII'!$A$2:$N$404,12,0),"-")</f>
        <v>3133</v>
      </c>
      <c r="O95" s="54">
        <f>IFERROR(VLOOKUP(B95,'STATUS INVEST FII'!$A$2:$N$404,7,0),0)</f>
        <v>80856.649999999994</v>
      </c>
    </row>
    <row r="96" spans="2:15" x14ac:dyDescent="0.25">
      <c r="B96" s="132" t="s">
        <v>262</v>
      </c>
      <c r="C96" s="9">
        <f>IFERROR(VLOOKUP(B96,'STATUS INVEST FII'!$A$2:$N$404,2,0),0)</f>
        <v>0</v>
      </c>
      <c r="D96" s="10">
        <f>IFERROR(VLOOKUP(B96,'STATUS INVEST FII'!$A$2:$N$404,4,0)/100,0)</f>
        <v>0</v>
      </c>
      <c r="E96" s="11">
        <f>IFERROR(VLOOKUP(B96,'STATUS INVEST FII'!$A$2:$N$404,6,0),0)</f>
        <v>0</v>
      </c>
      <c r="F96" s="12">
        <f>IFERROR(VLOOKUP(B96,'STATUS INVEST FII'!$A$2:$N$404,8,0)/100,0)</f>
        <v>6.3E-3</v>
      </c>
      <c r="G96" s="13">
        <f>IFERROR(VLOOKUP(B96,'STATUS INVEST FII'!$A$2:$N$404,9,0)/100,0)</f>
        <v>0</v>
      </c>
      <c r="H96" s="13">
        <f>IFERROR(VLOOKUP(B96,'STATUS INVEST FII'!$A$2:$N$404,10,0)/100,0)</f>
        <v>0</v>
      </c>
      <c r="I96" s="20">
        <f>IFERROR(VLOOKUP(B96,'STATUS INVEST FII'!$A$2:$N$404,11,0),0)</f>
        <v>72545951.030000001</v>
      </c>
      <c r="J96" s="45" t="str">
        <f>IFERROR(VLOOKUP(B96,'ATIVOS-GESTÃO'!$A$1:$C$329,2),"-")</f>
        <v>MULTI</v>
      </c>
      <c r="K96" s="45" t="str">
        <f>IFERROR(VLOOKUP(B96,'ATIVOS-GESTÃO'!$A$1:$C$329,3),"-")</f>
        <v>MULTI</v>
      </c>
      <c r="L96" s="20" t="str">
        <f>IFERROR(VLOOKUP(B96,'STATUS INVEST FII'!$A$2:$N$404,13,0),"-")</f>
        <v>Ativa</v>
      </c>
      <c r="M96" s="20" t="str">
        <f>IFERROR(VLOOKUP(B96,'DATA-COM'!A:B,2,FALSE),"-")</f>
        <v>-</v>
      </c>
      <c r="N96" s="51">
        <f>IFERROR(VLOOKUP(B96,'STATUS INVEST FII'!$A$2:$N$404,12,0),"-")</f>
        <v>33</v>
      </c>
      <c r="O96" s="54">
        <f>IFERROR(VLOOKUP(B96,'STATUS INVEST FII'!$A$2:$N$404,7,0),0)</f>
        <v>0</v>
      </c>
    </row>
    <row r="97" spans="2:15" x14ac:dyDescent="0.25">
      <c r="B97" s="132" t="s">
        <v>59</v>
      </c>
      <c r="C97" s="9">
        <f>IFERROR(VLOOKUP(B97,'STATUS INVEST FII'!$A$2:$N$404,2,0),0)</f>
        <v>2140</v>
      </c>
      <c r="D97" s="10">
        <f>IFERROR(VLOOKUP(B97,'STATUS INVEST FII'!$A$2:$N$404,4,0)/100,0)</f>
        <v>0.15390000000000001</v>
      </c>
      <c r="E97" s="11">
        <f>IFERROR(VLOOKUP(B97,'STATUS INVEST FII'!$A$2:$N$404,6,0),0)</f>
        <v>0.76</v>
      </c>
      <c r="F97" s="12">
        <f>IFERROR(VLOOKUP(B97,'STATUS INVEST FII'!$A$2:$N$404,8,0)/100,0)</f>
        <v>7.6299999999999993E-2</v>
      </c>
      <c r="G97" s="13">
        <f>IFERROR(VLOOKUP(B97,'STATUS INVEST FII'!$A$2:$N$404,9,0)/100,0)</f>
        <v>3.3000000000000002E-2</v>
      </c>
      <c r="H97" s="13">
        <f>IFERROR(VLOOKUP(B97,'STATUS INVEST FII'!$A$2:$N$404,10,0)/100,0)</f>
        <v>-1.9299999999999998E-2</v>
      </c>
      <c r="I97" s="20">
        <f>IFERROR(VLOOKUP(B97,'STATUS INVEST FII'!$A$2:$N$404,11,0),0)</f>
        <v>370283007.23000002</v>
      </c>
      <c r="J97" s="45" t="str">
        <f>IFERROR(VLOOKUP(B97,'ATIVOS-GESTÃO'!$A$1:$C$329,2),"-")</f>
        <v>MULTI</v>
      </c>
      <c r="K97" s="45" t="str">
        <f>IFERROR(VLOOKUP(B97,'ATIVOS-GESTÃO'!$A$1:$C$329,3),"-")</f>
        <v>MONO</v>
      </c>
      <c r="L97" s="20" t="str">
        <f>IFERROR(VLOOKUP(B97,'STATUS INVEST FII'!$A$2:$N$404,13,0),"-")</f>
        <v>Passiva</v>
      </c>
      <c r="M97" s="20" t="str">
        <f>IFERROR(VLOOKUP(B97,'DATA-COM'!A:B,2,FALSE),"-")</f>
        <v xml:space="preserve">Último </v>
      </c>
      <c r="N97" s="51">
        <f>IFERROR(VLOOKUP(B97,'STATUS INVEST FII'!$A$2:$N$404,12,0),"-")</f>
        <v>8903</v>
      </c>
      <c r="O97" s="54">
        <f>IFERROR(VLOOKUP(B97,'STATUS INVEST FII'!$A$2:$N$404,7,0),0)</f>
        <v>421366.59</v>
      </c>
    </row>
    <row r="98" spans="2:15" x14ac:dyDescent="0.25">
      <c r="B98" s="126" t="s">
        <v>462</v>
      </c>
      <c r="C98" s="9">
        <f>IFERROR(VLOOKUP(B98,'STATUS INVEST FII'!$A$2:$N$404,2,0),0)</f>
        <v>99.99</v>
      </c>
      <c r="D98" s="10">
        <f>IFERROR(VLOOKUP(B98,'STATUS INVEST FII'!$A$2:$N$404,4,0)/100,0)</f>
        <v>1.06E-2</v>
      </c>
      <c r="E98" s="11">
        <f>IFERROR(VLOOKUP(B98,'STATUS INVEST FII'!$A$2:$N$404,6,0),0)</f>
        <v>0.93</v>
      </c>
      <c r="F98" s="12">
        <f>IFERROR(VLOOKUP(B98,'STATUS INVEST FII'!$A$2:$N$404,8,0)/100,0)</f>
        <v>6.4000000000000001E-2</v>
      </c>
      <c r="G98" s="13">
        <f>IFERROR(VLOOKUP(B98,'STATUS INVEST FII'!$A$2:$N$404,9,0)/100,0)</f>
        <v>0</v>
      </c>
      <c r="H98" s="13">
        <f>IFERROR(VLOOKUP(B98,'STATUS INVEST FII'!$A$2:$N$404,10,0)/100,0)</f>
        <v>0</v>
      </c>
      <c r="I98" s="20">
        <f>IFERROR(VLOOKUP(B98,'STATUS INVEST FII'!$A$2:$N$404,11,0),0)</f>
        <v>171984833.53</v>
      </c>
      <c r="J98" s="45" t="str">
        <f>IFERROR(VLOOKUP(B98,'ATIVOS-GESTÃO'!$A$1:$C$329,2),"-")</f>
        <v>MONO</v>
      </c>
      <c r="K98" s="45" t="str">
        <f>IFERROR(VLOOKUP(B98,'ATIVOS-GESTÃO'!$A$1:$C$329,3),"-")</f>
        <v>MULTI</v>
      </c>
      <c r="L98" s="20" t="str">
        <f>IFERROR(VLOOKUP(B98,'STATUS INVEST FII'!$A$2:$N$404,13,0),"-")</f>
        <v>Ativa</v>
      </c>
      <c r="M98" s="20" t="str">
        <f>IFERROR(VLOOKUP(B98,'DATA-COM'!A:B,2,FALSE),"-")</f>
        <v>-</v>
      </c>
      <c r="N98" s="51">
        <f>IFERROR(VLOOKUP(B98,'STATUS INVEST FII'!$A$2:$N$404,12,0),"-")</f>
        <v>90</v>
      </c>
      <c r="O98" s="54">
        <f>IFERROR(VLOOKUP(B98,'STATUS INVEST FII'!$A$2:$N$404,7,0),0)</f>
        <v>11262.25</v>
      </c>
    </row>
    <row r="99" spans="2:15" x14ac:dyDescent="0.25">
      <c r="B99" s="126" t="s">
        <v>263</v>
      </c>
      <c r="C99" s="9">
        <f>IFERROR(VLOOKUP(B99,'STATUS INVEST FII'!$A$2:$N$404,2,0),0)</f>
        <v>25998.99</v>
      </c>
      <c r="D99" s="10">
        <f>IFERROR(VLOOKUP(B99,'STATUS INVEST FII'!$A$2:$N$404,4,0)/100,0)</f>
        <v>7.000000000000001E-4</v>
      </c>
      <c r="E99" s="11">
        <f>IFERROR(VLOOKUP(B99,'STATUS INVEST FII'!$A$2:$N$404,6,0),0)</f>
        <v>0.99</v>
      </c>
      <c r="F99" s="12">
        <f>IFERROR(VLOOKUP(B99,'STATUS INVEST FII'!$A$2:$N$404,8,0)/100,0)</f>
        <v>4.99E-2</v>
      </c>
      <c r="G99" s="13">
        <f>IFERROR(VLOOKUP(B99,'STATUS INVEST FII'!$A$2:$N$404,9,0)/100,0)</f>
        <v>0</v>
      </c>
      <c r="H99" s="13">
        <f>IFERROR(VLOOKUP(B99,'STATUS INVEST FII'!$A$2:$N$404,10,0)/100,0)</f>
        <v>0</v>
      </c>
      <c r="I99" s="20">
        <f>IFERROR(VLOOKUP(B99,'STATUS INVEST FII'!$A$2:$N$404,11,0),0)</f>
        <v>99413657.939999998</v>
      </c>
      <c r="J99" s="45" t="str">
        <f>IFERROR(VLOOKUP(B99,'ATIVOS-GESTÃO'!$A$1:$C$329,2),"-")</f>
        <v>MONO</v>
      </c>
      <c r="K99" s="45" t="str">
        <f>IFERROR(VLOOKUP(B99,'ATIVOS-GESTÃO'!$A$1:$C$329,3),"-")</f>
        <v>MULTI</v>
      </c>
      <c r="L99" s="20" t="str">
        <f>IFERROR(VLOOKUP(B99,'STATUS INVEST FII'!$A$2:$N$404,13,0),"-")</f>
        <v>Ativa</v>
      </c>
      <c r="M99" s="20" t="str">
        <f>IFERROR(VLOOKUP(B99,'DATA-COM'!A:B,2,FALSE),"-")</f>
        <v>-</v>
      </c>
      <c r="N99" s="51">
        <f>IFERROR(VLOOKUP(B99,'STATUS INVEST FII'!$A$2:$N$404,12,0),"-")</f>
        <v>91</v>
      </c>
      <c r="O99" s="54">
        <f>IFERROR(VLOOKUP(B99,'STATUS INVEST FII'!$A$2:$N$404,7,0),0)</f>
        <v>103995.5</v>
      </c>
    </row>
    <row r="100" spans="2:15" x14ac:dyDescent="0.25">
      <c r="B100" s="126" t="s">
        <v>228</v>
      </c>
      <c r="C100" s="9">
        <f>IFERROR(VLOOKUP(B100,'STATUS INVEST FII'!$A$2:$N$404,2,0),0)</f>
        <v>0</v>
      </c>
      <c r="D100" s="10">
        <f>IFERROR(VLOOKUP(B100,'STATUS INVEST FII'!$A$2:$N$404,4,0)/100,0)</f>
        <v>0</v>
      </c>
      <c r="E100" s="11">
        <f>IFERROR(VLOOKUP(B100,'STATUS INVEST FII'!$A$2:$N$404,6,0),0)</f>
        <v>0</v>
      </c>
      <c r="F100" s="12">
        <f>IFERROR(VLOOKUP(B100,'STATUS INVEST FII'!$A$2:$N$404,8,0)/100,0)</f>
        <v>8.0000000000000002E-3</v>
      </c>
      <c r="G100" s="13">
        <f>IFERROR(VLOOKUP(B100,'STATUS INVEST FII'!$A$2:$N$404,9,0)/100,0)</f>
        <v>0</v>
      </c>
      <c r="H100" s="13">
        <f>IFERROR(VLOOKUP(B100,'STATUS INVEST FII'!$A$2:$N$404,10,0)/100,0)</f>
        <v>0</v>
      </c>
      <c r="I100" s="20">
        <f>IFERROR(VLOOKUP(B100,'STATUS INVEST FII'!$A$2:$N$404,11,0),0)</f>
        <v>69883340.019999996</v>
      </c>
      <c r="J100" s="45" t="str">
        <f>IFERROR(VLOOKUP(B100,'ATIVOS-GESTÃO'!$A$1:$C$329,2),"-")</f>
        <v>MONO</v>
      </c>
      <c r="K100" s="45" t="str">
        <f>IFERROR(VLOOKUP(B100,'ATIVOS-GESTÃO'!$A$1:$C$329,3),"-")</f>
        <v>MULTI</v>
      </c>
      <c r="L100" s="20" t="str">
        <f>IFERROR(VLOOKUP(B100,'STATUS INVEST FII'!$A$2:$N$404,13,0),"-")</f>
        <v>Ativa</v>
      </c>
      <c r="M100" s="20" t="str">
        <f>IFERROR(VLOOKUP(B100,'DATA-COM'!A:B,2,FALSE),"-")</f>
        <v xml:space="preserve">Último </v>
      </c>
      <c r="N100" s="51">
        <f>IFERROR(VLOOKUP(B100,'STATUS INVEST FII'!$A$2:$N$404,12,0),"-")</f>
        <v>12</v>
      </c>
      <c r="O100" s="54">
        <f>IFERROR(VLOOKUP(B100,'STATUS INVEST FII'!$A$2:$N$404,7,0),0)</f>
        <v>0</v>
      </c>
    </row>
    <row r="101" spans="2:15" x14ac:dyDescent="0.25">
      <c r="B101" s="126" t="s">
        <v>303</v>
      </c>
      <c r="C101" s="9">
        <f>IFERROR(VLOOKUP(B101,'STATUS INVEST FII'!$A$2:$N$404,2,0),0)</f>
        <v>89.26</v>
      </c>
      <c r="D101" s="10">
        <f>IFERROR(VLOOKUP(B101,'STATUS INVEST FII'!$A$2:$N$404,4,0)/100,0)</f>
        <v>8.1500000000000003E-2</v>
      </c>
      <c r="E101" s="11">
        <f>IFERROR(VLOOKUP(B101,'STATUS INVEST FII'!$A$2:$N$404,6,0),0)</f>
        <v>0.81</v>
      </c>
      <c r="F101" s="12">
        <f>IFERROR(VLOOKUP(B101,'STATUS INVEST FII'!$A$2:$N$404,8,0)/100,0)</f>
        <v>2.75E-2</v>
      </c>
      <c r="G101" s="13">
        <f>IFERROR(VLOOKUP(B101,'STATUS INVEST FII'!$A$2:$N$404,9,0)/100,0)</f>
        <v>0.155</v>
      </c>
      <c r="H101" s="13">
        <f>IFERROR(VLOOKUP(B101,'STATUS INVEST FII'!$A$2:$N$404,10,0)/100,0)</f>
        <v>4.2699999999999995E-2</v>
      </c>
      <c r="I101" s="20">
        <f>IFERROR(VLOOKUP(B101,'STATUS INVEST FII'!$A$2:$N$404,11,0),0)</f>
        <v>109089410.72</v>
      </c>
      <c r="J101" s="45" t="str">
        <f>IFERROR(VLOOKUP(B101,'ATIVOS-GESTÃO'!$A$1:$C$329,2),"-")</f>
        <v>MONO</v>
      </c>
      <c r="K101" s="45" t="str">
        <f>IFERROR(VLOOKUP(B101,'ATIVOS-GESTÃO'!$A$1:$C$329,3),"-")</f>
        <v>MULTI</v>
      </c>
      <c r="L101" s="20" t="str">
        <f>IFERROR(VLOOKUP(B101,'STATUS INVEST FII'!$A$2:$N$404,13,0),"-")</f>
        <v>Ativa</v>
      </c>
      <c r="M101" s="20" t="str">
        <f>IFERROR(VLOOKUP(B101,'DATA-COM'!A:B,2,FALSE),"-")</f>
        <v>-</v>
      </c>
      <c r="N101" s="51">
        <f>IFERROR(VLOOKUP(B101,'STATUS INVEST FII'!$A$2:$N$404,12,0),"-")</f>
        <v>1504</v>
      </c>
      <c r="O101" s="54">
        <f>IFERROR(VLOOKUP(B101,'STATUS INVEST FII'!$A$2:$N$404,7,0),0)</f>
        <v>60942.32</v>
      </c>
    </row>
    <row r="102" spans="2:15" x14ac:dyDescent="0.25">
      <c r="B102" s="126" t="s">
        <v>133</v>
      </c>
      <c r="C102" s="9">
        <f>IFERROR(VLOOKUP(B102,'STATUS INVEST FII'!$A$2:$N$404,2,0),0)</f>
        <v>69.510000000000005</v>
      </c>
      <c r="D102" s="10">
        <f>IFERROR(VLOOKUP(B102,'STATUS INVEST FII'!$A$2:$N$404,4,0)/100,0)</f>
        <v>8.1000000000000003E-2</v>
      </c>
      <c r="E102" s="11">
        <f>IFERROR(VLOOKUP(B102,'STATUS INVEST FII'!$A$2:$N$404,6,0),0)</f>
        <v>0.66</v>
      </c>
      <c r="F102" s="12">
        <f>IFERROR(VLOOKUP(B102,'STATUS INVEST FII'!$A$2:$N$404,8,0)/100,0)</f>
        <v>1.52E-2</v>
      </c>
      <c r="G102" s="13">
        <f>IFERROR(VLOOKUP(B102,'STATUS INVEST FII'!$A$2:$N$404,9,0)/100,0)</f>
        <v>-1.11E-2</v>
      </c>
      <c r="H102" s="13">
        <f>IFERROR(VLOOKUP(B102,'STATUS INVEST FII'!$A$2:$N$404,10,0)/100,0)</f>
        <v>-0.1308</v>
      </c>
      <c r="I102" s="20">
        <f>IFERROR(VLOOKUP(B102,'STATUS INVEST FII'!$A$2:$N$404,11,0),0)</f>
        <v>2809345315.52</v>
      </c>
      <c r="J102" s="45" t="str">
        <f>IFERROR(VLOOKUP(B102,'ATIVOS-GESTÃO'!$A$1:$C$329,2),"-")</f>
        <v>MULTI</v>
      </c>
      <c r="K102" s="45" t="str">
        <f>IFERROR(VLOOKUP(B102,'ATIVOS-GESTÃO'!$A$1:$C$329,3),"-")</f>
        <v>MULTI</v>
      </c>
      <c r="L102" s="20" t="str">
        <f>IFERROR(VLOOKUP(B102,'STATUS INVEST FII'!$A$2:$N$404,13,0),"-")</f>
        <v>Ativa</v>
      </c>
      <c r="M102" s="20" t="str">
        <f>IFERROR(VLOOKUP(B102,'DATA-COM'!A:B,2,FALSE),"-")</f>
        <v xml:space="preserve">Quinto </v>
      </c>
      <c r="N102" s="51">
        <f>IFERROR(VLOOKUP(B102,'STATUS INVEST FII'!$A$2:$N$404,12,0),"-")</f>
        <v>133749</v>
      </c>
      <c r="O102" s="54">
        <f>IFERROR(VLOOKUP(B102,'STATUS INVEST FII'!$A$2:$N$404,7,0),0)</f>
        <v>1902775.85</v>
      </c>
    </row>
    <row r="103" spans="2:15" x14ac:dyDescent="0.25">
      <c r="B103" s="126" t="s">
        <v>252</v>
      </c>
      <c r="C103" s="9">
        <f>IFERROR(VLOOKUP(B103,'STATUS INVEST FII'!$A$2:$N$404,2,0),0)</f>
        <v>95.5</v>
      </c>
      <c r="D103" s="10">
        <f>IFERROR(VLOOKUP(B103,'STATUS INVEST FII'!$A$2:$N$404,4,0)/100,0)</f>
        <v>6.6900000000000001E-2</v>
      </c>
      <c r="E103" s="11">
        <f>IFERROR(VLOOKUP(B103,'STATUS INVEST FII'!$A$2:$N$404,6,0),0)</f>
        <v>0.87</v>
      </c>
      <c r="F103" s="12">
        <f>IFERROR(VLOOKUP(B103,'STATUS INVEST FII'!$A$2:$N$404,8,0)/100,0)</f>
        <v>8.8000000000000005E-3</v>
      </c>
      <c r="G103" s="13">
        <f>IFERROR(VLOOKUP(B103,'STATUS INVEST FII'!$A$2:$N$404,9,0)/100,0)</f>
        <v>0</v>
      </c>
      <c r="H103" s="13">
        <f>IFERROR(VLOOKUP(B103,'STATUS INVEST FII'!$A$2:$N$404,10,0)/100,0)</f>
        <v>0</v>
      </c>
      <c r="I103" s="20">
        <f>IFERROR(VLOOKUP(B103,'STATUS INVEST FII'!$A$2:$N$404,11,0),0)</f>
        <v>106226638.2</v>
      </c>
      <c r="J103" s="45" t="str">
        <f>IFERROR(VLOOKUP(B103,'ATIVOS-GESTÃO'!$A$1:$C$329,2),"-")</f>
        <v>MULTI</v>
      </c>
      <c r="K103" s="45" t="str">
        <f>IFERROR(VLOOKUP(B103,'ATIVOS-GESTÃO'!$A$1:$C$329,3),"-")</f>
        <v>MULTI</v>
      </c>
      <c r="L103" s="20" t="str">
        <f>IFERROR(VLOOKUP(B103,'STATUS INVEST FII'!$A$2:$N$404,13,0),"-")</f>
        <v>Ativa</v>
      </c>
      <c r="M103" s="20" t="str">
        <f>IFERROR(VLOOKUP(B103,'DATA-COM'!A:B,2,FALSE),"-")</f>
        <v xml:space="preserve">Quarto </v>
      </c>
      <c r="N103" s="51">
        <f>IFERROR(VLOOKUP(B103,'STATUS INVEST FII'!$A$2:$N$404,12,0),"-")</f>
        <v>118</v>
      </c>
      <c r="O103" s="54">
        <f>IFERROR(VLOOKUP(B103,'STATUS INVEST FII'!$A$2:$N$404,7,0),0)</f>
        <v>6182.44</v>
      </c>
    </row>
    <row r="104" spans="2:15" x14ac:dyDescent="0.25">
      <c r="B104" s="126" t="s">
        <v>334</v>
      </c>
      <c r="C104" s="9">
        <f>IFERROR(VLOOKUP(B104,'STATUS INVEST FII'!$A$2:$N$404,2,0),0)</f>
        <v>107</v>
      </c>
      <c r="D104" s="10">
        <f>IFERROR(VLOOKUP(B104,'STATUS INVEST FII'!$A$2:$N$404,4,0)/100,0)</f>
        <v>2.2400000000000003E-2</v>
      </c>
      <c r="E104" s="11">
        <f>IFERROR(VLOOKUP(B104,'STATUS INVEST FII'!$A$2:$N$404,6,0),0)</f>
        <v>0.99</v>
      </c>
      <c r="F104" s="12">
        <f>IFERROR(VLOOKUP(B104,'STATUS INVEST FII'!$A$2:$N$404,8,0)/100,0)</f>
        <v>2.6099999999999998E-2</v>
      </c>
      <c r="G104" s="13">
        <f>IFERROR(VLOOKUP(B104,'STATUS INVEST FII'!$A$2:$N$404,9,0)/100,0)</f>
        <v>0</v>
      </c>
      <c r="H104" s="13">
        <f>IFERROR(VLOOKUP(B104,'STATUS INVEST FII'!$A$2:$N$404,10,0)/100,0)</f>
        <v>0</v>
      </c>
      <c r="I104" s="20">
        <f>IFERROR(VLOOKUP(B104,'STATUS INVEST FII'!$A$2:$N$404,11,0),0)</f>
        <v>87850836.629999995</v>
      </c>
      <c r="J104" s="45" t="str">
        <f>IFERROR(VLOOKUP(B104,'ATIVOS-GESTÃO'!$A$1:$C$329,2),"-")</f>
        <v xml:space="preserve">MONO </v>
      </c>
      <c r="K104" s="45" t="str">
        <f>IFERROR(VLOOKUP(B104,'ATIVOS-GESTÃO'!$A$1:$C$329,3),"-")</f>
        <v>MULTI</v>
      </c>
      <c r="L104" s="20" t="str">
        <f>IFERROR(VLOOKUP(B104,'STATUS INVEST FII'!$A$2:$N$404,13,0),"-")</f>
        <v>Passiva</v>
      </c>
      <c r="M104" s="20" t="str">
        <f>IFERROR(VLOOKUP(B104,'DATA-COM'!A:B,2,FALSE),"-")</f>
        <v xml:space="preserve">Último </v>
      </c>
      <c r="N104" s="51">
        <f>IFERROR(VLOOKUP(B104,'STATUS INVEST FII'!$A$2:$N$404,12,0),"-")</f>
        <v>59</v>
      </c>
      <c r="O104" s="54">
        <f>IFERROR(VLOOKUP(B104,'STATUS INVEST FII'!$A$2:$N$404,7,0),0)</f>
        <v>321</v>
      </c>
    </row>
    <row r="105" spans="2:15" x14ac:dyDescent="0.25">
      <c r="B105" s="126" t="s">
        <v>61</v>
      </c>
      <c r="C105" s="9">
        <f>IFERROR(VLOOKUP(B105,'STATUS INVEST FII'!$A$2:$N$404,2,0),0)</f>
        <v>63.17</v>
      </c>
      <c r="D105" s="10">
        <f>IFERROR(VLOOKUP(B105,'STATUS INVEST FII'!$A$2:$N$404,4,0)/100,0)</f>
        <v>0.12640000000000001</v>
      </c>
      <c r="E105" s="11">
        <f>IFERROR(VLOOKUP(B105,'STATUS INVEST FII'!$A$2:$N$404,6,0),0)</f>
        <v>0.7</v>
      </c>
      <c r="F105" s="12">
        <f>IFERROR(VLOOKUP(B105,'STATUS INVEST FII'!$A$2:$N$404,8,0)/100,0)</f>
        <v>8.6999999999999994E-3</v>
      </c>
      <c r="G105" s="13">
        <f>IFERROR(VLOOKUP(B105,'STATUS INVEST FII'!$A$2:$N$404,9,0)/100,0)</f>
        <v>0.1</v>
      </c>
      <c r="H105" s="13">
        <f>IFERROR(VLOOKUP(B105,'STATUS INVEST FII'!$A$2:$N$404,10,0)/100,0)</f>
        <v>-2.9399999999999999E-2</v>
      </c>
      <c r="I105" s="20">
        <f>IFERROR(VLOOKUP(B105,'STATUS INVEST FII'!$A$2:$N$404,11,0),0)</f>
        <v>128072388.55</v>
      </c>
      <c r="J105" s="45" t="str">
        <f>IFERROR(VLOOKUP(B105,'ATIVOS-GESTÃO'!$A$1:$C$329,2),"-")</f>
        <v>MULTI</v>
      </c>
      <c r="K105" s="45" t="str">
        <f>IFERROR(VLOOKUP(B105,'ATIVOS-GESTÃO'!$A$1:$C$329,3),"-")</f>
        <v>MULTI</v>
      </c>
      <c r="L105" s="20" t="str">
        <f>IFERROR(VLOOKUP(B105,'STATUS INVEST FII'!$A$2:$N$404,13,0),"-")</f>
        <v>Passiva</v>
      </c>
      <c r="M105" s="20" t="str">
        <f>IFERROR(VLOOKUP(B105,'DATA-COM'!A:B,2,FALSE),"-")</f>
        <v xml:space="preserve">Último </v>
      </c>
      <c r="N105" s="51">
        <f>IFERROR(VLOOKUP(B105,'STATUS INVEST FII'!$A$2:$N$404,12,0),"-")</f>
        <v>4111</v>
      </c>
      <c r="O105" s="54">
        <f>IFERROR(VLOOKUP(B105,'STATUS INVEST FII'!$A$2:$N$404,7,0),0)</f>
        <v>63683.53</v>
      </c>
    </row>
    <row r="106" spans="2:15" x14ac:dyDescent="0.25">
      <c r="B106" s="126" t="s">
        <v>62</v>
      </c>
      <c r="C106" s="9">
        <f>IFERROR(VLOOKUP(B106,'STATUS INVEST FII'!$A$2:$N$404,2,0),0)</f>
        <v>55.8</v>
      </c>
      <c r="D106" s="10">
        <f>IFERROR(VLOOKUP(B106,'STATUS INVEST FII'!$A$2:$N$404,4,0)/100,0)</f>
        <v>9.6000000000000002E-2</v>
      </c>
      <c r="E106" s="11">
        <f>IFERROR(VLOOKUP(B106,'STATUS INVEST FII'!$A$2:$N$404,6,0),0)</f>
        <v>0.63</v>
      </c>
      <c r="F106" s="12">
        <f>IFERROR(VLOOKUP(B106,'STATUS INVEST FII'!$A$2:$N$404,8,0)/100,0)</f>
        <v>2.0499999999999997E-2</v>
      </c>
      <c r="G106" s="13">
        <f>IFERROR(VLOOKUP(B106,'STATUS INVEST FII'!$A$2:$N$404,9,0)/100,0)</f>
        <v>-6.5299999999999997E-2</v>
      </c>
      <c r="H106" s="13">
        <f>IFERROR(VLOOKUP(B106,'STATUS INVEST FII'!$A$2:$N$404,10,0)/100,0)</f>
        <v>-0.1231</v>
      </c>
      <c r="I106" s="20">
        <f>IFERROR(VLOOKUP(B106,'STATUS INVEST FII'!$A$2:$N$404,11,0),0)</f>
        <v>164257961.41999999</v>
      </c>
      <c r="J106" s="45" t="str">
        <f>IFERROR(VLOOKUP(B106,'ATIVOS-GESTÃO'!$A$1:$C$329,2),"-")</f>
        <v>MONO</v>
      </c>
      <c r="K106" s="45" t="str">
        <f>IFERROR(VLOOKUP(B106,'ATIVOS-GESTÃO'!$A$1:$C$329,3),"-")</f>
        <v>MULTI</v>
      </c>
      <c r="L106" s="20" t="str">
        <f>IFERROR(VLOOKUP(B106,'STATUS INVEST FII'!$A$2:$N$404,13,0),"-")</f>
        <v>Passiva</v>
      </c>
      <c r="M106" s="20" t="str">
        <f>IFERROR(VLOOKUP(B106,'DATA-COM'!A:B,2,FALSE),"-")</f>
        <v xml:space="preserve">Quinto </v>
      </c>
      <c r="N106" s="51">
        <f>IFERROR(VLOOKUP(B106,'STATUS INVEST FII'!$A$2:$N$404,12,0),"-")</f>
        <v>5842</v>
      </c>
      <c r="O106" s="54">
        <f>IFERROR(VLOOKUP(B106,'STATUS INVEST FII'!$A$2:$N$404,7,0),0)</f>
        <v>53994.26</v>
      </c>
    </row>
    <row r="107" spans="2:15" x14ac:dyDescent="0.25">
      <c r="B107" s="126" t="s">
        <v>308</v>
      </c>
      <c r="C107" s="9">
        <f>IFERROR(VLOOKUP(B107,'STATUS INVEST FII'!$A$2:$N$404,2,0),0)</f>
        <v>72.989999999999995</v>
      </c>
      <c r="D107" s="10">
        <f>IFERROR(VLOOKUP(B107,'STATUS INVEST FII'!$A$2:$N$404,4,0)/100,0)</f>
        <v>0</v>
      </c>
      <c r="E107" s="11">
        <f>IFERROR(VLOOKUP(B107,'STATUS INVEST FII'!$A$2:$N$404,6,0),0)</f>
        <v>1.1299999999999999</v>
      </c>
      <c r="F107" s="12">
        <f>IFERROR(VLOOKUP(B107,'STATUS INVEST FII'!$A$2:$N$404,8,0)/100,0)</f>
        <v>3.6000000000000004E-2</v>
      </c>
      <c r="G107" s="13">
        <f>IFERROR(VLOOKUP(B107,'STATUS INVEST FII'!$A$2:$N$404,9,0)/100,0)</f>
        <v>0</v>
      </c>
      <c r="H107" s="13">
        <f>IFERROR(VLOOKUP(B107,'STATUS INVEST FII'!$A$2:$N$404,10,0)/100,0)</f>
        <v>9.0999999999999998E-2</v>
      </c>
      <c r="I107" s="20">
        <f>IFERROR(VLOOKUP(B107,'STATUS INVEST FII'!$A$2:$N$404,11,0),0)</f>
        <v>186170353.94</v>
      </c>
      <c r="J107" s="45" t="str">
        <f>IFERROR(VLOOKUP(B107,'ATIVOS-GESTÃO'!$A$1:$C$329,2),"-")</f>
        <v>MONO</v>
      </c>
      <c r="K107" s="45" t="str">
        <f>IFERROR(VLOOKUP(B107,'ATIVOS-GESTÃO'!$A$1:$C$329,3),"-")</f>
        <v>MONO</v>
      </c>
      <c r="L107" s="20" t="str">
        <f>IFERROR(VLOOKUP(B107,'STATUS INVEST FII'!$A$2:$N$404,13,0),"-")</f>
        <v>Passiva</v>
      </c>
      <c r="M107" s="20" t="str">
        <f>IFERROR(VLOOKUP(B107,'DATA-COM'!A:B,2,FALSE),"-")</f>
        <v xml:space="preserve">Último </v>
      </c>
      <c r="N107" s="51">
        <f>IFERROR(VLOOKUP(B107,'STATUS INVEST FII'!$A$2:$N$404,12,0),"-")</f>
        <v>1377</v>
      </c>
      <c r="O107" s="54">
        <f>IFERROR(VLOOKUP(B107,'STATUS INVEST FII'!$A$2:$N$404,7,0),0)</f>
        <v>209832.16</v>
      </c>
    </row>
    <row r="108" spans="2:15" x14ac:dyDescent="0.25">
      <c r="B108" s="126" t="s">
        <v>63</v>
      </c>
      <c r="C108" s="9">
        <f>IFERROR(VLOOKUP(B108,'STATUS INVEST FII'!$A$2:$N$404,2,0),0)</f>
        <v>33.82</v>
      </c>
      <c r="D108" s="10">
        <f>IFERROR(VLOOKUP(B108,'STATUS INVEST FII'!$A$2:$N$404,4,0)/100,0)</f>
        <v>3.9E-2</v>
      </c>
      <c r="E108" s="11">
        <f>IFERROR(VLOOKUP(B108,'STATUS INVEST FII'!$A$2:$N$404,6,0),0)</f>
        <v>0.39</v>
      </c>
      <c r="F108" s="12">
        <f>IFERROR(VLOOKUP(B108,'STATUS INVEST FII'!$A$2:$N$404,8,0)/100,0)</f>
        <v>5.7200000000000001E-2</v>
      </c>
      <c r="G108" s="13">
        <f>IFERROR(VLOOKUP(B108,'STATUS INVEST FII'!$A$2:$N$404,9,0)/100,0)</f>
        <v>-0.152</v>
      </c>
      <c r="H108" s="13">
        <f>IFERROR(VLOOKUP(B108,'STATUS INVEST FII'!$A$2:$N$404,10,0)/100,0)</f>
        <v>-0.23850000000000002</v>
      </c>
      <c r="I108" s="20">
        <f>IFERROR(VLOOKUP(B108,'STATUS INVEST FII'!$A$2:$N$404,11,0),0)</f>
        <v>255388232.33000001</v>
      </c>
      <c r="J108" s="45" t="str">
        <f>IFERROR(VLOOKUP(B108,'ATIVOS-GESTÃO'!$A$1:$C$329,2),"-")</f>
        <v>MONO</v>
      </c>
      <c r="K108" s="45" t="str">
        <f>IFERROR(VLOOKUP(B108,'ATIVOS-GESTÃO'!$A$1:$C$329,3),"-")</f>
        <v>MULTI</v>
      </c>
      <c r="L108" s="20" t="str">
        <f>IFERROR(VLOOKUP(B108,'STATUS INVEST FII'!$A$2:$N$404,13,0),"-")</f>
        <v>Passiva</v>
      </c>
      <c r="M108" s="20" t="str">
        <f>IFERROR(VLOOKUP(B108,'DATA-COM'!A:B,2,FALSE),"-")</f>
        <v xml:space="preserve">Décimo Quarto </v>
      </c>
      <c r="N108" s="51">
        <f>IFERROR(VLOOKUP(B108,'STATUS INVEST FII'!$A$2:$N$404,12,0),"-")</f>
        <v>2199</v>
      </c>
      <c r="O108" s="54">
        <f>IFERROR(VLOOKUP(B108,'STATUS INVEST FII'!$A$2:$N$404,7,0),0)</f>
        <v>14814.38</v>
      </c>
    </row>
    <row r="109" spans="2:15" x14ac:dyDescent="0.25">
      <c r="B109" s="126" t="s">
        <v>349</v>
      </c>
      <c r="C109" s="9">
        <f>IFERROR(VLOOKUP(B109,'STATUS INVEST FII'!$A$2:$N$404,2,0),0)</f>
        <v>94</v>
      </c>
      <c r="D109" s="10">
        <f>IFERROR(VLOOKUP(B109,'STATUS INVEST FII'!$A$2:$N$404,4,0)/100,0)</f>
        <v>0.11269999999999999</v>
      </c>
      <c r="E109" s="11">
        <f>IFERROR(VLOOKUP(B109,'STATUS INVEST FII'!$A$2:$N$404,6,0),0)</f>
        <v>1.01</v>
      </c>
      <c r="F109" s="12">
        <f>IFERROR(VLOOKUP(B109,'STATUS INVEST FII'!$A$2:$N$404,8,0)/100,0)</f>
        <v>9.4800000000000009E-2</v>
      </c>
      <c r="G109" s="13">
        <f>IFERROR(VLOOKUP(B109,'STATUS INVEST FII'!$A$2:$N$404,9,0)/100,0)</f>
        <v>0</v>
      </c>
      <c r="H109" s="13">
        <f>IFERROR(VLOOKUP(B109,'STATUS INVEST FII'!$A$2:$N$404,10,0)/100,0)</f>
        <v>0</v>
      </c>
      <c r="I109" s="20">
        <f>IFERROR(VLOOKUP(B109,'STATUS INVEST FII'!$A$2:$N$404,11,0),0)</f>
        <v>87421299.180000007</v>
      </c>
      <c r="J109" s="45" t="str">
        <f>IFERROR(VLOOKUP(B109,'ATIVOS-GESTÃO'!$A$1:$C$329,2),"-")</f>
        <v>-</v>
      </c>
      <c r="K109" s="45" t="str">
        <f>IFERROR(VLOOKUP(B109,'ATIVOS-GESTÃO'!$A$1:$C$329,3),"-")</f>
        <v>-</v>
      </c>
      <c r="L109" s="20" t="str">
        <f>IFERROR(VLOOKUP(B109,'STATUS INVEST FII'!$A$2:$N$404,13,0),"-")</f>
        <v>Ativa</v>
      </c>
      <c r="M109" s="20" t="str">
        <f>IFERROR(VLOOKUP(B109,'DATA-COM'!A:B,2,FALSE),"-")</f>
        <v xml:space="preserve">Décimo </v>
      </c>
      <c r="N109" s="51">
        <f>IFERROR(VLOOKUP(B109,'STATUS INVEST FII'!$A$2:$N$404,12,0),"-")</f>
        <v>253</v>
      </c>
      <c r="O109" s="54">
        <f>IFERROR(VLOOKUP(B109,'STATUS INVEST FII'!$A$2:$N$404,7,0),0)</f>
        <v>14144.88</v>
      </c>
    </row>
    <row r="110" spans="2:15" x14ac:dyDescent="0.25">
      <c r="B110" s="126" t="s">
        <v>64</v>
      </c>
      <c r="C110" s="9">
        <f>IFERROR(VLOOKUP(B110,'STATUS INVEST FII'!$A$2:$N$404,2,0),0)</f>
        <v>22.59</v>
      </c>
      <c r="D110" s="10">
        <f>IFERROR(VLOOKUP(B110,'STATUS INVEST FII'!$A$2:$N$404,4,0)/100,0)</f>
        <v>1.44E-2</v>
      </c>
      <c r="E110" s="11">
        <f>IFERROR(VLOOKUP(B110,'STATUS INVEST FII'!$A$2:$N$404,6,0),0)</f>
        <v>0.51</v>
      </c>
      <c r="F110" s="12">
        <f>IFERROR(VLOOKUP(B110,'STATUS INVEST FII'!$A$2:$N$404,8,0)/100,0)</f>
        <v>6.4100000000000004E-2</v>
      </c>
      <c r="G110" s="13">
        <f>IFERROR(VLOOKUP(B110,'STATUS INVEST FII'!$A$2:$N$404,9,0)/100,0)</f>
        <v>-0.23800000000000002</v>
      </c>
      <c r="H110" s="13">
        <f>IFERROR(VLOOKUP(B110,'STATUS INVEST FII'!$A$2:$N$404,10,0)/100,0)</f>
        <v>-0.30409999999999998</v>
      </c>
      <c r="I110" s="20">
        <f>IFERROR(VLOOKUP(B110,'STATUS INVEST FII'!$A$2:$N$404,11,0),0)</f>
        <v>119008191.84</v>
      </c>
      <c r="J110" s="45" t="str">
        <f>IFERROR(VLOOKUP(B110,'ATIVOS-GESTÃO'!$A$1:$C$329,2),"-")</f>
        <v>MONO</v>
      </c>
      <c r="K110" s="45" t="str">
        <f>IFERROR(VLOOKUP(B110,'ATIVOS-GESTÃO'!$A$1:$C$329,3),"-")</f>
        <v>MULTI</v>
      </c>
      <c r="L110" s="20" t="str">
        <f>IFERROR(VLOOKUP(B110,'STATUS INVEST FII'!$A$2:$N$404,13,0),"-")</f>
        <v>Passiva</v>
      </c>
      <c r="M110" s="20" t="str">
        <f>IFERROR(VLOOKUP(B110,'DATA-COM'!A:B,2,FALSE),"-")</f>
        <v xml:space="preserve">Último </v>
      </c>
      <c r="N110" s="51">
        <f>IFERROR(VLOOKUP(B110,'STATUS INVEST FII'!$A$2:$N$404,12,0),"-")</f>
        <v>3633</v>
      </c>
      <c r="O110" s="54">
        <f>IFERROR(VLOOKUP(B110,'STATUS INVEST FII'!$A$2:$N$404,7,0),0)</f>
        <v>12950.29</v>
      </c>
    </row>
    <row r="111" spans="2:15" x14ac:dyDescent="0.25">
      <c r="B111" s="126" t="s">
        <v>139</v>
      </c>
      <c r="C111" s="9">
        <f>IFERROR(VLOOKUP(B111,'STATUS INVEST FII'!$A$2:$N$404,2,0),0)</f>
        <v>42.99</v>
      </c>
      <c r="D111" s="10">
        <f>IFERROR(VLOOKUP(B111,'STATUS INVEST FII'!$A$2:$N$404,4,0)/100,0)</f>
        <v>0.20230000000000001</v>
      </c>
      <c r="E111" s="11">
        <f>IFERROR(VLOOKUP(B111,'STATUS INVEST FII'!$A$2:$N$404,6,0),0)</f>
        <v>0.66</v>
      </c>
      <c r="F111" s="12">
        <f>IFERROR(VLOOKUP(B111,'STATUS INVEST FII'!$A$2:$N$404,8,0)/100,0)</f>
        <v>6.8000000000000005E-2</v>
      </c>
      <c r="G111" s="13">
        <f>IFERROR(VLOOKUP(B111,'STATUS INVEST FII'!$A$2:$N$404,9,0)/100,0)</f>
        <v>-3.1200000000000002E-2</v>
      </c>
      <c r="H111" s="13">
        <f>IFERROR(VLOOKUP(B111,'STATUS INVEST FII'!$A$2:$N$404,10,0)/100,0)</f>
        <v>-0.22089999999999999</v>
      </c>
      <c r="I111" s="20">
        <f>IFERROR(VLOOKUP(B111,'STATUS INVEST FII'!$A$2:$N$404,11,0),0)</f>
        <v>111009076.91</v>
      </c>
      <c r="J111" s="45" t="str">
        <f>IFERROR(VLOOKUP(B111,'ATIVOS-GESTÃO'!$A$1:$C$329,2),"-")</f>
        <v>MONO</v>
      </c>
      <c r="K111" s="45" t="str">
        <f>IFERROR(VLOOKUP(B111,'ATIVOS-GESTÃO'!$A$1:$C$329,3),"-")</f>
        <v>MONO</v>
      </c>
      <c r="L111" s="20" t="str">
        <f>IFERROR(VLOOKUP(B111,'STATUS INVEST FII'!$A$2:$N$404,13,0),"-")</f>
        <v>Passiva</v>
      </c>
      <c r="M111" s="20" t="str">
        <f>IFERROR(VLOOKUP(B111,'DATA-COM'!A:B,2,FALSE),"-")</f>
        <v xml:space="preserve">Último </v>
      </c>
      <c r="N111" s="51">
        <f>IFERROR(VLOOKUP(B111,'STATUS INVEST FII'!$A$2:$N$404,12,0),"-")</f>
        <v>4515</v>
      </c>
      <c r="O111" s="54">
        <f>IFERROR(VLOOKUP(B111,'STATUS INVEST FII'!$A$2:$N$404,7,0),0)</f>
        <v>34021.32</v>
      </c>
    </row>
    <row r="112" spans="2:15" x14ac:dyDescent="0.25">
      <c r="B112" s="126" t="s">
        <v>324</v>
      </c>
      <c r="C112" s="9">
        <f>IFERROR(VLOOKUP(B112,'STATUS INVEST FII'!$A$2:$N$404,2,0),0)</f>
        <v>78.650000000000006</v>
      </c>
      <c r="D112" s="10">
        <f>IFERROR(VLOOKUP(B112,'STATUS INVEST FII'!$A$2:$N$404,4,0)/100,0)</f>
        <v>8.2500000000000004E-2</v>
      </c>
      <c r="E112" s="11">
        <f>IFERROR(VLOOKUP(B112,'STATUS INVEST FII'!$A$2:$N$404,6,0),0)</f>
        <v>0.83</v>
      </c>
      <c r="F112" s="12">
        <f>IFERROR(VLOOKUP(B112,'STATUS INVEST FII'!$A$2:$N$404,8,0)/100,0)</f>
        <v>1.1299999999999999E-2</v>
      </c>
      <c r="G112" s="13">
        <f>IFERROR(VLOOKUP(B112,'STATUS INVEST FII'!$A$2:$N$404,9,0)/100,0)</f>
        <v>0</v>
      </c>
      <c r="H112" s="13">
        <f>IFERROR(VLOOKUP(B112,'STATUS INVEST FII'!$A$2:$N$404,10,0)/100,0)</f>
        <v>0</v>
      </c>
      <c r="I112" s="20">
        <f>IFERROR(VLOOKUP(B112,'STATUS INVEST FII'!$A$2:$N$404,11,0),0)</f>
        <v>377409172.94999999</v>
      </c>
      <c r="J112" s="45" t="str">
        <f>IFERROR(VLOOKUP(B112,'ATIVOS-GESTÃO'!$A$1:$C$329,2),"-")</f>
        <v>MULTI</v>
      </c>
      <c r="K112" s="45" t="str">
        <f>IFERROR(VLOOKUP(B112,'ATIVOS-GESTÃO'!$A$1:$C$329,3),"-")</f>
        <v>MULTI</v>
      </c>
      <c r="L112" s="20" t="str">
        <f>IFERROR(VLOOKUP(B112,'STATUS INVEST FII'!$A$2:$N$404,13,0),"-")</f>
        <v>Ativa</v>
      </c>
      <c r="M112" s="20" t="str">
        <f>IFERROR(VLOOKUP(B112,'DATA-COM'!A:B,2,FALSE),"-")</f>
        <v xml:space="preserve">Último </v>
      </c>
      <c r="N112" s="51">
        <f>IFERROR(VLOOKUP(B112,'STATUS INVEST FII'!$A$2:$N$404,12,0),"-")</f>
        <v>13139</v>
      </c>
      <c r="O112" s="54">
        <f>IFERROR(VLOOKUP(B112,'STATUS INVEST FII'!$A$2:$N$404,7,0),0)</f>
        <v>184483.76</v>
      </c>
    </row>
    <row r="113" spans="2:15" x14ac:dyDescent="0.25">
      <c r="B113" s="126" t="s">
        <v>65</v>
      </c>
      <c r="C113" s="9">
        <f>IFERROR(VLOOKUP(B113,'STATUS INVEST FII'!$A$2:$N$404,2,0),0)</f>
        <v>439</v>
      </c>
      <c r="D113" s="10">
        <f>IFERROR(VLOOKUP(B113,'STATUS INVEST FII'!$A$2:$N$404,4,0)/100,0)</f>
        <v>0</v>
      </c>
      <c r="E113" s="11">
        <f>IFERROR(VLOOKUP(B113,'STATUS INVEST FII'!$A$2:$N$404,6,0),0)</f>
        <v>4.0599999999999996</v>
      </c>
      <c r="F113" s="12">
        <f>IFERROR(VLOOKUP(B113,'STATUS INVEST FII'!$A$2:$N$404,8,0)/100,0)</f>
        <v>4.3E-3</v>
      </c>
      <c r="G113" s="13">
        <f>IFERROR(VLOOKUP(B113,'STATUS INVEST FII'!$A$2:$N$404,9,0)/100,0)</f>
        <v>0</v>
      </c>
      <c r="H113" s="13">
        <f>IFERROR(VLOOKUP(B113,'STATUS INVEST FII'!$A$2:$N$404,10,0)/100,0)</f>
        <v>-5.4900000000000004E-2</v>
      </c>
      <c r="I113" s="20">
        <f>IFERROR(VLOOKUP(B113,'STATUS INVEST FII'!$A$2:$N$404,11,0),0)</f>
        <v>264567840.53</v>
      </c>
      <c r="J113" s="45" t="str">
        <f>IFERROR(VLOOKUP(B113,'ATIVOS-GESTÃO'!$A$1:$C$329,2),"-")</f>
        <v>MONO</v>
      </c>
      <c r="K113" s="45" t="str">
        <f>IFERROR(VLOOKUP(B113,'ATIVOS-GESTÃO'!$A$1:$C$329,3),"-")</f>
        <v>MULTI</v>
      </c>
      <c r="L113" s="20" t="str">
        <f>IFERROR(VLOOKUP(B113,'STATUS INVEST FII'!$A$2:$N$404,13,0),"-")</f>
        <v>Ativa</v>
      </c>
      <c r="M113" s="20" t="str">
        <f>IFERROR(VLOOKUP(B113,'DATA-COM'!A:B,2,FALSE),"-")</f>
        <v>-</v>
      </c>
      <c r="N113" s="51">
        <f>IFERROR(VLOOKUP(B113,'STATUS INVEST FII'!$A$2:$N$404,12,0),"-")</f>
        <v>1135</v>
      </c>
      <c r="O113" s="54">
        <f>IFERROR(VLOOKUP(B113,'STATUS INVEST FII'!$A$2:$N$404,7,0),0)</f>
        <v>0</v>
      </c>
    </row>
    <row r="114" spans="2:15" x14ac:dyDescent="0.25">
      <c r="B114" s="126" t="s">
        <v>264</v>
      </c>
      <c r="C114" s="9">
        <f>IFERROR(VLOOKUP(B114,'STATUS INVEST FII'!$A$2:$N$404,2,0),0)</f>
        <v>21.39</v>
      </c>
      <c r="D114" s="10">
        <f>IFERROR(VLOOKUP(B114,'STATUS INVEST FII'!$A$2:$N$404,4,0)/100,0)</f>
        <v>0.44450000000000001</v>
      </c>
      <c r="E114" s="11">
        <f>IFERROR(VLOOKUP(B114,'STATUS INVEST FII'!$A$2:$N$404,6,0),0)</f>
        <v>0.02</v>
      </c>
      <c r="F114" s="12">
        <f>IFERROR(VLOOKUP(B114,'STATUS INVEST FII'!$A$2:$N$404,8,0)/100,0)</f>
        <v>2.6000000000000002E-2</v>
      </c>
      <c r="G114" s="13">
        <f>IFERROR(VLOOKUP(B114,'STATUS INVEST FII'!$A$2:$N$404,9,0)/100,0)</f>
        <v>0</v>
      </c>
      <c r="H114" s="13">
        <f>IFERROR(VLOOKUP(B114,'STATUS INVEST FII'!$A$2:$N$404,10,0)/100,0)</f>
        <v>0</v>
      </c>
      <c r="I114" s="20">
        <f>IFERROR(VLOOKUP(B114,'STATUS INVEST FII'!$A$2:$N$404,11,0),0)</f>
        <v>73945727.010000005</v>
      </c>
      <c r="J114" s="45" t="str">
        <f>IFERROR(VLOOKUP(B114,'ATIVOS-GESTÃO'!$A$1:$C$329,2),"-")</f>
        <v>MULTI</v>
      </c>
      <c r="K114" s="45" t="str">
        <f>IFERROR(VLOOKUP(B114,'ATIVOS-GESTÃO'!$A$1:$C$329,3),"-")</f>
        <v>MULTI</v>
      </c>
      <c r="L114" s="20" t="str">
        <f>IFERROR(VLOOKUP(B114,'STATUS INVEST FII'!$A$2:$N$404,13,0),"-")</f>
        <v>Ativa</v>
      </c>
      <c r="M114" s="20" t="str">
        <f>IFERROR(VLOOKUP(B114,'DATA-COM'!A:B,2,FALSE),"-")</f>
        <v>-</v>
      </c>
      <c r="N114" s="51">
        <f>IFERROR(VLOOKUP(B114,'STATUS INVEST FII'!$A$2:$N$404,12,0),"-")</f>
        <v>51</v>
      </c>
      <c r="O114" s="54">
        <f>IFERROR(VLOOKUP(B114,'STATUS INVEST FII'!$A$2:$N$404,7,0),0)</f>
        <v>0</v>
      </c>
    </row>
    <row r="115" spans="2:15" x14ac:dyDescent="0.25">
      <c r="B115" s="126" t="s">
        <v>66</v>
      </c>
      <c r="C115" s="9">
        <f>IFERROR(VLOOKUP(B115,'STATUS INVEST FII'!$A$2:$N$404,2,0),0)</f>
        <v>101</v>
      </c>
      <c r="D115" s="10">
        <f>IFERROR(VLOOKUP(B115,'STATUS INVEST FII'!$A$2:$N$404,4,0)/100,0)</f>
        <v>4.5599999999999995E-2</v>
      </c>
      <c r="E115" s="11">
        <f>IFERROR(VLOOKUP(B115,'STATUS INVEST FII'!$A$2:$N$404,6,0),0)</f>
        <v>0.8</v>
      </c>
      <c r="F115" s="12">
        <f>IFERROR(VLOOKUP(B115,'STATUS INVEST FII'!$A$2:$N$404,8,0)/100,0)</f>
        <v>6.3E-3</v>
      </c>
      <c r="G115" s="13">
        <f>IFERROR(VLOOKUP(B115,'STATUS INVEST FII'!$A$2:$N$404,9,0)/100,0)</f>
        <v>-0.11900000000000001</v>
      </c>
      <c r="H115" s="13">
        <f>IFERROR(VLOOKUP(B115,'STATUS INVEST FII'!$A$2:$N$404,10,0)/100,0)</f>
        <v>-0.14219999999999999</v>
      </c>
      <c r="I115" s="20">
        <f>IFERROR(VLOOKUP(B115,'STATUS INVEST FII'!$A$2:$N$404,11,0),0)</f>
        <v>58147226.590000004</v>
      </c>
      <c r="J115" s="45" t="str">
        <f>IFERROR(VLOOKUP(B115,'ATIVOS-GESTÃO'!$A$1:$C$329,2),"-")</f>
        <v>MULTI</v>
      </c>
      <c r="K115" s="45" t="str">
        <f>IFERROR(VLOOKUP(B115,'ATIVOS-GESTÃO'!$A$1:$C$329,3),"-")</f>
        <v>MULTI</v>
      </c>
      <c r="L115" s="20" t="str">
        <f>IFERROR(VLOOKUP(B115,'STATUS INVEST FII'!$A$2:$N$404,13,0),"-")</f>
        <v>Ativa</v>
      </c>
      <c r="M115" s="20" t="str">
        <f>IFERROR(VLOOKUP(B115,'DATA-COM'!A:B,2,FALSE),"-")</f>
        <v xml:space="preserve">Quarto </v>
      </c>
      <c r="N115" s="51">
        <f>IFERROR(VLOOKUP(B115,'STATUS INVEST FII'!$A$2:$N$404,12,0),"-")</f>
        <v>323</v>
      </c>
      <c r="O115" s="54">
        <f>IFERROR(VLOOKUP(B115,'STATUS INVEST FII'!$A$2:$N$404,7,0),0)</f>
        <v>865.22</v>
      </c>
    </row>
    <row r="116" spans="2:15" x14ac:dyDescent="0.25">
      <c r="B116" s="126" t="s">
        <v>67</v>
      </c>
      <c r="C116" s="9">
        <f>IFERROR(VLOOKUP(B116,'STATUS INVEST FII'!$A$2:$N$404,2,0),0)</f>
        <v>219.5</v>
      </c>
      <c r="D116" s="10">
        <f>IFERROR(VLOOKUP(B116,'STATUS INVEST FII'!$A$2:$N$404,4,0)/100,0)</f>
        <v>7.6200000000000004E-2</v>
      </c>
      <c r="E116" s="11">
        <f>IFERROR(VLOOKUP(B116,'STATUS INVEST FII'!$A$2:$N$404,6,0),0)</f>
        <v>1.1499999999999999</v>
      </c>
      <c r="F116" s="12">
        <f>IFERROR(VLOOKUP(B116,'STATUS INVEST FII'!$A$2:$N$404,8,0)/100,0)</f>
        <v>1.46E-2</v>
      </c>
      <c r="G116" s="13">
        <f>IFERROR(VLOOKUP(B116,'STATUS INVEST FII'!$A$2:$N$404,9,0)/100,0)</f>
        <v>-5.9000000000000004E-2</v>
      </c>
      <c r="H116" s="13">
        <f>IFERROR(VLOOKUP(B116,'STATUS INVEST FII'!$A$2:$N$404,10,0)/100,0)</f>
        <v>-9.6199999999999994E-2</v>
      </c>
      <c r="I116" s="20">
        <f>IFERROR(VLOOKUP(B116,'STATUS INVEST FII'!$A$2:$N$404,11,0),0)</f>
        <v>45257589.670000002</v>
      </c>
      <c r="J116" s="45" t="str">
        <f>IFERROR(VLOOKUP(B116,'ATIVOS-GESTÃO'!$A$1:$C$329,2),"-")</f>
        <v>MONO</v>
      </c>
      <c r="K116" s="45" t="str">
        <f>IFERROR(VLOOKUP(B116,'ATIVOS-GESTÃO'!$A$1:$C$329,3),"-")</f>
        <v>MULTI</v>
      </c>
      <c r="L116" s="20" t="str">
        <f>IFERROR(VLOOKUP(B116,'STATUS INVEST FII'!$A$2:$N$404,13,0),"-")</f>
        <v>Passiva</v>
      </c>
      <c r="M116" s="20" t="str">
        <f>IFERROR(VLOOKUP(B116,'DATA-COM'!A:B,2,FALSE),"-")</f>
        <v xml:space="preserve">Último </v>
      </c>
      <c r="N116" s="51">
        <f>IFERROR(VLOOKUP(B116,'STATUS INVEST FII'!$A$2:$N$404,12,0),"-")</f>
        <v>563</v>
      </c>
      <c r="O116" s="54">
        <f>IFERROR(VLOOKUP(B116,'STATUS INVEST FII'!$A$2:$N$404,7,0),0)</f>
        <v>6961.43</v>
      </c>
    </row>
    <row r="117" spans="2:15" x14ac:dyDescent="0.25">
      <c r="B117" s="126" t="s">
        <v>68</v>
      </c>
      <c r="C117" s="9">
        <f>IFERROR(VLOOKUP(B117,'STATUS INVEST FII'!$A$2:$N$404,2,0),0)</f>
        <v>21.93</v>
      </c>
      <c r="D117" s="10">
        <f>IFERROR(VLOOKUP(B117,'STATUS INVEST FII'!$A$2:$N$404,4,0)/100,0)</f>
        <v>7.1399999999999991E-2</v>
      </c>
      <c r="E117" s="11">
        <f>IFERROR(VLOOKUP(B117,'STATUS INVEST FII'!$A$2:$N$404,6,0),0)</f>
        <v>0.33</v>
      </c>
      <c r="F117" s="12">
        <f>IFERROR(VLOOKUP(B117,'STATUS INVEST FII'!$A$2:$N$404,8,0)/100,0)</f>
        <v>1.1699999999999999E-2</v>
      </c>
      <c r="G117" s="13">
        <f>IFERROR(VLOOKUP(B117,'STATUS INVEST FII'!$A$2:$N$404,9,0)/100,0)</f>
        <v>-0.14510000000000001</v>
      </c>
      <c r="H117" s="13">
        <f>IFERROR(VLOOKUP(B117,'STATUS INVEST FII'!$A$2:$N$404,10,0)/100,0)</f>
        <v>-0.23449999999999999</v>
      </c>
      <c r="I117" s="20">
        <f>IFERROR(VLOOKUP(B117,'STATUS INVEST FII'!$A$2:$N$404,11,0),0)</f>
        <v>252437307.08000001</v>
      </c>
      <c r="J117" s="45" t="str">
        <f>IFERROR(VLOOKUP(B117,'ATIVOS-GESTÃO'!$A$1:$C$329,2),"-")</f>
        <v>MONO</v>
      </c>
      <c r="K117" s="45" t="str">
        <f>IFERROR(VLOOKUP(B117,'ATIVOS-GESTÃO'!$A$1:$C$329,3),"-")</f>
        <v>MULTI</v>
      </c>
      <c r="L117" s="20" t="str">
        <f>IFERROR(VLOOKUP(B117,'STATUS INVEST FII'!$A$2:$N$404,13,0),"-")</f>
        <v>Passiva</v>
      </c>
      <c r="M117" s="20" t="str">
        <f>IFERROR(VLOOKUP(B117,'DATA-COM'!A:B,2,FALSE),"-")</f>
        <v xml:space="preserve">Décimo Sexto </v>
      </c>
      <c r="N117" s="51">
        <f>IFERROR(VLOOKUP(B117,'STATUS INVEST FII'!$A$2:$N$404,12,0),"-")</f>
        <v>6710</v>
      </c>
      <c r="O117" s="54">
        <f>IFERROR(VLOOKUP(B117,'STATUS INVEST FII'!$A$2:$N$404,7,0),0)</f>
        <v>46894.62</v>
      </c>
    </row>
    <row r="118" spans="2:15" x14ac:dyDescent="0.25">
      <c r="B118" s="126" t="s">
        <v>266</v>
      </c>
      <c r="C118" s="9">
        <f>IFERROR(VLOOKUP(B118,'STATUS INVEST FII'!$A$2:$N$404,2,0),0)</f>
        <v>129.91999999999999</v>
      </c>
      <c r="D118" s="10">
        <f>IFERROR(VLOOKUP(B118,'STATUS INVEST FII'!$A$2:$N$404,4,0)/100,0)</f>
        <v>0</v>
      </c>
      <c r="E118" s="11">
        <f>IFERROR(VLOOKUP(B118,'STATUS INVEST FII'!$A$2:$N$404,6,0),0)</f>
        <v>1.1299999999999999</v>
      </c>
      <c r="F118" s="12">
        <f>IFERROR(VLOOKUP(B118,'STATUS INVEST FII'!$A$2:$N$404,8,0)/100,0)</f>
        <v>5.6000000000000008E-3</v>
      </c>
      <c r="G118" s="13">
        <f>IFERROR(VLOOKUP(B118,'STATUS INVEST FII'!$A$2:$N$404,9,0)/100,0)</f>
        <v>0</v>
      </c>
      <c r="H118" s="13">
        <f>IFERROR(VLOOKUP(B118,'STATUS INVEST FII'!$A$2:$N$404,10,0)/100,0)</f>
        <v>0</v>
      </c>
      <c r="I118" s="20">
        <f>IFERROR(VLOOKUP(B118,'STATUS INVEST FII'!$A$2:$N$404,11,0),0)</f>
        <v>57448544.240000002</v>
      </c>
      <c r="J118" s="45" t="str">
        <f>IFERROR(VLOOKUP(B118,'ATIVOS-GESTÃO'!$A$1:$C$329,2),"-")</f>
        <v>MONO</v>
      </c>
      <c r="K118" s="45" t="str">
        <f>IFERROR(VLOOKUP(B118,'ATIVOS-GESTÃO'!$A$1:$C$329,3),"-")</f>
        <v>MONO</v>
      </c>
      <c r="L118" s="20" t="str">
        <f>IFERROR(VLOOKUP(B118,'STATUS INVEST FII'!$A$2:$N$404,13,0),"-")</f>
        <v>Passiva</v>
      </c>
      <c r="M118" s="20" t="str">
        <f>IFERROR(VLOOKUP(B118,'DATA-COM'!A:B,2,FALSE),"-")</f>
        <v xml:space="preserve">Quinto </v>
      </c>
      <c r="N118" s="51">
        <f>IFERROR(VLOOKUP(B118,'STATUS INVEST FII'!$A$2:$N$404,12,0),"-")</f>
        <v>13</v>
      </c>
      <c r="O118" s="54">
        <f>IFERROR(VLOOKUP(B118,'STATUS INVEST FII'!$A$2:$N$404,7,0),0)</f>
        <v>129</v>
      </c>
    </row>
    <row r="119" spans="2:15" x14ac:dyDescent="0.25">
      <c r="B119" s="126" t="s">
        <v>69</v>
      </c>
      <c r="C119" s="9">
        <f>IFERROR(VLOOKUP(B119,'STATUS INVEST FII'!$A$2:$N$404,2,0),0)</f>
        <v>846.05</v>
      </c>
      <c r="D119" s="10">
        <f>IFERROR(VLOOKUP(B119,'STATUS INVEST FII'!$A$2:$N$404,4,0)/100,0)</f>
        <v>0</v>
      </c>
      <c r="E119" s="11">
        <f>IFERROR(VLOOKUP(B119,'STATUS INVEST FII'!$A$2:$N$404,6,0),0)</f>
        <v>0.27</v>
      </c>
      <c r="F119" s="12">
        <f>IFERROR(VLOOKUP(B119,'STATUS INVEST FII'!$A$2:$N$404,8,0)/100,0)</f>
        <v>6.6199999999999995E-2</v>
      </c>
      <c r="G119" s="13">
        <f>IFERROR(VLOOKUP(B119,'STATUS INVEST FII'!$A$2:$N$404,9,0)/100,0)</f>
        <v>-9.820000000000001E-2</v>
      </c>
      <c r="H119" s="13">
        <f>IFERROR(VLOOKUP(B119,'STATUS INVEST FII'!$A$2:$N$404,10,0)/100,0)</f>
        <v>-0.2702</v>
      </c>
      <c r="I119" s="20">
        <f>IFERROR(VLOOKUP(B119,'STATUS INVEST FII'!$A$2:$N$404,11,0),0)</f>
        <v>327197260.69999999</v>
      </c>
      <c r="J119" s="45" t="str">
        <f>IFERROR(VLOOKUP(B119,'ATIVOS-GESTÃO'!$A$1:$C$329,2),"-")</f>
        <v>MONO</v>
      </c>
      <c r="K119" s="45" t="str">
        <f>IFERROR(VLOOKUP(B119,'ATIVOS-GESTÃO'!$A$1:$C$329,3),"-")</f>
        <v>MONO</v>
      </c>
      <c r="L119" s="20" t="str">
        <f>IFERROR(VLOOKUP(B119,'STATUS INVEST FII'!$A$2:$N$404,13,0),"-")</f>
        <v>Passiva</v>
      </c>
      <c r="M119" s="20" t="str">
        <f>IFERROR(VLOOKUP(B119,'DATA-COM'!A:B,2,FALSE),"-")</f>
        <v xml:space="preserve">Último </v>
      </c>
      <c r="N119" s="51">
        <f>IFERROR(VLOOKUP(B119,'STATUS INVEST FII'!$A$2:$N$404,12,0),"-")</f>
        <v>3126</v>
      </c>
      <c r="O119" s="54">
        <f>IFERROR(VLOOKUP(B119,'STATUS INVEST FII'!$A$2:$N$404,7,0),0)</f>
        <v>127282.44</v>
      </c>
    </row>
    <row r="120" spans="2:15" x14ac:dyDescent="0.25">
      <c r="B120" s="126" t="s">
        <v>142</v>
      </c>
      <c r="C120" s="9">
        <f>IFERROR(VLOOKUP(B120,'STATUS INVEST FII'!$A$2:$N$404,2,0),0)</f>
        <v>101.69</v>
      </c>
      <c r="D120" s="10">
        <f>IFERROR(VLOOKUP(B120,'STATUS INVEST FII'!$A$2:$N$404,4,0)/100,0)</f>
        <v>8.5099999999999995E-2</v>
      </c>
      <c r="E120" s="11">
        <f>IFERROR(VLOOKUP(B120,'STATUS INVEST FII'!$A$2:$N$404,6,0),0)</f>
        <v>0.98</v>
      </c>
      <c r="F120" s="12">
        <f>IFERROR(VLOOKUP(B120,'STATUS INVEST FII'!$A$2:$N$404,8,0)/100,0)</f>
        <v>0.17460000000000001</v>
      </c>
      <c r="G120" s="13">
        <f>IFERROR(VLOOKUP(B120,'STATUS INVEST FII'!$A$2:$N$404,9,0)/100,0)</f>
        <v>0</v>
      </c>
      <c r="H120" s="13">
        <f>IFERROR(VLOOKUP(B120,'STATUS INVEST FII'!$A$2:$N$404,10,0)/100,0)</f>
        <v>0</v>
      </c>
      <c r="I120" s="20">
        <f>IFERROR(VLOOKUP(B120,'STATUS INVEST FII'!$A$2:$N$404,11,0),0)</f>
        <v>82067257.620000005</v>
      </c>
      <c r="J120" s="45" t="str">
        <f>IFERROR(VLOOKUP(B120,'ATIVOS-GESTÃO'!$A$1:$C$329,2),"-")</f>
        <v>MULTI</v>
      </c>
      <c r="K120" s="45" t="str">
        <f>IFERROR(VLOOKUP(B120,'ATIVOS-GESTÃO'!$A$1:$C$329,3),"-")</f>
        <v>MULTI</v>
      </c>
      <c r="L120" s="20" t="str">
        <f>IFERROR(VLOOKUP(B120,'STATUS INVEST FII'!$A$2:$N$404,13,0),"-")</f>
        <v>Ativa</v>
      </c>
      <c r="M120" s="20" t="str">
        <f>IFERROR(VLOOKUP(B120,'DATA-COM'!A:B,2,FALSE),"-")</f>
        <v xml:space="preserve">Quarto </v>
      </c>
      <c r="N120" s="51">
        <f>IFERROR(VLOOKUP(B120,'STATUS INVEST FII'!$A$2:$N$404,12,0),"-")</f>
        <v>370</v>
      </c>
      <c r="O120" s="54">
        <f>IFERROR(VLOOKUP(B120,'STATUS INVEST FII'!$A$2:$N$404,7,0),0)</f>
        <v>12835.77</v>
      </c>
    </row>
    <row r="121" spans="2:15" x14ac:dyDescent="0.25">
      <c r="B121" s="126" t="s">
        <v>238</v>
      </c>
      <c r="C121" s="9">
        <f>IFERROR(VLOOKUP(B121,'STATUS INVEST FII'!$A$2:$N$404,2,0),0)</f>
        <v>165</v>
      </c>
      <c r="D121" s="10">
        <f>IFERROR(VLOOKUP(B121,'STATUS INVEST FII'!$A$2:$N$404,4,0)/100,0)</f>
        <v>1.3100000000000001E-2</v>
      </c>
      <c r="E121" s="11">
        <f>IFERROR(VLOOKUP(B121,'STATUS INVEST FII'!$A$2:$N$404,6,0),0)</f>
        <v>1.0900000000000001</v>
      </c>
      <c r="F121" s="12">
        <f>IFERROR(VLOOKUP(B121,'STATUS INVEST FII'!$A$2:$N$404,8,0)/100,0)</f>
        <v>1E-3</v>
      </c>
      <c r="G121" s="13">
        <f>IFERROR(VLOOKUP(B121,'STATUS INVEST FII'!$A$2:$N$404,9,0)/100,0)</f>
        <v>0</v>
      </c>
      <c r="H121" s="13">
        <f>IFERROR(VLOOKUP(B121,'STATUS INVEST FII'!$A$2:$N$404,10,0)/100,0)</f>
        <v>0</v>
      </c>
      <c r="I121" s="20">
        <f>IFERROR(VLOOKUP(B121,'STATUS INVEST FII'!$A$2:$N$404,11,0),0)</f>
        <v>257260762.05000001</v>
      </c>
      <c r="J121" s="45" t="str">
        <f>IFERROR(VLOOKUP(B121,'ATIVOS-GESTÃO'!$A$1:$C$329,2),"-")</f>
        <v>MULTI</v>
      </c>
      <c r="K121" s="45" t="str">
        <f>IFERROR(VLOOKUP(B121,'ATIVOS-GESTÃO'!$A$1:$C$329,3),"-")</f>
        <v>MULTI</v>
      </c>
      <c r="L121" s="20" t="str">
        <f>IFERROR(VLOOKUP(B121,'STATUS INVEST FII'!$A$2:$N$404,13,0),"-")</f>
        <v>Ativa</v>
      </c>
      <c r="M121" s="20" t="str">
        <f>IFERROR(VLOOKUP(B121,'DATA-COM'!A:B,2,FALSE),"-")</f>
        <v xml:space="preserve">Quarto </v>
      </c>
      <c r="N121" s="51">
        <f>IFERROR(VLOOKUP(B121,'STATUS INVEST FII'!$A$2:$N$404,12,0),"-")</f>
        <v>70</v>
      </c>
      <c r="O121" s="54">
        <f>IFERROR(VLOOKUP(B121,'STATUS INVEST FII'!$A$2:$N$404,7,0),0)</f>
        <v>0</v>
      </c>
    </row>
    <row r="122" spans="2:15" x14ac:dyDescent="0.25">
      <c r="B122" s="126" t="s">
        <v>144</v>
      </c>
      <c r="C122" s="9">
        <f>IFERROR(VLOOKUP(B122,'STATUS INVEST FII'!$A$2:$N$404,2,0),0)</f>
        <v>117.07</v>
      </c>
      <c r="D122" s="10">
        <f>IFERROR(VLOOKUP(B122,'STATUS INVEST FII'!$A$2:$N$404,4,0)/100,0)</f>
        <v>5.6600000000000004E-2</v>
      </c>
      <c r="E122" s="11">
        <f>IFERROR(VLOOKUP(B122,'STATUS INVEST FII'!$A$2:$N$404,6,0),0)</f>
        <v>0.75</v>
      </c>
      <c r="F122" s="12">
        <f>IFERROR(VLOOKUP(B122,'STATUS INVEST FII'!$A$2:$N$404,8,0)/100,0)</f>
        <v>2.5499999999999998E-2</v>
      </c>
      <c r="G122" s="13">
        <f>IFERROR(VLOOKUP(B122,'STATUS INVEST FII'!$A$2:$N$404,9,0)/100,0)</f>
        <v>-8.7599999999999997E-2</v>
      </c>
      <c r="H122" s="13">
        <f>IFERROR(VLOOKUP(B122,'STATUS INVEST FII'!$A$2:$N$404,10,0)/100,0)</f>
        <v>-4.4900000000000002E-2</v>
      </c>
      <c r="I122" s="20">
        <f>IFERROR(VLOOKUP(B122,'STATUS INVEST FII'!$A$2:$N$404,11,0),0)</f>
        <v>216285100.83000001</v>
      </c>
      <c r="J122" s="45" t="str">
        <f>IFERROR(VLOOKUP(B122,'ATIVOS-GESTÃO'!$A$1:$C$329,2),"-")</f>
        <v>MONO</v>
      </c>
      <c r="K122" s="45" t="str">
        <f>IFERROR(VLOOKUP(B122,'ATIVOS-GESTÃO'!$A$1:$C$329,3),"-")</f>
        <v>MONO</v>
      </c>
      <c r="L122" s="20" t="str">
        <f>IFERROR(VLOOKUP(B122,'STATUS INVEST FII'!$A$2:$N$404,13,0),"-")</f>
        <v>Ativa</v>
      </c>
      <c r="M122" s="20" t="str">
        <f>IFERROR(VLOOKUP(B122,'DATA-COM'!A:B,2,FALSE),"-")</f>
        <v xml:space="preserve">Quarto </v>
      </c>
      <c r="N122" s="51">
        <f>IFERROR(VLOOKUP(B122,'STATUS INVEST FII'!$A$2:$N$404,12,0),"-")</f>
        <v>20147</v>
      </c>
      <c r="O122" s="54">
        <f>IFERROR(VLOOKUP(B122,'STATUS INVEST FII'!$A$2:$N$404,7,0),0)</f>
        <v>63993.59</v>
      </c>
    </row>
    <row r="123" spans="2:15" x14ac:dyDescent="0.25">
      <c r="B123" s="126" t="s">
        <v>70</v>
      </c>
      <c r="C123" s="9">
        <f>IFERROR(VLOOKUP(B123,'STATUS INVEST FII'!$A$2:$N$404,2,0),0)</f>
        <v>65.099999999999994</v>
      </c>
      <c r="D123" s="10">
        <f>IFERROR(VLOOKUP(B123,'STATUS INVEST FII'!$A$2:$N$404,4,0)/100,0)</f>
        <v>5.0000000000000001E-4</v>
      </c>
      <c r="E123" s="11">
        <f>IFERROR(VLOOKUP(B123,'STATUS INVEST FII'!$A$2:$N$404,6,0),0)</f>
        <v>0.53</v>
      </c>
      <c r="F123" s="12">
        <f>IFERROR(VLOOKUP(B123,'STATUS INVEST FII'!$A$2:$N$404,8,0)/100,0)</f>
        <v>1.38E-2</v>
      </c>
      <c r="G123" s="13">
        <f>IFERROR(VLOOKUP(B123,'STATUS INVEST FII'!$A$2:$N$404,9,0)/100,0)</f>
        <v>0.20420000000000002</v>
      </c>
      <c r="H123" s="13">
        <f>IFERROR(VLOOKUP(B123,'STATUS INVEST FII'!$A$2:$N$404,10,0)/100,0)</f>
        <v>-5.7599999999999998E-2</v>
      </c>
      <c r="I123" s="20">
        <f>IFERROR(VLOOKUP(B123,'STATUS INVEST FII'!$A$2:$N$404,11,0),0)</f>
        <v>62418791.719999999</v>
      </c>
      <c r="J123" s="45" t="str">
        <f>IFERROR(VLOOKUP(B123,'ATIVOS-GESTÃO'!$A$1:$C$329,2),"-")</f>
        <v>MULTI</v>
      </c>
      <c r="K123" s="45" t="str">
        <f>IFERROR(VLOOKUP(B123,'ATIVOS-GESTÃO'!$A$1:$C$329,3),"-")</f>
        <v>MULTI</v>
      </c>
      <c r="L123" s="20" t="str">
        <f>IFERROR(VLOOKUP(B123,'STATUS INVEST FII'!$A$2:$N$404,13,0),"-")</f>
        <v>Passiva</v>
      </c>
      <c r="M123" s="20" t="str">
        <f>IFERROR(VLOOKUP(B123,'DATA-COM'!A:B,2,FALSE),"-")</f>
        <v>-</v>
      </c>
      <c r="N123" s="51">
        <f>IFERROR(VLOOKUP(B123,'STATUS INVEST FII'!$A$2:$N$404,12,0),"-")</f>
        <v>320</v>
      </c>
      <c r="O123" s="54">
        <f>IFERROR(VLOOKUP(B123,'STATUS INVEST FII'!$A$2:$N$404,7,0),0)</f>
        <v>4940.41</v>
      </c>
    </row>
    <row r="124" spans="2:15" x14ac:dyDescent="0.25">
      <c r="B124" s="126" t="s">
        <v>71</v>
      </c>
      <c r="C124" s="9">
        <f>IFERROR(VLOOKUP(B124,'STATUS INVEST FII'!$A$2:$N$404,2,0),0)</f>
        <v>219</v>
      </c>
      <c r="D124" s="10">
        <f>IFERROR(VLOOKUP(B124,'STATUS INVEST FII'!$A$2:$N$404,4,0)/100,0)</f>
        <v>7.0300000000000001E-2</v>
      </c>
      <c r="E124" s="11">
        <f>IFERROR(VLOOKUP(B124,'STATUS INVEST FII'!$A$2:$N$404,6,0),0)</f>
        <v>0.53</v>
      </c>
      <c r="F124" s="12">
        <f>IFERROR(VLOOKUP(B124,'STATUS INVEST FII'!$A$2:$N$404,8,0)/100,0)</f>
        <v>1.47E-2</v>
      </c>
      <c r="G124" s="13">
        <f>IFERROR(VLOOKUP(B124,'STATUS INVEST FII'!$A$2:$N$404,9,0)/100,0)</f>
        <v>-0.12640000000000001</v>
      </c>
      <c r="H124" s="13">
        <f>IFERROR(VLOOKUP(B124,'STATUS INVEST FII'!$A$2:$N$404,10,0)/100,0)</f>
        <v>-0.1515</v>
      </c>
      <c r="I124" s="20">
        <f>IFERROR(VLOOKUP(B124,'STATUS INVEST FII'!$A$2:$N$404,11,0),0)</f>
        <v>307197126.19999999</v>
      </c>
      <c r="J124" s="45" t="str">
        <f>IFERROR(VLOOKUP(B124,'ATIVOS-GESTÃO'!$A$1:$C$329,2),"-")</f>
        <v>MULTI</v>
      </c>
      <c r="K124" s="45" t="str">
        <f>IFERROR(VLOOKUP(B124,'ATIVOS-GESTÃO'!$A$1:$C$329,3),"-")</f>
        <v>MULTI</v>
      </c>
      <c r="L124" s="20" t="str">
        <f>IFERROR(VLOOKUP(B124,'STATUS INVEST FII'!$A$2:$N$404,13,0),"-")</f>
        <v>Passiva</v>
      </c>
      <c r="M124" s="20" t="str">
        <f>IFERROR(VLOOKUP(B124,'DATA-COM'!A:B,2,FALSE),"-")</f>
        <v xml:space="preserve">Último </v>
      </c>
      <c r="N124" s="51">
        <f>IFERROR(VLOOKUP(B124,'STATUS INVEST FII'!$A$2:$N$404,12,0),"-")</f>
        <v>941</v>
      </c>
      <c r="O124" s="54">
        <f>IFERROR(VLOOKUP(B124,'STATUS INVEST FII'!$A$2:$N$404,7,0),0)</f>
        <v>6706.56</v>
      </c>
    </row>
    <row r="125" spans="2:15" x14ac:dyDescent="0.25">
      <c r="B125" s="126" t="s">
        <v>215</v>
      </c>
      <c r="C125" s="9">
        <f>IFERROR(VLOOKUP(B125,'STATUS INVEST FII'!$A$2:$N$404,2,0),0)</f>
        <v>70</v>
      </c>
      <c r="D125" s="10">
        <f>IFERROR(VLOOKUP(B125,'STATUS INVEST FII'!$A$2:$N$404,4,0)/100,0)</f>
        <v>9.6099999999999991E-2</v>
      </c>
      <c r="E125" s="11">
        <f>IFERROR(VLOOKUP(B125,'STATUS INVEST FII'!$A$2:$N$404,6,0),0)</f>
        <v>0.41</v>
      </c>
      <c r="F125" s="12">
        <f>IFERROR(VLOOKUP(B125,'STATUS INVEST FII'!$A$2:$N$404,8,0)/100,0)</f>
        <v>1.09E-2</v>
      </c>
      <c r="G125" s="13">
        <f>IFERROR(VLOOKUP(B125,'STATUS INVEST FII'!$A$2:$N$404,9,0)/100,0)</f>
        <v>-2.0899999999999998E-2</v>
      </c>
      <c r="H125" s="13">
        <f>IFERROR(VLOOKUP(B125,'STATUS INVEST FII'!$A$2:$N$404,10,0)/100,0)</f>
        <v>0</v>
      </c>
      <c r="I125" s="20">
        <f>IFERROR(VLOOKUP(B125,'STATUS INVEST FII'!$A$2:$N$404,11,0),0)</f>
        <v>169412919.03999999</v>
      </c>
      <c r="J125" s="45" t="str">
        <f>IFERROR(VLOOKUP(B125,'ATIVOS-GESTÃO'!$A$1:$C$329,2),"-")</f>
        <v>MULTI</v>
      </c>
      <c r="K125" s="45" t="str">
        <f>IFERROR(VLOOKUP(B125,'ATIVOS-GESTÃO'!$A$1:$C$329,3),"-")</f>
        <v>MULTI</v>
      </c>
      <c r="L125" s="20" t="str">
        <f>IFERROR(VLOOKUP(B125,'STATUS INVEST FII'!$A$2:$N$404,13,0),"-")</f>
        <v>Ativa</v>
      </c>
      <c r="M125" s="20" t="str">
        <f>IFERROR(VLOOKUP(B125,'DATA-COM'!A:B,2,FALSE),"-")</f>
        <v xml:space="preserve">Quarto </v>
      </c>
      <c r="N125" s="51">
        <f>IFERROR(VLOOKUP(B125,'STATUS INVEST FII'!$A$2:$N$404,12,0),"-")</f>
        <v>51</v>
      </c>
      <c r="O125" s="54">
        <f>IFERROR(VLOOKUP(B125,'STATUS INVEST FII'!$A$2:$N$404,7,0),0)</f>
        <v>1358.6</v>
      </c>
    </row>
    <row r="126" spans="2:15" x14ac:dyDescent="0.25">
      <c r="B126" s="126" t="s">
        <v>72</v>
      </c>
      <c r="C126" s="9">
        <f>IFERROR(VLOOKUP(B126,'STATUS INVEST FII'!$A$2:$N$404,2,0),0)</f>
        <v>80.989999999999995</v>
      </c>
      <c r="D126" s="10">
        <f>IFERROR(VLOOKUP(B126,'STATUS INVEST FII'!$A$2:$N$404,4,0)/100,0)</f>
        <v>0.10289999999999999</v>
      </c>
      <c r="E126" s="11">
        <f>IFERROR(VLOOKUP(B126,'STATUS INVEST FII'!$A$2:$N$404,6,0),0)</f>
        <v>0.81</v>
      </c>
      <c r="F126" s="12">
        <f>IFERROR(VLOOKUP(B126,'STATUS INVEST FII'!$A$2:$N$404,8,0)/100,0)</f>
        <v>5.6999999999999993E-3</v>
      </c>
      <c r="G126" s="13">
        <f>IFERROR(VLOOKUP(B126,'STATUS INVEST FII'!$A$2:$N$404,9,0)/100,0)</f>
        <v>0</v>
      </c>
      <c r="H126" s="13">
        <f>IFERROR(VLOOKUP(B126,'STATUS INVEST FII'!$A$2:$N$404,10,0)/100,0)</f>
        <v>0</v>
      </c>
      <c r="I126" s="20">
        <f>IFERROR(VLOOKUP(B126,'STATUS INVEST FII'!$A$2:$N$404,11,0),0)</f>
        <v>1182184346.8099999</v>
      </c>
      <c r="J126" s="45" t="str">
        <f>IFERROR(VLOOKUP(B126,'ATIVOS-GESTÃO'!$A$1:$C$329,2),"-")</f>
        <v>MONO</v>
      </c>
      <c r="K126" s="45" t="str">
        <f>IFERROR(VLOOKUP(B126,'ATIVOS-GESTÃO'!$A$1:$C$329,3),"-")</f>
        <v>MONO</v>
      </c>
      <c r="L126" s="20" t="str">
        <f>IFERROR(VLOOKUP(B126,'STATUS INVEST FII'!$A$2:$N$404,13,0),"-")</f>
        <v>Ativa</v>
      </c>
      <c r="M126" s="20" t="str">
        <f>IFERROR(VLOOKUP(B126,'DATA-COM'!A:B,2,FALSE),"-")</f>
        <v xml:space="preserve">Último </v>
      </c>
      <c r="N126" s="51">
        <f>IFERROR(VLOOKUP(B126,'STATUS INVEST FII'!$A$2:$N$404,12,0),"-")</f>
        <v>26065</v>
      </c>
      <c r="O126" s="54">
        <f>IFERROR(VLOOKUP(B126,'STATUS INVEST FII'!$A$2:$N$404,7,0),0)</f>
        <v>635759.68000000005</v>
      </c>
    </row>
    <row r="127" spans="2:15" x14ac:dyDescent="0.25">
      <c r="B127" s="126" t="s">
        <v>316</v>
      </c>
      <c r="C127" s="9">
        <f>IFERROR(VLOOKUP(B127,'STATUS INVEST FII'!$A$2:$N$404,2,0),0)</f>
        <v>96</v>
      </c>
      <c r="D127" s="10">
        <f>IFERROR(VLOOKUP(B127,'STATUS INVEST FII'!$A$2:$N$404,4,0)/100,0)</f>
        <v>6.6299999999999998E-2</v>
      </c>
      <c r="E127" s="11">
        <f>IFERROR(VLOOKUP(B127,'STATUS INVEST FII'!$A$2:$N$404,6,0),0)</f>
        <v>1.01</v>
      </c>
      <c r="F127" s="12">
        <f>IFERROR(VLOOKUP(B127,'STATUS INVEST FII'!$A$2:$N$404,8,0)/100,0)</f>
        <v>3.0499999999999999E-2</v>
      </c>
      <c r="G127" s="13">
        <f>IFERROR(VLOOKUP(B127,'STATUS INVEST FII'!$A$2:$N$404,9,0)/100,0)</f>
        <v>0</v>
      </c>
      <c r="H127" s="13">
        <f>IFERROR(VLOOKUP(B127,'STATUS INVEST FII'!$A$2:$N$404,10,0)/100,0)</f>
        <v>0</v>
      </c>
      <c r="I127" s="20">
        <f>IFERROR(VLOOKUP(B127,'STATUS INVEST FII'!$A$2:$N$404,11,0),0)</f>
        <v>327583780.94999999</v>
      </c>
      <c r="J127" s="45" t="str">
        <f>IFERROR(VLOOKUP(B127,'ATIVOS-GESTÃO'!$A$1:$C$329,2),"-")</f>
        <v>MONO</v>
      </c>
      <c r="K127" s="45" t="str">
        <f>IFERROR(VLOOKUP(B127,'ATIVOS-GESTÃO'!$A$1:$C$329,3),"-")</f>
        <v>MULTI</v>
      </c>
      <c r="L127" s="20" t="str">
        <f>IFERROR(VLOOKUP(B127,'STATUS INVEST FII'!$A$2:$N$404,13,0),"-")</f>
        <v>Ativa</v>
      </c>
      <c r="M127" s="20" t="str">
        <f>IFERROR(VLOOKUP(B127,'DATA-COM'!A:B,2,FALSE),"-")</f>
        <v xml:space="preserve">Último </v>
      </c>
      <c r="N127" s="51">
        <f>IFERROR(VLOOKUP(B127,'STATUS INVEST FII'!$A$2:$N$404,12,0),"-")</f>
        <v>136</v>
      </c>
      <c r="O127" s="54">
        <f>IFERROR(VLOOKUP(B127,'STATUS INVEST FII'!$A$2:$N$404,7,0),0)</f>
        <v>417.4</v>
      </c>
    </row>
    <row r="128" spans="2:15" x14ac:dyDescent="0.25">
      <c r="B128" s="126" t="s">
        <v>146</v>
      </c>
      <c r="C128" s="9">
        <f>IFERROR(VLOOKUP(B128,'STATUS INVEST FII'!$A$2:$N$404,2,0),0)</f>
        <v>85.52</v>
      </c>
      <c r="D128" s="10">
        <f>IFERROR(VLOOKUP(B128,'STATUS INVEST FII'!$A$2:$N$404,4,0)/100,0)</f>
        <v>0.10300000000000001</v>
      </c>
      <c r="E128" s="11">
        <f>IFERROR(VLOOKUP(B128,'STATUS INVEST FII'!$A$2:$N$404,6,0),0)</f>
        <v>0.76</v>
      </c>
      <c r="F128" s="12">
        <f>IFERROR(VLOOKUP(B128,'STATUS INVEST FII'!$A$2:$N$404,8,0)/100,0)</f>
        <v>1.09E-2</v>
      </c>
      <c r="G128" s="13">
        <f>IFERROR(VLOOKUP(B128,'STATUS INVEST FII'!$A$2:$N$404,9,0)/100,0)</f>
        <v>0</v>
      </c>
      <c r="H128" s="13">
        <f>IFERROR(VLOOKUP(B128,'STATUS INVEST FII'!$A$2:$N$404,10,0)/100,0)</f>
        <v>0</v>
      </c>
      <c r="I128" s="20">
        <f>IFERROR(VLOOKUP(B128,'STATUS INVEST FII'!$A$2:$N$404,11,0),0)</f>
        <v>311940949.64999998</v>
      </c>
      <c r="J128" s="45" t="str">
        <f>IFERROR(VLOOKUP(B128,'ATIVOS-GESTÃO'!$A$1:$C$329,2),"-")</f>
        <v>MULTI</v>
      </c>
      <c r="K128" s="45" t="str">
        <f>IFERROR(VLOOKUP(B128,'ATIVOS-GESTÃO'!$A$1:$C$329,3),"-")</f>
        <v>MULTI</v>
      </c>
      <c r="L128" s="20" t="str">
        <f>IFERROR(VLOOKUP(B128,'STATUS INVEST FII'!$A$2:$N$404,13,0),"-")</f>
        <v>Ativa</v>
      </c>
      <c r="M128" s="20" t="str">
        <f>IFERROR(VLOOKUP(B128,'DATA-COM'!A:B,2,FALSE),"-")</f>
        <v xml:space="preserve">Último </v>
      </c>
      <c r="N128" s="51">
        <f>IFERROR(VLOOKUP(B128,'STATUS INVEST FII'!$A$2:$N$404,12,0),"-")</f>
        <v>1867</v>
      </c>
      <c r="O128" s="54">
        <f>IFERROR(VLOOKUP(B128,'STATUS INVEST FII'!$A$2:$N$404,7,0),0)</f>
        <v>355654.88</v>
      </c>
    </row>
    <row r="129" spans="2:15" x14ac:dyDescent="0.25">
      <c r="B129" s="126" t="s">
        <v>73</v>
      </c>
      <c r="C129" s="9">
        <f>IFERROR(VLOOKUP(B129,'STATUS INVEST FII'!$A$2:$N$404,2,0),0)</f>
        <v>252.39</v>
      </c>
      <c r="D129" s="10">
        <f>IFERROR(VLOOKUP(B129,'STATUS INVEST FII'!$A$2:$N$404,4,0)/100,0)</f>
        <v>5.9400000000000001E-2</v>
      </c>
      <c r="E129" s="11">
        <f>IFERROR(VLOOKUP(B129,'STATUS INVEST FII'!$A$2:$N$404,6,0),0)</f>
        <v>0.93</v>
      </c>
      <c r="F129" s="12">
        <f>IFERROR(VLOOKUP(B129,'STATUS INVEST FII'!$A$2:$N$404,8,0)/100,0)</f>
        <v>4.2000000000000003E-2</v>
      </c>
      <c r="G129" s="13">
        <f>IFERROR(VLOOKUP(B129,'STATUS INVEST FII'!$A$2:$N$404,9,0)/100,0)</f>
        <v>0</v>
      </c>
      <c r="H129" s="13">
        <f>IFERROR(VLOOKUP(B129,'STATUS INVEST FII'!$A$2:$N$404,10,0)/100,0)</f>
        <v>0</v>
      </c>
      <c r="I129" s="20">
        <f>IFERROR(VLOOKUP(B129,'STATUS INVEST FII'!$A$2:$N$404,11,0),0)</f>
        <v>469946826.99000001</v>
      </c>
      <c r="J129" s="45" t="str">
        <f>IFERROR(VLOOKUP(B129,'ATIVOS-GESTÃO'!$A$1:$C$329,2),"-")</f>
        <v>MULTI</v>
      </c>
      <c r="K129" s="45" t="str">
        <f>IFERROR(VLOOKUP(B129,'ATIVOS-GESTÃO'!$A$1:$C$329,3),"-")</f>
        <v>MULTI</v>
      </c>
      <c r="L129" s="20" t="str">
        <f>IFERROR(VLOOKUP(B129,'STATUS INVEST FII'!$A$2:$N$404,13,0),"-")</f>
        <v>Passiva</v>
      </c>
      <c r="M129" s="20" t="str">
        <f>IFERROR(VLOOKUP(B129,'DATA-COM'!A:B,2,FALSE),"-")</f>
        <v xml:space="preserve">Último </v>
      </c>
      <c r="N129" s="51">
        <f>IFERROR(VLOOKUP(B129,'STATUS INVEST FII'!$A$2:$N$404,12,0),"-")</f>
        <v>10177</v>
      </c>
      <c r="O129" s="54">
        <f>IFERROR(VLOOKUP(B129,'STATUS INVEST FII'!$A$2:$N$404,7,0),0)</f>
        <v>534369.76</v>
      </c>
    </row>
    <row r="130" spans="2:15" x14ac:dyDescent="0.25">
      <c r="B130" s="126" t="s">
        <v>74</v>
      </c>
      <c r="C130" s="9">
        <f>IFERROR(VLOOKUP(B130,'STATUS INVEST FII'!$A$2:$N$404,2,0),0)</f>
        <v>132</v>
      </c>
      <c r="D130" s="10">
        <f>IFERROR(VLOOKUP(B130,'STATUS INVEST FII'!$A$2:$N$404,4,0)/100,0)</f>
        <v>8.3299999999999999E-2</v>
      </c>
      <c r="E130" s="11">
        <f>IFERROR(VLOOKUP(B130,'STATUS INVEST FII'!$A$2:$N$404,6,0),0)</f>
        <v>0.8</v>
      </c>
      <c r="F130" s="12">
        <f>IFERROR(VLOOKUP(B130,'STATUS INVEST FII'!$A$2:$N$404,8,0)/100,0)</f>
        <v>4.6999999999999993E-3</v>
      </c>
      <c r="G130" s="13">
        <f>IFERROR(VLOOKUP(B130,'STATUS INVEST FII'!$A$2:$N$404,9,0)/100,0)</f>
        <v>5.96E-2</v>
      </c>
      <c r="H130" s="13">
        <f>IFERROR(VLOOKUP(B130,'STATUS INVEST FII'!$A$2:$N$404,10,0)/100,0)</f>
        <v>-3.5900000000000001E-2</v>
      </c>
      <c r="I130" s="20">
        <f>IFERROR(VLOOKUP(B130,'STATUS INVEST FII'!$A$2:$N$404,11,0),0)</f>
        <v>1950300222.04</v>
      </c>
      <c r="J130" s="45" t="str">
        <f>IFERROR(VLOOKUP(B130,'ATIVOS-GESTÃO'!$A$1:$C$329,2),"-")</f>
        <v>MULTI</v>
      </c>
      <c r="K130" s="45" t="str">
        <f>IFERROR(VLOOKUP(B130,'ATIVOS-GESTÃO'!$A$1:$C$329,3),"-")</f>
        <v>MULTI</v>
      </c>
      <c r="L130" s="20" t="str">
        <f>IFERROR(VLOOKUP(B130,'STATUS INVEST FII'!$A$2:$N$404,13,0),"-")</f>
        <v>Ativa</v>
      </c>
      <c r="M130" s="20" t="str">
        <f>IFERROR(VLOOKUP(B130,'DATA-COM'!A:B,2,FALSE),"-")</f>
        <v xml:space="preserve">Último </v>
      </c>
      <c r="N130" s="51">
        <f>IFERROR(VLOOKUP(B130,'STATUS INVEST FII'!$A$2:$N$404,12,0),"-")</f>
        <v>116569</v>
      </c>
      <c r="O130" s="54">
        <f>IFERROR(VLOOKUP(B130,'STATUS INVEST FII'!$A$2:$N$404,7,0),0)</f>
        <v>2531672.62</v>
      </c>
    </row>
    <row r="131" spans="2:15" x14ac:dyDescent="0.25">
      <c r="B131" s="126" t="s">
        <v>157</v>
      </c>
      <c r="C131" s="9">
        <f>IFERROR(VLOOKUP(B131,'STATUS INVEST FII'!$A$2:$N$404,2,0),0)</f>
        <v>134.62</v>
      </c>
      <c r="D131" s="10">
        <f>IFERROR(VLOOKUP(B131,'STATUS INVEST FII'!$A$2:$N$404,4,0)/100,0)</f>
        <v>6.5799999999999997E-2</v>
      </c>
      <c r="E131" s="11">
        <f>IFERROR(VLOOKUP(B131,'STATUS INVEST FII'!$A$2:$N$404,6,0),0)</f>
        <v>0.86</v>
      </c>
      <c r="F131" s="12">
        <f>IFERROR(VLOOKUP(B131,'STATUS INVEST FII'!$A$2:$N$404,8,0)/100,0)</f>
        <v>3.4200000000000001E-2</v>
      </c>
      <c r="G131" s="13">
        <f>IFERROR(VLOOKUP(B131,'STATUS INVEST FII'!$A$2:$N$404,9,0)/100,0)</f>
        <v>-4.0000000000000002E-4</v>
      </c>
      <c r="H131" s="13">
        <f>IFERROR(VLOOKUP(B131,'STATUS INVEST FII'!$A$2:$N$404,10,0)/100,0)</f>
        <v>-3.7200000000000004E-2</v>
      </c>
      <c r="I131" s="20">
        <f>IFERROR(VLOOKUP(B131,'STATUS INVEST FII'!$A$2:$N$404,11,0),0)</f>
        <v>3806712567.6900001</v>
      </c>
      <c r="J131" s="45" t="str">
        <f>IFERROR(VLOOKUP(B131,'ATIVOS-GESTÃO'!$A$1:$C$329,2),"-")</f>
        <v>MULTI</v>
      </c>
      <c r="K131" s="45" t="str">
        <f>IFERROR(VLOOKUP(B131,'ATIVOS-GESTÃO'!$A$1:$C$329,3),"-")</f>
        <v>MULTI</v>
      </c>
      <c r="L131" s="20" t="str">
        <f>IFERROR(VLOOKUP(B131,'STATUS INVEST FII'!$A$2:$N$404,13,0),"-")</f>
        <v>Ativa</v>
      </c>
      <c r="M131" s="20" t="str">
        <f>IFERROR(VLOOKUP(B131,'DATA-COM'!A:B,2,FALSE),"-")</f>
        <v xml:space="preserve">Último </v>
      </c>
      <c r="N131" s="51">
        <f>IFERROR(VLOOKUP(B131,'STATUS INVEST FII'!$A$2:$N$404,12,0),"-")</f>
        <v>233586</v>
      </c>
      <c r="O131" s="54">
        <f>IFERROR(VLOOKUP(B131,'STATUS INVEST FII'!$A$2:$N$404,7,0),0)</f>
        <v>4541613.59</v>
      </c>
    </row>
    <row r="132" spans="2:15" x14ac:dyDescent="0.25">
      <c r="B132" s="126" t="s">
        <v>160</v>
      </c>
      <c r="C132" s="9">
        <f>IFERROR(VLOOKUP(B132,'STATUS INVEST FII'!$A$2:$N$404,2,0),0)</f>
        <v>692</v>
      </c>
      <c r="D132" s="10">
        <f>IFERROR(VLOOKUP(B132,'STATUS INVEST FII'!$A$2:$N$404,4,0)/100,0)</f>
        <v>0.13769999999999999</v>
      </c>
      <c r="E132" s="11">
        <f>IFERROR(VLOOKUP(B132,'STATUS INVEST FII'!$A$2:$N$404,6,0),0)</f>
        <v>0.62</v>
      </c>
      <c r="F132" s="12">
        <f>IFERROR(VLOOKUP(B132,'STATUS INVEST FII'!$A$2:$N$404,8,0)/100,0)</f>
        <v>4.2500000000000003E-2</v>
      </c>
      <c r="G132" s="13">
        <f>IFERROR(VLOOKUP(B132,'STATUS INVEST FII'!$A$2:$N$404,9,0)/100,0)</f>
        <v>-2.1600000000000001E-2</v>
      </c>
      <c r="H132" s="13">
        <f>IFERROR(VLOOKUP(B132,'STATUS INVEST FII'!$A$2:$N$404,10,0)/100,0)</f>
        <v>-0.1459</v>
      </c>
      <c r="I132" s="20">
        <f>IFERROR(VLOOKUP(B132,'STATUS INVEST FII'!$A$2:$N$404,11,0),0)</f>
        <v>113484927.63</v>
      </c>
      <c r="J132" s="45" t="str">
        <f>IFERROR(VLOOKUP(B132,'ATIVOS-GESTÃO'!$A$1:$C$329,2),"-")</f>
        <v>MULTI</v>
      </c>
      <c r="K132" s="45" t="str">
        <f>IFERROR(VLOOKUP(B132,'ATIVOS-GESTÃO'!$A$1:$C$329,3),"-")</f>
        <v>MONO</v>
      </c>
      <c r="L132" s="20" t="str">
        <f>IFERROR(VLOOKUP(B132,'STATUS INVEST FII'!$A$2:$N$404,13,0),"-")</f>
        <v>Ativa</v>
      </c>
      <c r="M132" s="20" t="str">
        <f>IFERROR(VLOOKUP(B132,'DATA-COM'!A:B,2,FALSE),"-")</f>
        <v xml:space="preserve">Quarto </v>
      </c>
      <c r="N132" s="51">
        <f>IFERROR(VLOOKUP(B132,'STATUS INVEST FII'!$A$2:$N$404,12,0),"-")</f>
        <v>2820</v>
      </c>
      <c r="O132" s="54">
        <f>IFERROR(VLOOKUP(B132,'STATUS INVEST FII'!$A$2:$N$404,7,0),0)</f>
        <v>58154.38</v>
      </c>
    </row>
    <row r="133" spans="2:15" x14ac:dyDescent="0.25">
      <c r="B133" s="126" t="s">
        <v>346</v>
      </c>
      <c r="C133" s="9">
        <f>IFERROR(VLOOKUP(B133,'STATUS INVEST FII'!$A$2:$N$404,2,0),0)</f>
        <v>0</v>
      </c>
      <c r="D133" s="10">
        <f>IFERROR(VLOOKUP(B133,'STATUS INVEST FII'!$A$2:$N$404,4,0)/100,0)</f>
        <v>0</v>
      </c>
      <c r="E133" s="11">
        <f>IFERROR(VLOOKUP(B133,'STATUS INVEST FII'!$A$2:$N$404,6,0),0)</f>
        <v>0</v>
      </c>
      <c r="F133" s="12">
        <f>IFERROR(VLOOKUP(B133,'STATUS INVEST FII'!$A$2:$N$404,8,0)/100,0)</f>
        <v>2.7799999999999998E-2</v>
      </c>
      <c r="G133" s="13">
        <f>IFERROR(VLOOKUP(B133,'STATUS INVEST FII'!$A$2:$N$404,9,0)/100,0)</f>
        <v>0</v>
      </c>
      <c r="H133" s="13">
        <f>IFERROR(VLOOKUP(B133,'STATUS INVEST FII'!$A$2:$N$404,10,0)/100,0)</f>
        <v>0</v>
      </c>
      <c r="I133" s="20">
        <f>IFERROR(VLOOKUP(B133,'STATUS INVEST FII'!$A$2:$N$404,11,0),0)</f>
        <v>180209165.56999999</v>
      </c>
      <c r="J133" s="45" t="str">
        <f>IFERROR(VLOOKUP(B133,'ATIVOS-GESTÃO'!$A$1:$C$329,2),"-")</f>
        <v>MULTI</v>
      </c>
      <c r="K133" s="45" t="str">
        <f>IFERROR(VLOOKUP(B133,'ATIVOS-GESTÃO'!$A$1:$C$329,3),"-")</f>
        <v>MULTI</v>
      </c>
      <c r="L133" s="20" t="str">
        <f>IFERROR(VLOOKUP(B133,'STATUS INVEST FII'!$A$2:$N$404,13,0),"-")</f>
        <v>Ativa</v>
      </c>
      <c r="M133" s="20" t="str">
        <f>IFERROR(VLOOKUP(B133,'DATA-COM'!A:B,2,FALSE),"-")</f>
        <v xml:space="preserve">Último </v>
      </c>
      <c r="N133" s="51">
        <f>IFERROR(VLOOKUP(B133,'STATUS INVEST FII'!$A$2:$N$404,12,0),"-")</f>
        <v>3</v>
      </c>
      <c r="O133" s="54">
        <f>IFERROR(VLOOKUP(B133,'STATUS INVEST FII'!$A$2:$N$404,7,0),0)</f>
        <v>0</v>
      </c>
    </row>
    <row r="134" spans="2:15" x14ac:dyDescent="0.25">
      <c r="B134" s="126" t="s">
        <v>337</v>
      </c>
      <c r="C134" s="9">
        <f>IFERROR(VLOOKUP(B134,'STATUS INVEST FII'!$A$2:$N$404,2,0),0)</f>
        <v>0</v>
      </c>
      <c r="D134" s="10">
        <f>IFERROR(VLOOKUP(B134,'STATUS INVEST FII'!$A$2:$N$404,4,0)/100,0)</f>
        <v>0</v>
      </c>
      <c r="E134" s="11">
        <f>IFERROR(VLOOKUP(B134,'STATUS INVEST FII'!$A$2:$N$404,6,0),0)</f>
        <v>0</v>
      </c>
      <c r="F134" s="12">
        <f>IFERROR(VLOOKUP(B134,'STATUS INVEST FII'!$A$2:$N$404,8,0)/100,0)</f>
        <v>1.47E-2</v>
      </c>
      <c r="G134" s="13">
        <f>IFERROR(VLOOKUP(B134,'STATUS INVEST FII'!$A$2:$N$404,9,0)/100,0)</f>
        <v>0</v>
      </c>
      <c r="H134" s="13">
        <f>IFERROR(VLOOKUP(B134,'STATUS INVEST FII'!$A$2:$N$404,10,0)/100,0)</f>
        <v>0</v>
      </c>
      <c r="I134" s="20">
        <f>IFERROR(VLOOKUP(B134,'STATUS INVEST FII'!$A$2:$N$404,11,0),0)</f>
        <v>186642559.62</v>
      </c>
      <c r="J134" s="45" t="str">
        <f>IFERROR(VLOOKUP(B134,'ATIVOS-GESTÃO'!$A$1:$C$329,2),"-")</f>
        <v>MULTI</v>
      </c>
      <c r="K134" s="45" t="str">
        <f>IFERROR(VLOOKUP(B134,'ATIVOS-GESTÃO'!$A$1:$C$329,3),"-")</f>
        <v>MULTI</v>
      </c>
      <c r="L134" s="20" t="str">
        <f>IFERROR(VLOOKUP(B134,'STATUS INVEST FII'!$A$2:$N$404,13,0),"-")</f>
        <v>Ativa</v>
      </c>
      <c r="M134" s="20" t="str">
        <f>IFERROR(VLOOKUP(B134,'DATA-COM'!A:B,2,FALSE),"-")</f>
        <v xml:space="preserve">Último </v>
      </c>
      <c r="N134" s="51">
        <f>IFERROR(VLOOKUP(B134,'STATUS INVEST FII'!$A$2:$N$404,12,0),"-")</f>
        <v>3</v>
      </c>
      <c r="O134" s="54">
        <f>IFERROR(VLOOKUP(B134,'STATUS INVEST FII'!$A$2:$N$404,7,0),0)</f>
        <v>0</v>
      </c>
    </row>
    <row r="135" spans="2:15" x14ac:dyDescent="0.25">
      <c r="B135" s="126" t="s">
        <v>75</v>
      </c>
      <c r="C135" s="9">
        <f>IFERROR(VLOOKUP(B135,'STATUS INVEST FII'!$A$2:$N$404,2,0),0)</f>
        <v>32.94</v>
      </c>
      <c r="D135" s="10">
        <f>IFERROR(VLOOKUP(B135,'STATUS INVEST FII'!$A$2:$N$404,4,0)/100,0)</f>
        <v>0</v>
      </c>
      <c r="E135" s="11">
        <f>IFERROR(VLOOKUP(B135,'STATUS INVEST FII'!$A$2:$N$404,6,0),0)</f>
        <v>0.51</v>
      </c>
      <c r="F135" s="12">
        <f>IFERROR(VLOOKUP(B135,'STATUS INVEST FII'!$A$2:$N$404,8,0)/100,0)</f>
        <v>2.3900000000000001E-2</v>
      </c>
      <c r="G135" s="13">
        <f>IFERROR(VLOOKUP(B135,'STATUS INVEST FII'!$A$2:$N$404,9,0)/100,0)</f>
        <v>0.5877</v>
      </c>
      <c r="H135" s="13">
        <f>IFERROR(VLOOKUP(B135,'STATUS INVEST FII'!$A$2:$N$404,10,0)/100,0)</f>
        <v>0</v>
      </c>
      <c r="I135" s="20">
        <f>IFERROR(VLOOKUP(B135,'STATUS INVEST FII'!$A$2:$N$404,11,0),0)</f>
        <v>48375032.780000001</v>
      </c>
      <c r="J135" s="45" t="str">
        <f>IFERROR(VLOOKUP(B135,'ATIVOS-GESTÃO'!$A$1:$C$329,2),"-")</f>
        <v>MULTI</v>
      </c>
      <c r="K135" s="45" t="str">
        <f>IFERROR(VLOOKUP(B135,'ATIVOS-GESTÃO'!$A$1:$C$329,3),"-")</f>
        <v>MULTI</v>
      </c>
      <c r="L135" s="20" t="str">
        <f>IFERROR(VLOOKUP(B135,'STATUS INVEST FII'!$A$2:$N$404,13,0),"-")</f>
        <v>Ativa</v>
      </c>
      <c r="M135" s="20" t="str">
        <f>IFERROR(VLOOKUP(B135,'DATA-COM'!A:B,2,FALSE),"-")</f>
        <v>-</v>
      </c>
      <c r="N135" s="51">
        <f>IFERROR(VLOOKUP(B135,'STATUS INVEST FII'!$A$2:$N$404,12,0),"-")</f>
        <v>1723</v>
      </c>
      <c r="O135" s="54">
        <f>IFERROR(VLOOKUP(B135,'STATUS INVEST FII'!$A$2:$N$404,7,0),0)</f>
        <v>5360</v>
      </c>
    </row>
    <row r="136" spans="2:15" x14ac:dyDescent="0.25">
      <c r="B136" s="126" t="s">
        <v>76</v>
      </c>
      <c r="C136" s="9">
        <f>IFERROR(VLOOKUP(B136,'STATUS INVEST FII'!$A$2:$N$404,2,0),0)</f>
        <v>149</v>
      </c>
      <c r="D136" s="10">
        <f>IFERROR(VLOOKUP(B136,'STATUS INVEST FII'!$A$2:$N$404,4,0)/100,0)</f>
        <v>5.8400000000000001E-2</v>
      </c>
      <c r="E136" s="11">
        <f>IFERROR(VLOOKUP(B136,'STATUS INVEST FII'!$A$2:$N$404,6,0),0)</f>
        <v>0.85</v>
      </c>
      <c r="F136" s="12">
        <f>IFERROR(VLOOKUP(B136,'STATUS INVEST FII'!$A$2:$N$404,8,0)/100,0)</f>
        <v>1.0800000000000001E-2</v>
      </c>
      <c r="G136" s="13">
        <f>IFERROR(VLOOKUP(B136,'STATUS INVEST FII'!$A$2:$N$404,9,0)/100,0)</f>
        <v>2.6600000000000002E-2</v>
      </c>
      <c r="H136" s="13">
        <f>IFERROR(VLOOKUP(B136,'STATUS INVEST FII'!$A$2:$N$404,10,0)/100,0)</f>
        <v>2.0899999999999998E-2</v>
      </c>
      <c r="I136" s="20">
        <f>IFERROR(VLOOKUP(B136,'STATUS INVEST FII'!$A$2:$N$404,11,0),0)</f>
        <v>159227552.84</v>
      </c>
      <c r="J136" s="45" t="str">
        <f>IFERROR(VLOOKUP(B136,'ATIVOS-GESTÃO'!$A$1:$C$329,2),"-")</f>
        <v>MONO</v>
      </c>
      <c r="K136" s="45" t="str">
        <f>IFERROR(VLOOKUP(B136,'ATIVOS-GESTÃO'!$A$1:$C$329,3),"-")</f>
        <v>MULTI</v>
      </c>
      <c r="L136" s="20" t="str">
        <f>IFERROR(VLOOKUP(B136,'STATUS INVEST FII'!$A$2:$N$404,13,0),"-")</f>
        <v>Passiva</v>
      </c>
      <c r="M136" s="20" t="str">
        <f>IFERROR(VLOOKUP(B136,'DATA-COM'!A:B,2,FALSE),"-")</f>
        <v xml:space="preserve">Quarto </v>
      </c>
      <c r="N136" s="51">
        <f>IFERROR(VLOOKUP(B136,'STATUS INVEST FII'!$A$2:$N$404,12,0),"-")</f>
        <v>3888</v>
      </c>
      <c r="O136" s="54">
        <f>IFERROR(VLOOKUP(B136,'STATUS INVEST FII'!$A$2:$N$404,7,0),0)</f>
        <v>56033.760000000002</v>
      </c>
    </row>
    <row r="137" spans="2:15" x14ac:dyDescent="0.25">
      <c r="B137" s="126" t="s">
        <v>272</v>
      </c>
      <c r="C137" s="9">
        <f>IFERROR(VLOOKUP(B137,'STATUS INVEST FII'!$A$2:$N$404,2,0),0)</f>
        <v>0</v>
      </c>
      <c r="D137" s="10">
        <f>IFERROR(VLOOKUP(B137,'STATUS INVEST FII'!$A$2:$N$404,4,0)/100,0)</f>
        <v>0</v>
      </c>
      <c r="E137" s="11">
        <f>IFERROR(VLOOKUP(B137,'STATUS INVEST FII'!$A$2:$N$404,6,0),0)</f>
        <v>0</v>
      </c>
      <c r="F137" s="12">
        <f>IFERROR(VLOOKUP(B137,'STATUS INVEST FII'!$A$2:$N$404,8,0)/100,0)</f>
        <v>5.04E-2</v>
      </c>
      <c r="G137" s="13">
        <f>IFERROR(VLOOKUP(B137,'STATUS INVEST FII'!$A$2:$N$404,9,0)/100,0)</f>
        <v>0</v>
      </c>
      <c r="H137" s="13">
        <f>IFERROR(VLOOKUP(B137,'STATUS INVEST FII'!$A$2:$N$404,10,0)/100,0)</f>
        <v>0</v>
      </c>
      <c r="I137" s="20">
        <f>IFERROR(VLOOKUP(B137,'STATUS INVEST FII'!$A$2:$N$404,11,0),0)</f>
        <v>557803893.28999996</v>
      </c>
      <c r="J137" s="45" t="str">
        <f>IFERROR(VLOOKUP(B137,'ATIVOS-GESTÃO'!$A$1:$C$329,2),"-")</f>
        <v>MULTI</v>
      </c>
      <c r="K137" s="45" t="str">
        <f>IFERROR(VLOOKUP(B137,'ATIVOS-GESTÃO'!$A$1:$C$329,3),"-")</f>
        <v>MULTI</v>
      </c>
      <c r="L137" s="20" t="str">
        <f>IFERROR(VLOOKUP(B137,'STATUS INVEST FII'!$A$2:$N$404,13,0),"-")</f>
        <v>Ativa</v>
      </c>
      <c r="M137" s="20" t="str">
        <f>IFERROR(VLOOKUP(B137,'DATA-COM'!A:B,2,FALSE),"-")</f>
        <v>-</v>
      </c>
      <c r="N137" s="51">
        <f>IFERROR(VLOOKUP(B137,'STATUS INVEST FII'!$A$2:$N$404,12,0),"-")</f>
        <v>58</v>
      </c>
      <c r="O137" s="54">
        <f>IFERROR(VLOOKUP(B137,'STATUS INVEST FII'!$A$2:$N$404,7,0),0)</f>
        <v>0</v>
      </c>
    </row>
    <row r="138" spans="2:15" x14ac:dyDescent="0.25">
      <c r="B138" s="126" t="s">
        <v>77</v>
      </c>
      <c r="C138" s="9">
        <f>IFERROR(VLOOKUP(B138,'STATUS INVEST FII'!$A$2:$N$404,2,0),0)</f>
        <v>66.739999999999995</v>
      </c>
      <c r="D138" s="10">
        <f>IFERROR(VLOOKUP(B138,'STATUS INVEST FII'!$A$2:$N$404,4,0)/100,0)</f>
        <v>5.45E-2</v>
      </c>
      <c r="E138" s="11">
        <f>IFERROR(VLOOKUP(B138,'STATUS INVEST FII'!$A$2:$N$404,6,0),0)</f>
        <v>0.78</v>
      </c>
      <c r="F138" s="12">
        <f>IFERROR(VLOOKUP(B138,'STATUS INVEST FII'!$A$2:$N$404,8,0)/100,0)</f>
        <v>1.0200000000000001E-2</v>
      </c>
      <c r="G138" s="13">
        <f>IFERROR(VLOOKUP(B138,'STATUS INVEST FII'!$A$2:$N$404,9,0)/100,0)</f>
        <v>0</v>
      </c>
      <c r="H138" s="13">
        <f>IFERROR(VLOOKUP(B138,'STATUS INVEST FII'!$A$2:$N$404,10,0)/100,0)</f>
        <v>0</v>
      </c>
      <c r="I138" s="20">
        <f>IFERROR(VLOOKUP(B138,'STATUS INVEST FII'!$A$2:$N$404,11,0),0)</f>
        <v>299994005.75999999</v>
      </c>
      <c r="J138" s="45" t="str">
        <f>IFERROR(VLOOKUP(B138,'ATIVOS-GESTÃO'!$A$1:$C$329,2),"-")</f>
        <v>MULTI</v>
      </c>
      <c r="K138" s="45" t="str">
        <f>IFERROR(VLOOKUP(B138,'ATIVOS-GESTÃO'!$A$1:$C$329,3),"-")</f>
        <v>MULTI</v>
      </c>
      <c r="L138" s="20" t="str">
        <f>IFERROR(VLOOKUP(B138,'STATUS INVEST FII'!$A$2:$N$404,13,0),"-")</f>
        <v>Ativa</v>
      </c>
      <c r="M138" s="20" t="str">
        <f>IFERROR(VLOOKUP(B138,'DATA-COM'!A:B,2,FALSE),"-")</f>
        <v xml:space="preserve">Último </v>
      </c>
      <c r="N138" s="51">
        <f>IFERROR(VLOOKUP(B138,'STATUS INVEST FII'!$A$2:$N$404,12,0),"-")</f>
        <v>10596</v>
      </c>
      <c r="O138" s="54">
        <f>IFERROR(VLOOKUP(B138,'STATUS INVEST FII'!$A$2:$N$404,7,0),0)</f>
        <v>351980.59</v>
      </c>
    </row>
    <row r="139" spans="2:15" x14ac:dyDescent="0.25">
      <c r="B139" s="126" t="s">
        <v>78</v>
      </c>
      <c r="C139" s="9">
        <f>IFERROR(VLOOKUP(B139,'STATUS INVEST FII'!$A$2:$N$404,2,0),0)</f>
        <v>117.5</v>
      </c>
      <c r="D139" s="10">
        <f>IFERROR(VLOOKUP(B139,'STATUS INVEST FII'!$A$2:$N$404,4,0)/100,0)</f>
        <v>0</v>
      </c>
      <c r="E139" s="11">
        <f>IFERROR(VLOOKUP(B139,'STATUS INVEST FII'!$A$2:$N$404,6,0),0)</f>
        <v>0.49</v>
      </c>
      <c r="F139" s="12">
        <f>IFERROR(VLOOKUP(B139,'STATUS INVEST FII'!$A$2:$N$404,8,0)/100,0)</f>
        <v>8.2599999999999993E-2</v>
      </c>
      <c r="G139" s="13">
        <f>IFERROR(VLOOKUP(B139,'STATUS INVEST FII'!$A$2:$N$404,9,0)/100,0)</f>
        <v>0.28920000000000001</v>
      </c>
      <c r="H139" s="13">
        <f>IFERROR(VLOOKUP(B139,'STATUS INVEST FII'!$A$2:$N$404,10,0)/100,0)</f>
        <v>-0.29820000000000002</v>
      </c>
      <c r="I139" s="20">
        <f>IFERROR(VLOOKUP(B139,'STATUS INVEST FII'!$A$2:$N$404,11,0),0)</f>
        <v>46639971.280000001</v>
      </c>
      <c r="J139" s="45" t="str">
        <f>IFERROR(VLOOKUP(B139,'ATIVOS-GESTÃO'!$A$1:$C$329,2),"-")</f>
        <v>MONO</v>
      </c>
      <c r="K139" s="45" t="str">
        <f>IFERROR(VLOOKUP(B139,'ATIVOS-GESTÃO'!$A$1:$C$329,3),"-")</f>
        <v>MULTI</v>
      </c>
      <c r="L139" s="20" t="str">
        <f>IFERROR(VLOOKUP(B139,'STATUS INVEST FII'!$A$2:$N$404,13,0),"-")</f>
        <v>Passiva</v>
      </c>
      <c r="M139" s="20" t="str">
        <f>IFERROR(VLOOKUP(B139,'DATA-COM'!A:B,2,FALSE),"-")</f>
        <v xml:space="preserve">Último </v>
      </c>
      <c r="N139" s="51">
        <f>IFERROR(VLOOKUP(B139,'STATUS INVEST FII'!$A$2:$N$404,12,0),"-")</f>
        <v>1139</v>
      </c>
      <c r="O139" s="54">
        <f>IFERROR(VLOOKUP(B139,'STATUS INVEST FII'!$A$2:$N$404,7,0),0)</f>
        <v>9339.74</v>
      </c>
    </row>
    <row r="140" spans="2:15" x14ac:dyDescent="0.25">
      <c r="B140" s="126" t="s">
        <v>234</v>
      </c>
      <c r="C140" s="9">
        <f>IFERROR(VLOOKUP(B140,'STATUS INVEST FII'!$A$2:$N$404,2,0),0)</f>
        <v>88.15</v>
      </c>
      <c r="D140" s="10">
        <f>IFERROR(VLOOKUP(B140,'STATUS INVEST FII'!$A$2:$N$404,4,0)/100,0)</f>
        <v>7.46E-2</v>
      </c>
      <c r="E140" s="11">
        <f>IFERROR(VLOOKUP(B140,'STATUS INVEST FII'!$A$2:$N$404,6,0),0)</f>
        <v>0.88</v>
      </c>
      <c r="F140" s="12">
        <f>IFERROR(VLOOKUP(B140,'STATUS INVEST FII'!$A$2:$N$404,8,0)/100,0)</f>
        <v>8.1000000000000013E-3</v>
      </c>
      <c r="G140" s="13">
        <f>IFERROR(VLOOKUP(B140,'STATUS INVEST FII'!$A$2:$N$404,9,0)/100,0)</f>
        <v>0</v>
      </c>
      <c r="H140" s="13">
        <f>IFERROR(VLOOKUP(B140,'STATUS INVEST FII'!$A$2:$N$404,10,0)/100,0)</f>
        <v>0</v>
      </c>
      <c r="I140" s="20">
        <f>IFERROR(VLOOKUP(B140,'STATUS INVEST FII'!$A$2:$N$404,11,0),0)</f>
        <v>996715875.76999998</v>
      </c>
      <c r="J140" s="45" t="str">
        <f>IFERROR(VLOOKUP(B140,'ATIVOS-GESTÃO'!$A$1:$C$329,2),"-")</f>
        <v>MULTI</v>
      </c>
      <c r="K140" s="45" t="str">
        <f>IFERROR(VLOOKUP(B140,'ATIVOS-GESTÃO'!$A$1:$C$329,3),"-")</f>
        <v>MULTI</v>
      </c>
      <c r="L140" s="20" t="str">
        <f>IFERROR(VLOOKUP(B140,'STATUS INVEST FII'!$A$2:$N$404,13,0),"-")</f>
        <v>Ativa</v>
      </c>
      <c r="M140" s="20" t="str">
        <f>IFERROR(VLOOKUP(B140,'DATA-COM'!A:B,2,FALSE),"-")</f>
        <v xml:space="preserve">Último </v>
      </c>
      <c r="N140" s="51">
        <f>IFERROR(VLOOKUP(B140,'STATUS INVEST FII'!$A$2:$N$404,12,0),"-")</f>
        <v>59787</v>
      </c>
      <c r="O140" s="54">
        <f>IFERROR(VLOOKUP(B140,'STATUS INVEST FII'!$A$2:$N$404,7,0),0)</f>
        <v>2461128.41</v>
      </c>
    </row>
    <row r="141" spans="2:15" x14ac:dyDescent="0.25">
      <c r="B141" s="126" t="s">
        <v>79</v>
      </c>
      <c r="C141" s="9">
        <f>IFERROR(VLOOKUP(B141,'STATUS INVEST FII'!$A$2:$N$404,2,0),0)</f>
        <v>49.49</v>
      </c>
      <c r="D141" s="10">
        <f>IFERROR(VLOOKUP(B141,'STATUS INVEST FII'!$A$2:$N$404,4,0)/100,0)</f>
        <v>9.69E-2</v>
      </c>
      <c r="E141" s="11">
        <f>IFERROR(VLOOKUP(B141,'STATUS INVEST FII'!$A$2:$N$404,6,0),0)</f>
        <v>0.5</v>
      </c>
      <c r="F141" s="12">
        <f>IFERROR(VLOOKUP(B141,'STATUS INVEST FII'!$A$2:$N$404,8,0)/100,0)</f>
        <v>3.7400000000000003E-2</v>
      </c>
      <c r="G141" s="13">
        <f>IFERROR(VLOOKUP(B141,'STATUS INVEST FII'!$A$2:$N$404,9,0)/100,0)</f>
        <v>0</v>
      </c>
      <c r="H141" s="13">
        <f>IFERROR(VLOOKUP(B141,'STATUS INVEST FII'!$A$2:$N$404,10,0)/100,0)</f>
        <v>0</v>
      </c>
      <c r="I141" s="20">
        <f>IFERROR(VLOOKUP(B141,'STATUS INVEST FII'!$A$2:$N$404,11,0),0)</f>
        <v>378738232.00999999</v>
      </c>
      <c r="J141" s="45" t="str">
        <f>IFERROR(VLOOKUP(B141,'ATIVOS-GESTÃO'!$A$1:$C$329,2),"-")</f>
        <v>MULTI</v>
      </c>
      <c r="K141" s="45" t="str">
        <f>IFERROR(VLOOKUP(B141,'ATIVOS-GESTÃO'!$A$1:$C$329,3),"-")</f>
        <v>MULTI</v>
      </c>
      <c r="L141" s="20" t="str">
        <f>IFERROR(VLOOKUP(B141,'STATUS INVEST FII'!$A$2:$N$404,13,0),"-")</f>
        <v>Ativa</v>
      </c>
      <c r="M141" s="20" t="str">
        <f>IFERROR(VLOOKUP(B141,'DATA-COM'!A:B,2,FALSE),"-")</f>
        <v xml:space="preserve">Último </v>
      </c>
      <c r="N141" s="51">
        <f>IFERROR(VLOOKUP(B141,'STATUS INVEST FII'!$A$2:$N$404,12,0),"-")</f>
        <v>6413</v>
      </c>
      <c r="O141" s="54">
        <f>IFERROR(VLOOKUP(B141,'STATUS INVEST FII'!$A$2:$N$404,7,0),0)</f>
        <v>241803.41</v>
      </c>
    </row>
    <row r="142" spans="2:15" x14ac:dyDescent="0.25">
      <c r="B142" s="126" t="s">
        <v>104</v>
      </c>
      <c r="C142" s="9">
        <f>IFERROR(VLOOKUP(B142,'STATUS INVEST FII'!$A$2:$N$404,2,0),0)</f>
        <v>66.14</v>
      </c>
      <c r="D142" s="10">
        <f>IFERROR(VLOOKUP(B142,'STATUS INVEST FII'!$A$2:$N$404,4,0)/100,0)</f>
        <v>7.6399999999999996E-2</v>
      </c>
      <c r="E142" s="11">
        <f>IFERROR(VLOOKUP(B142,'STATUS INVEST FII'!$A$2:$N$404,6,0),0)</f>
        <v>0.8</v>
      </c>
      <c r="F142" s="12">
        <f>IFERROR(VLOOKUP(B142,'STATUS INVEST FII'!$A$2:$N$404,8,0)/100,0)</f>
        <v>2.4E-2</v>
      </c>
      <c r="G142" s="13">
        <f>IFERROR(VLOOKUP(B142,'STATUS INVEST FII'!$A$2:$N$404,9,0)/100,0)</f>
        <v>3.6799999999999999E-2</v>
      </c>
      <c r="H142" s="13">
        <f>IFERROR(VLOOKUP(B142,'STATUS INVEST FII'!$A$2:$N$404,10,0)/100,0)</f>
        <v>0</v>
      </c>
      <c r="I142" s="20">
        <f>IFERROR(VLOOKUP(B142,'STATUS INVEST FII'!$A$2:$N$404,11,0),0)</f>
        <v>1024046383.21</v>
      </c>
      <c r="J142" s="45" t="str">
        <f>IFERROR(VLOOKUP(B142,'ATIVOS-GESTÃO'!$A$1:$C$329,2),"-")</f>
        <v>MULTI</v>
      </c>
      <c r="K142" s="45" t="str">
        <f>IFERROR(VLOOKUP(B142,'ATIVOS-GESTÃO'!$A$1:$C$329,3),"-")</f>
        <v>MULTI</v>
      </c>
      <c r="L142" s="20" t="str">
        <f>IFERROR(VLOOKUP(B142,'STATUS INVEST FII'!$A$2:$N$404,13,0),"-")</f>
        <v>Ativa</v>
      </c>
      <c r="M142" s="20" t="str">
        <f>IFERROR(VLOOKUP(B142,'DATA-COM'!A:B,2,FALSE),"-")</f>
        <v xml:space="preserve">Quinto </v>
      </c>
      <c r="N142" s="51">
        <f>IFERROR(VLOOKUP(B142,'STATUS INVEST FII'!$A$2:$N$404,12,0),"-")</f>
        <v>91250</v>
      </c>
      <c r="O142" s="54">
        <f>IFERROR(VLOOKUP(B142,'STATUS INVEST FII'!$A$2:$N$404,7,0),0)</f>
        <v>1720221.68</v>
      </c>
    </row>
    <row r="143" spans="2:15" x14ac:dyDescent="0.25">
      <c r="B143" s="126" t="s">
        <v>80</v>
      </c>
      <c r="C143" s="9">
        <f>IFERROR(VLOOKUP(B143,'STATUS INVEST FII'!$A$2:$N$404,2,0),0)</f>
        <v>126.89</v>
      </c>
      <c r="D143" s="10">
        <f>IFERROR(VLOOKUP(B143,'STATUS INVEST FII'!$A$2:$N$404,4,0)/100,0)</f>
        <v>7.5700000000000003E-2</v>
      </c>
      <c r="E143" s="11">
        <f>IFERROR(VLOOKUP(B143,'STATUS INVEST FII'!$A$2:$N$404,6,0),0)</f>
        <v>0.64</v>
      </c>
      <c r="F143" s="12">
        <f>IFERROR(VLOOKUP(B143,'STATUS INVEST FII'!$A$2:$N$404,8,0)/100,0)</f>
        <v>1.34E-2</v>
      </c>
      <c r="G143" s="13">
        <f>IFERROR(VLOOKUP(B143,'STATUS INVEST FII'!$A$2:$N$404,9,0)/100,0)</f>
        <v>8.43E-2</v>
      </c>
      <c r="H143" s="13">
        <f>IFERROR(VLOOKUP(B143,'STATUS INVEST FII'!$A$2:$N$404,10,0)/100,0)</f>
        <v>-7.6600000000000001E-2</v>
      </c>
      <c r="I143" s="20">
        <f>IFERROR(VLOOKUP(B143,'STATUS INVEST FII'!$A$2:$N$404,11,0),0)</f>
        <v>725693907.41999996</v>
      </c>
      <c r="J143" s="45" t="str">
        <f>IFERROR(VLOOKUP(B143,'ATIVOS-GESTÃO'!$A$1:$C$329,2),"-")</f>
        <v>MULTI</v>
      </c>
      <c r="K143" s="45" t="str">
        <f>IFERROR(VLOOKUP(B143,'ATIVOS-GESTÃO'!$A$1:$C$329,3),"-")</f>
        <v>MULTI</v>
      </c>
      <c r="L143" s="20" t="str">
        <f>IFERROR(VLOOKUP(B143,'STATUS INVEST FII'!$A$2:$N$404,13,0),"-")</f>
        <v>Ativa</v>
      </c>
      <c r="M143" s="20" t="str">
        <f>IFERROR(VLOOKUP(B143,'DATA-COM'!A:B,2,FALSE),"-")</f>
        <v xml:space="preserve">Quarto </v>
      </c>
      <c r="N143" s="51">
        <f>IFERROR(VLOOKUP(B143,'STATUS INVEST FII'!$A$2:$N$404,12,0),"-")</f>
        <v>29885</v>
      </c>
      <c r="O143" s="54">
        <f>IFERROR(VLOOKUP(B143,'STATUS INVEST FII'!$A$2:$N$404,7,0),0)</f>
        <v>994714.59</v>
      </c>
    </row>
    <row r="144" spans="2:15" x14ac:dyDescent="0.25">
      <c r="B144" s="126" t="s">
        <v>182</v>
      </c>
      <c r="C144" s="9">
        <f>IFERROR(VLOOKUP(B144,'STATUS INVEST FII'!$A$2:$N$404,2,0),0)</f>
        <v>67.47</v>
      </c>
      <c r="D144" s="10">
        <f>IFERROR(VLOOKUP(B144,'STATUS INVEST FII'!$A$2:$N$404,4,0)/100,0)</f>
        <v>9.9600000000000008E-2</v>
      </c>
      <c r="E144" s="11">
        <f>IFERROR(VLOOKUP(B144,'STATUS INVEST FII'!$A$2:$N$404,6,0),0)</f>
        <v>0.69</v>
      </c>
      <c r="F144" s="12">
        <f>IFERROR(VLOOKUP(B144,'STATUS INVEST FII'!$A$2:$N$404,8,0)/100,0)</f>
        <v>4.1299999999999996E-2</v>
      </c>
      <c r="G144" s="13">
        <f>IFERROR(VLOOKUP(B144,'STATUS INVEST FII'!$A$2:$N$404,9,0)/100,0)</f>
        <v>0</v>
      </c>
      <c r="H144" s="13">
        <f>IFERROR(VLOOKUP(B144,'STATUS INVEST FII'!$A$2:$N$404,10,0)/100,0)</f>
        <v>0</v>
      </c>
      <c r="I144" s="20">
        <f>IFERROR(VLOOKUP(B144,'STATUS INVEST FII'!$A$2:$N$404,11,0),0)</f>
        <v>798794859.5</v>
      </c>
      <c r="J144" s="45" t="str">
        <f>IFERROR(VLOOKUP(B144,'ATIVOS-GESTÃO'!$A$1:$C$329,2),"-")</f>
        <v>MULTI</v>
      </c>
      <c r="K144" s="45" t="str">
        <f>IFERROR(VLOOKUP(B144,'ATIVOS-GESTÃO'!$A$1:$C$329,3),"-")</f>
        <v>MULTI</v>
      </c>
      <c r="L144" s="20" t="str">
        <f>IFERROR(VLOOKUP(B144,'STATUS INVEST FII'!$A$2:$N$404,13,0),"-")</f>
        <v>Ativa</v>
      </c>
      <c r="M144" s="20" t="str">
        <f>IFERROR(VLOOKUP(B144,'DATA-COM'!A:B,2,FALSE),"-")</f>
        <v xml:space="preserve">Quinto </v>
      </c>
      <c r="N144" s="51">
        <f>IFERROR(VLOOKUP(B144,'STATUS INVEST FII'!$A$2:$N$404,12,0),"-")</f>
        <v>79829</v>
      </c>
      <c r="O144" s="54">
        <f>IFERROR(VLOOKUP(B144,'STATUS INVEST FII'!$A$2:$N$404,7,0),0)</f>
        <v>711047.79</v>
      </c>
    </row>
    <row r="145" spans="2:15" x14ac:dyDescent="0.25">
      <c r="B145" s="126" t="s">
        <v>311</v>
      </c>
      <c r="C145" s="9">
        <f>IFERROR(VLOOKUP(B145,'STATUS INVEST FII'!$A$2:$N$404,2,0),0)</f>
        <v>37</v>
      </c>
      <c r="D145" s="10">
        <f>IFERROR(VLOOKUP(B145,'STATUS INVEST FII'!$A$2:$N$404,4,0)/100,0)</f>
        <v>4.6399999999999997E-2</v>
      </c>
      <c r="E145" s="11">
        <f>IFERROR(VLOOKUP(B145,'STATUS INVEST FII'!$A$2:$N$404,6,0),0)</f>
        <v>0.36</v>
      </c>
      <c r="F145" s="12">
        <f>IFERROR(VLOOKUP(B145,'STATUS INVEST FII'!$A$2:$N$404,8,0)/100,0)</f>
        <v>4.3E-3</v>
      </c>
      <c r="G145" s="13">
        <f>IFERROR(VLOOKUP(B145,'STATUS INVEST FII'!$A$2:$N$404,9,0)/100,0)</f>
        <v>0</v>
      </c>
      <c r="H145" s="13">
        <f>IFERROR(VLOOKUP(B145,'STATUS INVEST FII'!$A$2:$N$404,10,0)/100,0)</f>
        <v>0</v>
      </c>
      <c r="I145" s="20">
        <f>IFERROR(VLOOKUP(B145,'STATUS INVEST FII'!$A$2:$N$404,11,0),0)</f>
        <v>264567840.53</v>
      </c>
      <c r="J145" s="45" t="str">
        <f>IFERROR(VLOOKUP(B145,'ATIVOS-GESTÃO'!$A$1:$C$329,2),"-")</f>
        <v>MULTI</v>
      </c>
      <c r="K145" s="45" t="str">
        <f>IFERROR(VLOOKUP(B145,'ATIVOS-GESTÃO'!$A$1:$C$329,3),"-")</f>
        <v>MULTI</v>
      </c>
      <c r="L145" s="20" t="str">
        <f>IFERROR(VLOOKUP(B145,'STATUS INVEST FII'!$A$2:$N$404,13,0),"-")</f>
        <v>Ativa</v>
      </c>
      <c r="M145" s="20" t="str">
        <f>IFERROR(VLOOKUP(B145,'DATA-COM'!A:B,2,FALSE),"-")</f>
        <v xml:space="preserve">Último </v>
      </c>
      <c r="N145" s="51">
        <f>IFERROR(VLOOKUP(B145,'STATUS INVEST FII'!$A$2:$N$404,12,0),"-")</f>
        <v>1135</v>
      </c>
      <c r="O145" s="54">
        <f>IFERROR(VLOOKUP(B145,'STATUS INVEST FII'!$A$2:$N$404,7,0),0)</f>
        <v>94102.03</v>
      </c>
    </row>
    <row r="146" spans="2:15" x14ac:dyDescent="0.25">
      <c r="B146" s="126" t="s">
        <v>81</v>
      </c>
      <c r="C146" s="9">
        <f>IFERROR(VLOOKUP(B146,'STATUS INVEST FII'!$A$2:$N$404,2,0),0)</f>
        <v>48.88</v>
      </c>
      <c r="D146" s="10">
        <f>IFERROR(VLOOKUP(B146,'STATUS INVEST FII'!$A$2:$N$404,4,0)/100,0)</f>
        <v>8.9200000000000002E-2</v>
      </c>
      <c r="E146" s="11">
        <f>IFERROR(VLOOKUP(B146,'STATUS INVEST FII'!$A$2:$N$404,6,0),0)</f>
        <v>0.56000000000000005</v>
      </c>
      <c r="F146" s="12">
        <f>IFERROR(VLOOKUP(B146,'STATUS INVEST FII'!$A$2:$N$404,8,0)/100,0)</f>
        <v>0.02</v>
      </c>
      <c r="G146" s="13">
        <f>IFERROR(VLOOKUP(B146,'STATUS INVEST FII'!$A$2:$N$404,9,0)/100,0)</f>
        <v>-9.5700000000000007E-2</v>
      </c>
      <c r="H146" s="13">
        <f>IFERROR(VLOOKUP(B146,'STATUS INVEST FII'!$A$2:$N$404,10,0)/100,0)</f>
        <v>-0.15839999999999999</v>
      </c>
      <c r="I146" s="20">
        <f>IFERROR(VLOOKUP(B146,'STATUS INVEST FII'!$A$2:$N$404,11,0),0)</f>
        <v>234118556.5</v>
      </c>
      <c r="J146" s="45" t="str">
        <f>IFERROR(VLOOKUP(B146,'ATIVOS-GESTÃO'!$A$1:$C$329,2),"-")</f>
        <v>MULTI</v>
      </c>
      <c r="K146" s="45" t="str">
        <f>IFERROR(VLOOKUP(B146,'ATIVOS-GESTÃO'!$A$1:$C$329,3),"-")</f>
        <v>MULTI</v>
      </c>
      <c r="L146" s="20" t="str">
        <f>IFERROR(VLOOKUP(B146,'STATUS INVEST FII'!$A$2:$N$404,13,0),"-")</f>
        <v>Passiva</v>
      </c>
      <c r="M146" s="20" t="str">
        <f>IFERROR(VLOOKUP(B146,'DATA-COM'!A:B,2,FALSE),"-")</f>
        <v xml:space="preserve">Último </v>
      </c>
      <c r="N146" s="51">
        <f>IFERROR(VLOOKUP(B146,'STATUS INVEST FII'!$A$2:$N$404,12,0),"-")</f>
        <v>14562</v>
      </c>
      <c r="O146" s="54">
        <f>IFERROR(VLOOKUP(B146,'STATUS INVEST FII'!$A$2:$N$404,7,0),0)</f>
        <v>137103.74</v>
      </c>
    </row>
    <row r="147" spans="2:15" x14ac:dyDescent="0.25">
      <c r="B147" s="126" t="s">
        <v>281</v>
      </c>
      <c r="C147" s="9">
        <f>IFERROR(VLOOKUP(B147,'STATUS INVEST FII'!$A$2:$N$404,2,0),0)</f>
        <v>35.74</v>
      </c>
      <c r="D147" s="10">
        <f>IFERROR(VLOOKUP(B147,'STATUS INVEST FII'!$A$2:$N$404,4,0)/100,0)</f>
        <v>0</v>
      </c>
      <c r="E147" s="11">
        <f>IFERROR(VLOOKUP(B147,'STATUS INVEST FII'!$A$2:$N$404,6,0),0)</f>
        <v>0.64</v>
      </c>
      <c r="F147" s="12">
        <f>IFERROR(VLOOKUP(B147,'STATUS INVEST FII'!$A$2:$N$404,8,0)/100,0)</f>
        <v>5.1799999999999999E-2</v>
      </c>
      <c r="G147" s="13">
        <f>IFERROR(VLOOKUP(B147,'STATUS INVEST FII'!$A$2:$N$404,9,0)/100,0)</f>
        <v>0</v>
      </c>
      <c r="H147" s="13">
        <f>IFERROR(VLOOKUP(B147,'STATUS INVEST FII'!$A$2:$N$404,10,0)/100,0)</f>
        <v>-0.17610000000000001</v>
      </c>
      <c r="I147" s="20">
        <f>IFERROR(VLOOKUP(B147,'STATUS INVEST FII'!$A$2:$N$404,11,0),0)</f>
        <v>79904489.010000005</v>
      </c>
      <c r="J147" s="45" t="str">
        <f>IFERROR(VLOOKUP(B147,'ATIVOS-GESTÃO'!$A$1:$C$329,2),"-")</f>
        <v>MONO</v>
      </c>
      <c r="K147" s="45" t="str">
        <f>IFERROR(VLOOKUP(B147,'ATIVOS-GESTÃO'!$A$1:$C$329,3),"-")</f>
        <v>MONO</v>
      </c>
      <c r="L147" s="20" t="str">
        <f>IFERROR(VLOOKUP(B147,'STATUS INVEST FII'!$A$2:$N$404,13,0),"-")</f>
        <v>Passiva</v>
      </c>
      <c r="M147" s="20" t="str">
        <f>IFERROR(VLOOKUP(B147,'DATA-COM'!A:B,2,FALSE),"-")</f>
        <v>-</v>
      </c>
      <c r="N147" s="51">
        <f>IFERROR(VLOOKUP(B147,'STATUS INVEST FII'!$A$2:$N$404,12,0),"-")</f>
        <v>50</v>
      </c>
      <c r="O147" s="54">
        <f>IFERROR(VLOOKUP(B147,'STATUS INVEST FII'!$A$2:$N$404,7,0),0)</f>
        <v>1322</v>
      </c>
    </row>
    <row r="148" spans="2:15" x14ac:dyDescent="0.25">
      <c r="B148" s="126" t="s">
        <v>260</v>
      </c>
      <c r="C148" s="9">
        <f>IFERROR(VLOOKUP(B148,'STATUS INVEST FII'!$A$2:$N$404,2,0),0)</f>
        <v>83.07</v>
      </c>
      <c r="D148" s="10">
        <f>IFERROR(VLOOKUP(B148,'STATUS INVEST FII'!$A$2:$N$404,4,0)/100,0)</f>
        <v>5.1200000000000002E-2</v>
      </c>
      <c r="E148" s="11">
        <f>IFERROR(VLOOKUP(B148,'STATUS INVEST FII'!$A$2:$N$404,6,0),0)</f>
        <v>8.2899999999999991</v>
      </c>
      <c r="F148" s="12">
        <f>IFERROR(VLOOKUP(B148,'STATUS INVEST FII'!$A$2:$N$404,8,0)/100,0)</f>
        <v>0.25819999999999999</v>
      </c>
      <c r="G148" s="13">
        <f>IFERROR(VLOOKUP(B148,'STATUS INVEST FII'!$A$2:$N$404,9,0)/100,0)</f>
        <v>1.1669</v>
      </c>
      <c r="H148" s="13">
        <f>IFERROR(VLOOKUP(B148,'STATUS INVEST FII'!$A$2:$N$404,10,0)/100,0)</f>
        <v>0</v>
      </c>
      <c r="I148" s="20">
        <f>IFERROR(VLOOKUP(B148,'STATUS INVEST FII'!$A$2:$N$404,11,0),0)</f>
        <v>9829853.3200000003</v>
      </c>
      <c r="J148" s="45" t="str">
        <f>IFERROR(VLOOKUP(B148,'ATIVOS-GESTÃO'!$A$1:$C$329,2),"-")</f>
        <v>MULTI</v>
      </c>
      <c r="K148" s="45" t="str">
        <f>IFERROR(VLOOKUP(B148,'ATIVOS-GESTÃO'!$A$1:$C$329,3),"-")</f>
        <v>MULTI</v>
      </c>
      <c r="L148" s="20" t="str">
        <f>IFERROR(VLOOKUP(B148,'STATUS INVEST FII'!$A$2:$N$404,13,0),"-")</f>
        <v>Passiva</v>
      </c>
      <c r="M148" s="20" t="str">
        <f>IFERROR(VLOOKUP(B148,'DATA-COM'!A:B,2,FALSE),"-")</f>
        <v xml:space="preserve">Quarto </v>
      </c>
      <c r="N148" s="51">
        <f>IFERROR(VLOOKUP(B148,'STATUS INVEST FII'!$A$2:$N$404,12,0),"-")</f>
        <v>54</v>
      </c>
      <c r="O148" s="54">
        <f>IFERROR(VLOOKUP(B148,'STATUS INVEST FII'!$A$2:$N$404,7,0),0)</f>
        <v>0</v>
      </c>
    </row>
    <row r="149" spans="2:15" x14ac:dyDescent="0.25">
      <c r="B149" s="126" t="s">
        <v>82</v>
      </c>
      <c r="C149" s="9">
        <f>IFERROR(VLOOKUP(B149,'STATUS INVEST FII'!$A$2:$N$404,2,0),0)</f>
        <v>44.4</v>
      </c>
      <c r="D149" s="10">
        <f>IFERROR(VLOOKUP(B149,'STATUS INVEST FII'!$A$2:$N$404,4,0)/100,0)</f>
        <v>0.30469999999999997</v>
      </c>
      <c r="E149" s="11">
        <f>IFERROR(VLOOKUP(B149,'STATUS INVEST FII'!$A$2:$N$404,6,0),0)</f>
        <v>0.85</v>
      </c>
      <c r="F149" s="12">
        <f>IFERROR(VLOOKUP(B149,'STATUS INVEST FII'!$A$2:$N$404,8,0)/100,0)</f>
        <v>5.9000000000000004E-2</v>
      </c>
      <c r="G149" s="13">
        <f>IFERROR(VLOOKUP(B149,'STATUS INVEST FII'!$A$2:$N$404,9,0)/100,0)</f>
        <v>0.17670000000000002</v>
      </c>
      <c r="H149" s="13">
        <f>IFERROR(VLOOKUP(B149,'STATUS INVEST FII'!$A$2:$N$404,10,0)/100,0)</f>
        <v>-0.17829999999999999</v>
      </c>
      <c r="I149" s="20">
        <f>IFERROR(VLOOKUP(B149,'STATUS INVEST FII'!$A$2:$N$404,11,0),0)</f>
        <v>94947466.890000001</v>
      </c>
      <c r="J149" s="45" t="str">
        <f>IFERROR(VLOOKUP(B149,'ATIVOS-GESTÃO'!$A$1:$C$329,2),"-")</f>
        <v>MULTI</v>
      </c>
      <c r="K149" s="45" t="str">
        <f>IFERROR(VLOOKUP(B149,'ATIVOS-GESTÃO'!$A$1:$C$329,3),"-")</f>
        <v>MONO</v>
      </c>
      <c r="L149" s="20" t="str">
        <f>IFERROR(VLOOKUP(B149,'STATUS INVEST FII'!$A$2:$N$404,13,0),"-")</f>
        <v>Passiva</v>
      </c>
      <c r="M149" s="20" t="str">
        <f>IFERROR(VLOOKUP(B149,'DATA-COM'!A:B,2,FALSE),"-")</f>
        <v xml:space="preserve">Último </v>
      </c>
      <c r="N149" s="51">
        <f>IFERROR(VLOOKUP(B149,'STATUS INVEST FII'!$A$2:$N$404,12,0),"-")</f>
        <v>20695</v>
      </c>
      <c r="O149" s="54">
        <f>IFERROR(VLOOKUP(B149,'STATUS INVEST FII'!$A$2:$N$404,7,0),0)</f>
        <v>150560.26</v>
      </c>
    </row>
    <row r="150" spans="2:15" x14ac:dyDescent="0.25">
      <c r="B150" s="126" t="s">
        <v>221</v>
      </c>
      <c r="C150" s="9">
        <f>IFERROR(VLOOKUP(B150,'STATUS INVEST FII'!$A$2:$N$404,2,0),0)</f>
        <v>15.56</v>
      </c>
      <c r="D150" s="10">
        <f>IFERROR(VLOOKUP(B150,'STATUS INVEST FII'!$A$2:$N$404,4,0)/100,0)</f>
        <v>0</v>
      </c>
      <c r="E150" s="11">
        <f>IFERROR(VLOOKUP(B150,'STATUS INVEST FII'!$A$2:$N$404,6,0),0)</f>
        <v>259.33</v>
      </c>
      <c r="F150" s="12">
        <f>IFERROR(VLOOKUP(B150,'STATUS INVEST FII'!$A$2:$N$404,8,0)/100,0)</f>
        <v>0.70239999999999991</v>
      </c>
      <c r="G150" s="13">
        <f>IFERROR(VLOOKUP(B150,'STATUS INVEST FII'!$A$2:$N$404,9,0)/100,0)</f>
        <v>0.72219999999999995</v>
      </c>
      <c r="H150" s="13">
        <f>IFERROR(VLOOKUP(B150,'STATUS INVEST FII'!$A$2:$N$404,10,0)/100,0)</f>
        <v>-0.42649999999999999</v>
      </c>
      <c r="I150" s="20">
        <f>IFERROR(VLOOKUP(B150,'STATUS INVEST FII'!$A$2:$N$404,11,0),0)</f>
        <v>624841.51</v>
      </c>
      <c r="J150" s="45" t="str">
        <f>IFERROR(VLOOKUP(B150,'ATIVOS-GESTÃO'!$A$1:$C$329,2),"-")</f>
        <v>MONO</v>
      </c>
      <c r="K150" s="45" t="str">
        <f>IFERROR(VLOOKUP(B150,'ATIVOS-GESTÃO'!$A$1:$C$329,3),"-")</f>
        <v>MULTI</v>
      </c>
      <c r="L150" s="20" t="str">
        <f>IFERROR(VLOOKUP(B150,'STATUS INVEST FII'!$A$2:$N$404,13,0),"-")</f>
        <v>Passiva</v>
      </c>
      <c r="M150" s="20" t="str">
        <f>IFERROR(VLOOKUP(B150,'DATA-COM'!A:B,2,FALSE),"-")</f>
        <v xml:space="preserve">Décimo Quarto </v>
      </c>
      <c r="N150" s="51">
        <f>IFERROR(VLOOKUP(B150,'STATUS INVEST FII'!$A$2:$N$404,12,0),"-")</f>
        <v>9172</v>
      </c>
      <c r="O150" s="54">
        <f>IFERROR(VLOOKUP(B150,'STATUS INVEST FII'!$A$2:$N$404,7,0),0)</f>
        <v>0</v>
      </c>
    </row>
    <row r="151" spans="2:15" x14ac:dyDescent="0.25">
      <c r="B151" s="126" t="s">
        <v>83</v>
      </c>
      <c r="C151" s="9">
        <f>IFERROR(VLOOKUP(B151,'STATUS INVEST FII'!$A$2:$N$404,2,0),0)</f>
        <v>69.37</v>
      </c>
      <c r="D151" s="10">
        <f>IFERROR(VLOOKUP(B151,'STATUS INVEST FII'!$A$2:$N$404,4,0)/100,0)</f>
        <v>7.7399999999999997E-2</v>
      </c>
      <c r="E151" s="11">
        <f>IFERROR(VLOOKUP(B151,'STATUS INVEST FII'!$A$2:$N$404,6,0),0)</f>
        <v>0.78</v>
      </c>
      <c r="F151" s="12">
        <f>IFERROR(VLOOKUP(B151,'STATUS INVEST FII'!$A$2:$N$404,8,0)/100,0)</f>
        <v>2E-3</v>
      </c>
      <c r="G151" s="13">
        <f>IFERROR(VLOOKUP(B151,'STATUS INVEST FII'!$A$2:$N$404,9,0)/100,0)</f>
        <v>0</v>
      </c>
      <c r="H151" s="13">
        <f>IFERROR(VLOOKUP(B151,'STATUS INVEST FII'!$A$2:$N$404,10,0)/100,0)</f>
        <v>0</v>
      </c>
      <c r="I151" s="20">
        <f>IFERROR(VLOOKUP(B151,'STATUS INVEST FII'!$A$2:$N$404,11,0),0)</f>
        <v>384342485.14999998</v>
      </c>
      <c r="J151" s="45" t="str">
        <f>IFERROR(VLOOKUP(B151,'ATIVOS-GESTÃO'!$A$1:$C$329,2),"-")</f>
        <v>MULTI</v>
      </c>
      <c r="K151" s="45" t="str">
        <f>IFERROR(VLOOKUP(B151,'ATIVOS-GESTÃO'!$A$1:$C$329,3),"-")</f>
        <v>MULTI</v>
      </c>
      <c r="L151" s="20" t="str">
        <f>IFERROR(VLOOKUP(B151,'STATUS INVEST FII'!$A$2:$N$404,13,0),"-")</f>
        <v>Ativa</v>
      </c>
      <c r="M151" s="20" t="str">
        <f>IFERROR(VLOOKUP(B151,'DATA-COM'!A:B,2,FALSE),"-")</f>
        <v xml:space="preserve">Último </v>
      </c>
      <c r="N151" s="51">
        <f>IFERROR(VLOOKUP(B151,'STATUS INVEST FII'!$A$2:$N$404,12,0),"-")</f>
        <v>7807</v>
      </c>
      <c r="O151" s="54">
        <f>IFERROR(VLOOKUP(B151,'STATUS INVEST FII'!$A$2:$N$404,7,0),0)</f>
        <v>230059.85</v>
      </c>
    </row>
    <row r="152" spans="2:15" x14ac:dyDescent="0.25">
      <c r="B152" s="126" t="s">
        <v>85</v>
      </c>
      <c r="C152" s="9">
        <f>IFERROR(VLOOKUP(B152,'STATUS INVEST FII'!$A$2:$N$404,2,0),0)</f>
        <v>108.84</v>
      </c>
      <c r="D152" s="10">
        <f>IFERROR(VLOOKUP(B152,'STATUS INVEST FII'!$A$2:$N$404,4,0)/100,0)</f>
        <v>4.5100000000000001E-2</v>
      </c>
      <c r="E152" s="11">
        <f>IFERROR(VLOOKUP(B152,'STATUS INVEST FII'!$A$2:$N$404,6,0),0)</f>
        <v>0.53</v>
      </c>
      <c r="F152" s="12">
        <f>IFERROR(VLOOKUP(B152,'STATUS INVEST FII'!$A$2:$N$404,8,0)/100,0)</f>
        <v>6.5000000000000006E-3</v>
      </c>
      <c r="G152" s="13">
        <f>IFERROR(VLOOKUP(B152,'STATUS INVEST FII'!$A$2:$N$404,9,0)/100,0)</f>
        <v>-0.18920000000000001</v>
      </c>
      <c r="H152" s="13">
        <f>IFERROR(VLOOKUP(B152,'STATUS INVEST FII'!$A$2:$N$404,10,0)/100,0)</f>
        <v>-0.1827</v>
      </c>
      <c r="I152" s="20">
        <f>IFERROR(VLOOKUP(B152,'STATUS INVEST FII'!$A$2:$N$404,11,0),0)</f>
        <v>796690441.59000003</v>
      </c>
      <c r="J152" s="45" t="str">
        <f>IFERROR(VLOOKUP(B152,'ATIVOS-GESTÃO'!$A$1:$C$329,2),"-")</f>
        <v>MONO</v>
      </c>
      <c r="K152" s="45" t="str">
        <f>IFERROR(VLOOKUP(B152,'ATIVOS-GESTÃO'!$A$1:$C$329,3),"-")</f>
        <v>MULTI</v>
      </c>
      <c r="L152" s="20" t="str">
        <f>IFERROR(VLOOKUP(B152,'STATUS INVEST FII'!$A$2:$N$404,13,0),"-")</f>
        <v>Passiva</v>
      </c>
      <c r="M152" s="20" t="str">
        <f>IFERROR(VLOOKUP(B152,'DATA-COM'!A:B,2,FALSE),"-")</f>
        <v xml:space="preserve">Oitavo </v>
      </c>
      <c r="N152" s="51">
        <f>IFERROR(VLOOKUP(B152,'STATUS INVEST FII'!$A$2:$N$404,12,0),"-")</f>
        <v>818</v>
      </c>
      <c r="O152" s="54">
        <f>IFERROR(VLOOKUP(B152,'STATUS INVEST FII'!$A$2:$N$404,7,0),0)</f>
        <v>17390.650000000001</v>
      </c>
    </row>
    <row r="153" spans="2:15" x14ac:dyDescent="0.25">
      <c r="B153" s="126" t="s">
        <v>383</v>
      </c>
      <c r="C153" s="9">
        <f>IFERROR(VLOOKUP(B153,'STATUS INVEST FII'!$A$2:$N$404,2,0),0)</f>
        <v>100</v>
      </c>
      <c r="D153" s="10">
        <f>IFERROR(VLOOKUP(B153,'STATUS INVEST FII'!$A$2:$N$404,4,0)/100,0)</f>
        <v>7.8200000000000006E-2</v>
      </c>
      <c r="E153" s="11">
        <f>IFERROR(VLOOKUP(B153,'STATUS INVEST FII'!$A$2:$N$404,6,0),0)</f>
        <v>1.02</v>
      </c>
      <c r="F153" s="12">
        <f>IFERROR(VLOOKUP(B153,'STATUS INVEST FII'!$A$2:$N$404,8,0)/100,0)</f>
        <v>2.64E-2</v>
      </c>
      <c r="G153" s="13">
        <f>IFERROR(VLOOKUP(B153,'STATUS INVEST FII'!$A$2:$N$404,9,0)/100,0)</f>
        <v>0</v>
      </c>
      <c r="H153" s="13">
        <f>IFERROR(VLOOKUP(B153,'STATUS INVEST FII'!$A$2:$N$404,10,0)/100,0)</f>
        <v>0</v>
      </c>
      <c r="I153" s="20">
        <f>IFERROR(VLOOKUP(B153,'STATUS INVEST FII'!$A$2:$N$404,11,0),0)</f>
        <v>118471304.15000001</v>
      </c>
      <c r="J153" s="45" t="str">
        <f>IFERROR(VLOOKUP(B153,'ATIVOS-GESTÃO'!$A$1:$C$329,2),"-")</f>
        <v>-</v>
      </c>
      <c r="K153" s="45" t="str">
        <f>IFERROR(VLOOKUP(B153,'ATIVOS-GESTÃO'!$A$1:$C$329,3),"-")</f>
        <v>-</v>
      </c>
      <c r="L153" s="20" t="str">
        <f>IFERROR(VLOOKUP(B153,'STATUS INVEST FII'!$A$2:$N$404,13,0),"-")</f>
        <v>Ativa</v>
      </c>
      <c r="M153" s="20" t="str">
        <f>IFERROR(VLOOKUP(B153,'DATA-COM'!A:B,2,FALSE),"-")</f>
        <v xml:space="preserve">Último </v>
      </c>
      <c r="N153" s="51">
        <f>IFERROR(VLOOKUP(B153,'STATUS INVEST FII'!$A$2:$N$404,12,0),"-")</f>
        <v>22</v>
      </c>
      <c r="O153" s="54">
        <f>IFERROR(VLOOKUP(B153,'STATUS INVEST FII'!$A$2:$N$404,7,0),0)</f>
        <v>420025</v>
      </c>
    </row>
    <row r="154" spans="2:15" x14ac:dyDescent="0.25">
      <c r="B154" s="126" t="s">
        <v>253</v>
      </c>
      <c r="C154" s="9">
        <f>IFERROR(VLOOKUP(B154,'STATUS INVEST FII'!$A$2:$N$404,2,0),0)</f>
        <v>0</v>
      </c>
      <c r="D154" s="10">
        <f>IFERROR(VLOOKUP(B154,'STATUS INVEST FII'!$A$2:$N$404,4,0)/100,0)</f>
        <v>0</v>
      </c>
      <c r="E154" s="11">
        <f>IFERROR(VLOOKUP(B154,'STATUS INVEST FII'!$A$2:$N$404,6,0),0)</f>
        <v>0</v>
      </c>
      <c r="F154" s="12">
        <f>IFERROR(VLOOKUP(B154,'STATUS INVEST FII'!$A$2:$N$404,8,0)/100,0)</f>
        <v>2.9100000000000001E-2</v>
      </c>
      <c r="G154" s="13">
        <f>IFERROR(VLOOKUP(B154,'STATUS INVEST FII'!$A$2:$N$404,9,0)/100,0)</f>
        <v>-3.0299999999999997E-2</v>
      </c>
      <c r="H154" s="13">
        <f>IFERROR(VLOOKUP(B154,'STATUS INVEST FII'!$A$2:$N$404,10,0)/100,0)</f>
        <v>0</v>
      </c>
      <c r="I154" s="20">
        <f>IFERROR(VLOOKUP(B154,'STATUS INVEST FII'!$A$2:$N$404,11,0),0)</f>
        <v>100056791.59999999</v>
      </c>
      <c r="J154" s="45" t="str">
        <f>IFERROR(VLOOKUP(B154,'ATIVOS-GESTÃO'!$A$1:$C$329,2),"-")</f>
        <v>MULTI</v>
      </c>
      <c r="K154" s="45" t="str">
        <f>IFERROR(VLOOKUP(B154,'ATIVOS-GESTÃO'!$A$1:$C$329,3),"-")</f>
        <v>MONO</v>
      </c>
      <c r="L154" s="20" t="str">
        <f>IFERROR(VLOOKUP(B154,'STATUS INVEST FII'!$A$2:$N$404,13,0),"-")</f>
        <v>Ativa</v>
      </c>
      <c r="M154" s="20" t="str">
        <f>IFERROR(VLOOKUP(B154,'DATA-COM'!A:B,2,FALSE),"-")</f>
        <v xml:space="preserve">Décimo </v>
      </c>
      <c r="N154" s="51">
        <f>IFERROR(VLOOKUP(B154,'STATUS INVEST FII'!$A$2:$N$404,12,0),"-")</f>
        <v>66</v>
      </c>
      <c r="O154" s="54">
        <f>IFERROR(VLOOKUP(B154,'STATUS INVEST FII'!$A$2:$N$404,7,0),0)</f>
        <v>0</v>
      </c>
    </row>
    <row r="155" spans="2:15" x14ac:dyDescent="0.25">
      <c r="B155" s="126" t="s">
        <v>86</v>
      </c>
      <c r="C155" s="9">
        <f>IFERROR(VLOOKUP(B155,'STATUS INVEST FII'!$A$2:$N$404,2,0),0)</f>
        <v>46.8</v>
      </c>
      <c r="D155" s="10">
        <f>IFERROR(VLOOKUP(B155,'STATUS INVEST FII'!$A$2:$N$404,4,0)/100,0)</f>
        <v>0.12570000000000001</v>
      </c>
      <c r="E155" s="11">
        <f>IFERROR(VLOOKUP(B155,'STATUS INVEST FII'!$A$2:$N$404,6,0),0)</f>
        <v>0.84</v>
      </c>
      <c r="F155" s="12">
        <f>IFERROR(VLOOKUP(B155,'STATUS INVEST FII'!$A$2:$N$404,8,0)/100,0)</f>
        <v>6.9199999999999998E-2</v>
      </c>
      <c r="G155" s="13">
        <f>IFERROR(VLOOKUP(B155,'STATUS INVEST FII'!$A$2:$N$404,9,0)/100,0)</f>
        <v>0</v>
      </c>
      <c r="H155" s="13">
        <f>IFERROR(VLOOKUP(B155,'STATUS INVEST FII'!$A$2:$N$404,10,0)/100,0)</f>
        <v>0</v>
      </c>
      <c r="I155" s="20">
        <f>IFERROR(VLOOKUP(B155,'STATUS INVEST FII'!$A$2:$N$404,11,0),0)</f>
        <v>702294688.25</v>
      </c>
      <c r="J155" s="45" t="str">
        <f>IFERROR(VLOOKUP(B155,'ATIVOS-GESTÃO'!$A$1:$C$329,2),"-")</f>
        <v>MULTI</v>
      </c>
      <c r="K155" s="45" t="str">
        <f>IFERROR(VLOOKUP(B155,'ATIVOS-GESTÃO'!$A$1:$C$329,3),"-")</f>
        <v>MULTI</v>
      </c>
      <c r="L155" s="20" t="str">
        <f>IFERROR(VLOOKUP(B155,'STATUS INVEST FII'!$A$2:$N$404,13,0),"-")</f>
        <v>Ativa</v>
      </c>
      <c r="M155" s="20" t="str">
        <f>IFERROR(VLOOKUP(B155,'DATA-COM'!A:B,2,FALSE),"-")</f>
        <v xml:space="preserve">Último </v>
      </c>
      <c r="N155" s="51">
        <f>IFERROR(VLOOKUP(B155,'STATUS INVEST FII'!$A$2:$N$404,12,0),"-")</f>
        <v>103765</v>
      </c>
      <c r="O155" s="54">
        <f>IFERROR(VLOOKUP(B155,'STATUS INVEST FII'!$A$2:$N$404,7,0),0)</f>
        <v>2942325.62</v>
      </c>
    </row>
    <row r="156" spans="2:15" x14ac:dyDescent="0.25">
      <c r="B156" s="126" t="s">
        <v>276</v>
      </c>
      <c r="C156" s="9">
        <f>IFERROR(VLOOKUP(B156,'STATUS INVEST FII'!$A$2:$N$404,2,0),0)</f>
        <v>1141.1400000000001</v>
      </c>
      <c r="D156" s="10">
        <f>IFERROR(VLOOKUP(B156,'STATUS INVEST FII'!$A$2:$N$404,4,0)/100,0)</f>
        <v>5.7200000000000001E-2</v>
      </c>
      <c r="E156" s="11">
        <f>IFERROR(VLOOKUP(B156,'STATUS INVEST FII'!$A$2:$N$404,6,0),0)</f>
        <v>0.78</v>
      </c>
      <c r="F156" s="12">
        <f>IFERROR(VLOOKUP(B156,'STATUS INVEST FII'!$A$2:$N$404,8,0)/100,0)</f>
        <v>0.29749999999999999</v>
      </c>
      <c r="G156" s="13">
        <f>IFERROR(VLOOKUP(B156,'STATUS INVEST FII'!$A$2:$N$404,9,0)/100,0)</f>
        <v>0</v>
      </c>
      <c r="H156" s="13">
        <f>IFERROR(VLOOKUP(B156,'STATUS INVEST FII'!$A$2:$N$404,10,0)/100,0)</f>
        <v>0</v>
      </c>
      <c r="I156" s="20">
        <f>IFERROR(VLOOKUP(B156,'STATUS INVEST FII'!$A$2:$N$404,11,0),0)</f>
        <v>38116327.200000003</v>
      </c>
      <c r="J156" s="45" t="str">
        <f>IFERROR(VLOOKUP(B156,'ATIVOS-GESTÃO'!$A$1:$C$329,2),"-")</f>
        <v>MONO</v>
      </c>
      <c r="K156" s="45" t="str">
        <f>IFERROR(VLOOKUP(B156,'ATIVOS-GESTÃO'!$A$1:$C$329,3),"-")</f>
        <v>-</v>
      </c>
      <c r="L156" s="20" t="str">
        <f>IFERROR(VLOOKUP(B156,'STATUS INVEST FII'!$A$2:$N$404,13,0),"-")</f>
        <v>Passiva</v>
      </c>
      <c r="M156" s="20" t="str">
        <f>IFERROR(VLOOKUP(B156,'DATA-COM'!A:B,2,FALSE),"-")</f>
        <v xml:space="preserve">Último </v>
      </c>
      <c r="N156" s="51">
        <f>IFERROR(VLOOKUP(B156,'STATUS INVEST FII'!$A$2:$N$404,12,0),"-")</f>
        <v>9</v>
      </c>
      <c r="O156" s="54">
        <f>IFERROR(VLOOKUP(B156,'STATUS INVEST FII'!$A$2:$N$404,7,0),0)</f>
        <v>0</v>
      </c>
    </row>
    <row r="157" spans="2:15" x14ac:dyDescent="0.25">
      <c r="B157" s="126" t="s">
        <v>87</v>
      </c>
      <c r="C157" s="9">
        <f>IFERROR(VLOOKUP(B157,'STATUS INVEST FII'!$A$2:$N$404,2,0),0)</f>
        <v>94.75</v>
      </c>
      <c r="D157" s="10">
        <f>IFERROR(VLOOKUP(B157,'STATUS INVEST FII'!$A$2:$N$404,4,0)/100,0)</f>
        <v>5.8499999999999996E-2</v>
      </c>
      <c r="E157" s="11">
        <f>IFERROR(VLOOKUP(B157,'STATUS INVEST FII'!$A$2:$N$404,6,0),0)</f>
        <v>0.92</v>
      </c>
      <c r="F157" s="12">
        <f>IFERROR(VLOOKUP(B157,'STATUS INVEST FII'!$A$2:$N$404,8,0)/100,0)</f>
        <v>1.29E-2</v>
      </c>
      <c r="G157" s="13">
        <f>IFERROR(VLOOKUP(B157,'STATUS INVEST FII'!$A$2:$N$404,9,0)/100,0)</f>
        <v>1.24E-2</v>
      </c>
      <c r="H157" s="13">
        <f>IFERROR(VLOOKUP(B157,'STATUS INVEST FII'!$A$2:$N$404,10,0)/100,0)</f>
        <v>-3.0999999999999999E-3</v>
      </c>
      <c r="I157" s="20">
        <f>IFERROR(VLOOKUP(B157,'STATUS INVEST FII'!$A$2:$N$404,11,0),0)</f>
        <v>184635743.43000001</v>
      </c>
      <c r="J157" s="45" t="str">
        <f>IFERROR(VLOOKUP(B157,'ATIVOS-GESTÃO'!$A$1:$C$329,2),"-")</f>
        <v>MONO</v>
      </c>
      <c r="K157" s="45" t="str">
        <f>IFERROR(VLOOKUP(B157,'ATIVOS-GESTÃO'!$A$1:$C$329,3),"-")</f>
        <v>MULTI</v>
      </c>
      <c r="L157" s="20" t="str">
        <f>IFERROR(VLOOKUP(B157,'STATUS INVEST FII'!$A$2:$N$404,13,0),"-")</f>
        <v>Passiva</v>
      </c>
      <c r="M157" s="20" t="str">
        <f>IFERROR(VLOOKUP(B157,'DATA-COM'!A:B,2,FALSE),"-")</f>
        <v xml:space="preserve">Último </v>
      </c>
      <c r="N157" s="51">
        <f>IFERROR(VLOOKUP(B157,'STATUS INVEST FII'!$A$2:$N$404,12,0),"-")</f>
        <v>4054</v>
      </c>
      <c r="O157" s="54">
        <f>IFERROR(VLOOKUP(B157,'STATUS INVEST FII'!$A$2:$N$404,7,0),0)</f>
        <v>188962.68</v>
      </c>
    </row>
    <row r="158" spans="2:15" x14ac:dyDescent="0.25">
      <c r="B158" s="126" t="s">
        <v>192</v>
      </c>
      <c r="C158" s="9">
        <f>IFERROR(VLOOKUP(B158,'STATUS INVEST FII'!$A$2:$N$404,2,0),0)</f>
        <v>94.5</v>
      </c>
      <c r="D158" s="10">
        <f>IFERROR(VLOOKUP(B158,'STATUS INVEST FII'!$A$2:$N$404,4,0)/100,0)</f>
        <v>9.0299999999999991E-2</v>
      </c>
      <c r="E158" s="11">
        <f>IFERROR(VLOOKUP(B158,'STATUS INVEST FII'!$A$2:$N$404,6,0),0)</f>
        <v>0.9</v>
      </c>
      <c r="F158" s="12">
        <f>IFERROR(VLOOKUP(B158,'STATUS INVEST FII'!$A$2:$N$404,8,0)/100,0)</f>
        <v>1.41E-2</v>
      </c>
      <c r="G158" s="13">
        <f>IFERROR(VLOOKUP(B158,'STATUS INVEST FII'!$A$2:$N$404,9,0)/100,0)</f>
        <v>0</v>
      </c>
      <c r="H158" s="13">
        <f>IFERROR(VLOOKUP(B158,'STATUS INVEST FII'!$A$2:$N$404,10,0)/100,0)</f>
        <v>0</v>
      </c>
      <c r="I158" s="20">
        <f>IFERROR(VLOOKUP(B158,'STATUS INVEST FII'!$A$2:$N$404,11,0),0)</f>
        <v>238464430.38</v>
      </c>
      <c r="J158" s="45" t="str">
        <f>IFERROR(VLOOKUP(B158,'ATIVOS-GESTÃO'!$A$1:$C$329,2),"-")</f>
        <v>MULTI</v>
      </c>
      <c r="K158" s="45" t="str">
        <f>IFERROR(VLOOKUP(B158,'ATIVOS-GESTÃO'!$A$1:$C$329,3),"-")</f>
        <v>MULTI</v>
      </c>
      <c r="L158" s="20" t="str">
        <f>IFERROR(VLOOKUP(B158,'STATUS INVEST FII'!$A$2:$N$404,13,0),"-")</f>
        <v>Ativa</v>
      </c>
      <c r="M158" s="20" t="str">
        <f>IFERROR(VLOOKUP(B158,'DATA-COM'!A:B,2,FALSE),"-")</f>
        <v xml:space="preserve">Último </v>
      </c>
      <c r="N158" s="51">
        <f>IFERROR(VLOOKUP(B158,'STATUS INVEST FII'!$A$2:$N$404,12,0),"-")</f>
        <v>1400</v>
      </c>
      <c r="O158" s="54">
        <f>IFERROR(VLOOKUP(B158,'STATUS INVEST FII'!$A$2:$N$404,7,0),0)</f>
        <v>360571.15</v>
      </c>
    </row>
    <row r="159" spans="2:15" x14ac:dyDescent="0.25">
      <c r="B159" s="126" t="s">
        <v>88</v>
      </c>
      <c r="C159" s="9">
        <f>IFERROR(VLOOKUP(B159,'STATUS INVEST FII'!$A$2:$N$404,2,0),0)</f>
        <v>18.25</v>
      </c>
      <c r="D159" s="10">
        <f>IFERROR(VLOOKUP(B159,'STATUS INVEST FII'!$A$2:$N$404,4,0)/100,0)</f>
        <v>0.17660000000000001</v>
      </c>
      <c r="E159" s="11">
        <f>IFERROR(VLOOKUP(B159,'STATUS INVEST FII'!$A$2:$N$404,6,0),0)</f>
        <v>0.34</v>
      </c>
      <c r="F159" s="12">
        <f>IFERROR(VLOOKUP(B159,'STATUS INVEST FII'!$A$2:$N$404,8,0)/100,0)</f>
        <v>5.6299999999999996E-2</v>
      </c>
      <c r="G159" s="13">
        <f>IFERROR(VLOOKUP(B159,'STATUS INVEST FII'!$A$2:$N$404,9,0)/100,0)</f>
        <v>-0.31359999999999999</v>
      </c>
      <c r="H159" s="13">
        <f>IFERROR(VLOOKUP(B159,'STATUS INVEST FII'!$A$2:$N$404,10,0)/100,0)</f>
        <v>-0.4244</v>
      </c>
      <c r="I159" s="20">
        <f>IFERROR(VLOOKUP(B159,'STATUS INVEST FII'!$A$2:$N$404,11,0),0)</f>
        <v>132062273.78</v>
      </c>
      <c r="J159" s="45" t="str">
        <f>IFERROR(VLOOKUP(B159,'ATIVOS-GESTÃO'!$A$1:$C$329,2),"-")</f>
        <v>MONO</v>
      </c>
      <c r="K159" s="45" t="str">
        <f>IFERROR(VLOOKUP(B159,'ATIVOS-GESTÃO'!$A$1:$C$329,3),"-")</f>
        <v>MONO</v>
      </c>
      <c r="L159" s="20" t="str">
        <f>IFERROR(VLOOKUP(B159,'STATUS INVEST FII'!$A$2:$N$404,13,0),"-")</f>
        <v>Passiva</v>
      </c>
      <c r="M159" s="20" t="str">
        <f>IFERROR(VLOOKUP(B159,'DATA-COM'!A:B,2,FALSE),"-")</f>
        <v xml:space="preserve">Último </v>
      </c>
      <c r="N159" s="51">
        <f>IFERROR(VLOOKUP(B159,'STATUS INVEST FII'!$A$2:$N$404,12,0),"-")</f>
        <v>30413</v>
      </c>
      <c r="O159" s="54">
        <f>IFERROR(VLOOKUP(B159,'STATUS INVEST FII'!$A$2:$N$404,7,0),0)</f>
        <v>87602.94</v>
      </c>
    </row>
    <row r="160" spans="2:15" ht="15.75" thickBot="1" x14ac:dyDescent="0.3">
      <c r="B160" s="133" t="s">
        <v>89</v>
      </c>
      <c r="C160" s="46">
        <f>IFERROR(VLOOKUP(B160,'STATUS INVEST FII'!$A$2:$N$404,2,0),0)</f>
        <v>6.19</v>
      </c>
      <c r="D160" s="47">
        <f>IFERROR(VLOOKUP(B160,'STATUS INVEST FII'!$A$2:$N$404,4,0)/100,0)</f>
        <v>0</v>
      </c>
      <c r="E160" s="48">
        <f>IFERROR(VLOOKUP(B160,'STATUS INVEST FII'!$A$2:$N$404,6,0),0)</f>
        <v>0.45</v>
      </c>
      <c r="F160" s="49">
        <f>IFERROR(VLOOKUP(B160,'STATUS INVEST FII'!$A$2:$N$404,8,0)/100,0)</f>
        <v>6.7000000000000002E-3</v>
      </c>
      <c r="G160" s="13">
        <f>IFERROR(VLOOKUP(B160,'STATUS INVEST FII'!$A$2:$N$404,9,0)/100,0)</f>
        <v>0</v>
      </c>
      <c r="H160" s="13">
        <f>IFERROR(VLOOKUP(B160,'STATUS INVEST FII'!$A$2:$N$404,10,0)/100,0)</f>
        <v>-3.5499999999999997E-2</v>
      </c>
      <c r="I160" s="38">
        <f>IFERROR(VLOOKUP(B160,'STATUS INVEST FII'!$A$2:$N$404,11,0),0)</f>
        <v>27391929.399999999</v>
      </c>
      <c r="J160" s="45" t="str">
        <f>IFERROR(VLOOKUP(B160,'ATIVOS-GESTÃO'!$A$1:$C$329,2),"-")</f>
        <v>MONO</v>
      </c>
      <c r="K160" s="45" t="str">
        <f>IFERROR(VLOOKUP(B160,'ATIVOS-GESTÃO'!$A$1:$C$329,3),"-")</f>
        <v>MULTI</v>
      </c>
      <c r="L160" s="38" t="str">
        <f>IFERROR(VLOOKUP(B160,'STATUS INVEST FII'!$A$2:$N$404,13,0),"-")</f>
        <v>Ativa</v>
      </c>
      <c r="M160" s="38" t="str">
        <f>IFERROR(VLOOKUP(B160,'DATA-COM'!A:B,2,FALSE),"-")</f>
        <v xml:space="preserve">Último </v>
      </c>
      <c r="N160" s="78">
        <f>IFERROR(VLOOKUP(B160,'STATUS INVEST FII'!$A$2:$N$404,12,0),"-")</f>
        <v>4552</v>
      </c>
      <c r="O160" s="79">
        <f>IFERROR(VLOOKUP(B160,'STATUS INVEST FII'!$A$2:$N$404,7,0),0)</f>
        <v>4013.59</v>
      </c>
    </row>
    <row r="161" spans="2:15" s="203" customFormat="1" ht="15.75" thickBot="1" x14ac:dyDescent="0.3">
      <c r="B161" s="216" t="s">
        <v>2</v>
      </c>
      <c r="C161" s="217">
        <f>IFERROR(VLOOKUP(B161,'STATUS INVEST FII'!$A$2:$N$404,2,0),0)</f>
        <v>0</v>
      </c>
      <c r="D161" s="218">
        <f>IFERROR(VLOOKUP(B161,'STATUS INVEST FII'!$A$2:$N$404,4,0)/100,0)</f>
        <v>0</v>
      </c>
      <c r="E161" s="218">
        <f>IFERROR(VLOOKUP(B161,'STATUS INVEST FII'!$A$2:$N$404,6,0),0)</f>
        <v>0</v>
      </c>
      <c r="F161" s="218">
        <f>IFERROR(VLOOKUP(B161,'STATUS INVEST FII'!$A$2:$N$404,8,0)/100,0)</f>
        <v>0</v>
      </c>
      <c r="G161" s="218">
        <f>IFERROR(VLOOKUP(B161,'STATUS INVEST FII'!$A$2:$N$404,9,0)/100,0)</f>
        <v>0</v>
      </c>
      <c r="H161" s="218">
        <f>IFERROR(VLOOKUP(B161,'STATUS INVEST FII'!$A$2:$N$404,10,0)/100,0)</f>
        <v>0</v>
      </c>
      <c r="I161" s="218">
        <f>IFERROR(VLOOKUP(B161,'STATUS INVEST FII'!$A$2:$N$404,11,0),0)</f>
        <v>0</v>
      </c>
      <c r="J161" s="218" t="str">
        <f>IFERROR(VLOOKUP(B161,'ATIVOS-GESTÃO'!$A$1:$C$329,2),"-")</f>
        <v>MULTI</v>
      </c>
      <c r="K161" s="218" t="str">
        <f>IFERROR(VLOOKUP(B161,'ATIVOS-GESTÃO'!$A$1:$C$329,3),"-")</f>
        <v>MULTI</v>
      </c>
      <c r="L161" s="218" t="str">
        <f>IFERROR(VLOOKUP(B161,'STATUS INVEST FII'!$A$2:$N$404,13,0),"-")</f>
        <v>-</v>
      </c>
      <c r="M161" s="218" t="str">
        <f>IFERROR(VLOOKUP(B161,'DATA-COM'!A:B,2,FALSE),"-")</f>
        <v>-</v>
      </c>
      <c r="N161" s="218" t="str">
        <f>IFERROR(VLOOKUP(B161,'STATUS INVEST FII'!$A$2:$N$404,12,0),"-")</f>
        <v>-</v>
      </c>
      <c r="O161" s="219">
        <f>IFERROR(VLOOKUP(B161,'STATUS INVEST FII'!$A$2:$N$404,7,0),0)</f>
        <v>0</v>
      </c>
    </row>
    <row r="162" spans="2:15" x14ac:dyDescent="0.25">
      <c r="B162" s="126" t="s">
        <v>40</v>
      </c>
      <c r="C162" s="4">
        <f>IFERROR(VLOOKUP(B162,'STATUS INVEST FII'!$A$2:$N$404,2,0),0)</f>
        <v>77.06</v>
      </c>
      <c r="D162" s="5">
        <f>IFERROR(VLOOKUP(B162,'STATUS INVEST FII'!$A$2:$N$404,4,0)/100,0)</f>
        <v>6.5799999999999997E-2</v>
      </c>
      <c r="E162" s="6">
        <f>IFERROR(VLOOKUP(B162,'STATUS INVEST FII'!$A$2:$N$404,6,0),0)</f>
        <v>0.84</v>
      </c>
      <c r="F162" s="7">
        <f>IFERROR(VLOOKUP(B162,'STATUS INVEST FII'!$A$2:$N$404,8,0)/100,0)</f>
        <v>1.8200000000000001E-2</v>
      </c>
      <c r="G162" s="13">
        <f>IFERROR(VLOOKUP(B162,'STATUS INVEST FII'!$A$2:$N$404,9,0)/100,0)</f>
        <v>3.5999999999999999E-3</v>
      </c>
      <c r="H162" s="13">
        <f>IFERROR(VLOOKUP(B162,'STATUS INVEST FII'!$A$2:$N$404,10,0)/100,0)</f>
        <v>-7.1500000000000008E-2</v>
      </c>
      <c r="I162" s="19">
        <f>IFERROR(VLOOKUP(B162,'STATUS INVEST FII'!$A$2:$N$404,11,0),0)</f>
        <v>1119557783.9300001</v>
      </c>
      <c r="J162" s="45" t="str">
        <f>IFERROR(VLOOKUP(B162,'ATIVOS-GESTÃO'!$A$1:$C$329,2),"-")</f>
        <v>MONO</v>
      </c>
      <c r="K162" s="45" t="str">
        <f>IFERROR(VLOOKUP(B162,'ATIVOS-GESTÃO'!$A$1:$C$329,3),"-")</f>
        <v>MULTI</v>
      </c>
      <c r="L162" s="19" t="str">
        <f>IFERROR(VLOOKUP(B162,'STATUS INVEST FII'!$A$2:$N$404,13,0),"-")</f>
        <v>Passiva</v>
      </c>
      <c r="M162" s="19" t="str">
        <f>IFERROR(VLOOKUP(B162,'DATA-COM'!A:B,2,FALSE),"-")</f>
        <v xml:space="preserve">Último </v>
      </c>
      <c r="N162" s="52">
        <f>IFERROR(VLOOKUP(B162,'STATUS INVEST FII'!$A$2:$N$404,12,0),"-")</f>
        <v>19198</v>
      </c>
      <c r="O162" s="53">
        <f>IFERROR(VLOOKUP(B162,'STATUS INVEST FII'!$A$2:$N$404,7,0),0)</f>
        <v>123000.91</v>
      </c>
    </row>
    <row r="163" spans="2:15" x14ac:dyDescent="0.25">
      <c r="B163" s="126" t="s">
        <v>230</v>
      </c>
      <c r="C163" s="9">
        <f>IFERROR(VLOOKUP(B163,'STATUS INVEST FII'!$A$2:$N$404,2,0),0)</f>
        <v>3500</v>
      </c>
      <c r="D163" s="10">
        <f>IFERROR(VLOOKUP(B163,'STATUS INVEST FII'!$A$2:$N$404,4,0)/100,0)</f>
        <v>3.1099999999999999E-2</v>
      </c>
      <c r="E163" s="11">
        <f>IFERROR(VLOOKUP(B163,'STATUS INVEST FII'!$A$2:$N$404,6,0),0)</f>
        <v>1.02</v>
      </c>
      <c r="F163" s="12">
        <f>IFERROR(VLOOKUP(B163,'STATUS INVEST FII'!$A$2:$N$404,8,0)/100,0)</f>
        <v>1.23E-2</v>
      </c>
      <c r="G163" s="13">
        <f>IFERROR(VLOOKUP(B163,'STATUS INVEST FII'!$A$2:$N$404,9,0)/100,0)</f>
        <v>0</v>
      </c>
      <c r="H163" s="13">
        <f>IFERROR(VLOOKUP(B163,'STATUS INVEST FII'!$A$2:$N$404,10,0)/100,0)</f>
        <v>0.11869999999999999</v>
      </c>
      <c r="I163" s="20">
        <f>IFERROR(VLOOKUP(B163,'STATUS INVEST FII'!$A$2:$N$404,11,0),0)</f>
        <v>1541247743.29</v>
      </c>
      <c r="J163" s="45" t="str">
        <f>IFERROR(VLOOKUP(B163,'ATIVOS-GESTÃO'!$A$1:$C$329,2),"-")</f>
        <v>MULTI</v>
      </c>
      <c r="K163" s="45" t="str">
        <f>IFERROR(VLOOKUP(B163,'ATIVOS-GESTÃO'!$A$1:$C$329,3),"-")</f>
        <v>MULTI</v>
      </c>
      <c r="L163" s="20" t="str">
        <f>IFERROR(VLOOKUP(B163,'STATUS INVEST FII'!$A$2:$N$404,13,0),"-")</f>
        <v>Ativa</v>
      </c>
      <c r="M163" s="20" t="str">
        <f>IFERROR(VLOOKUP(B163,'DATA-COM'!A:B,2,FALSE),"-")</f>
        <v xml:space="preserve">Último </v>
      </c>
      <c r="N163" s="51">
        <f>IFERROR(VLOOKUP(B163,'STATUS INVEST FII'!$A$2:$N$404,12,0),"-")</f>
        <v>58</v>
      </c>
      <c r="O163" s="54">
        <f>IFERROR(VLOOKUP(B163,'STATUS INVEST FII'!$A$2:$N$404,7,0),0)</f>
        <v>3500</v>
      </c>
    </row>
    <row r="164" spans="2:15" x14ac:dyDescent="0.25">
      <c r="B164" s="126" t="s">
        <v>110</v>
      </c>
      <c r="C164" s="9">
        <f>IFERROR(VLOOKUP(B164,'STATUS INVEST FII'!$A$2:$N$404,2,0),0)</f>
        <v>96</v>
      </c>
      <c r="D164" s="10">
        <f>IFERROR(VLOOKUP(B164,'STATUS INVEST FII'!$A$2:$N$404,4,0)/100,0)</f>
        <v>0</v>
      </c>
      <c r="E164" s="11">
        <f>IFERROR(VLOOKUP(B164,'STATUS INVEST FII'!$A$2:$N$404,6,0),0)</f>
        <v>1.08</v>
      </c>
      <c r="F164" s="12">
        <f>IFERROR(VLOOKUP(B164,'STATUS INVEST FII'!$A$2:$N$404,8,0)/100,0)</f>
        <v>1.37E-2</v>
      </c>
      <c r="G164" s="13">
        <f>IFERROR(VLOOKUP(B164,'STATUS INVEST FII'!$A$2:$N$404,9,0)/100,0)</f>
        <v>0</v>
      </c>
      <c r="H164" s="13">
        <f>IFERROR(VLOOKUP(B164,'STATUS INVEST FII'!$A$2:$N$404,10,0)/100,0)</f>
        <v>-5.4299999999999994E-2</v>
      </c>
      <c r="I164" s="20">
        <f>IFERROR(VLOOKUP(B164,'STATUS INVEST FII'!$A$2:$N$404,11,0),0)</f>
        <v>155500510.16999999</v>
      </c>
      <c r="J164" s="45" t="str">
        <f>IFERROR(VLOOKUP(B164,'ATIVOS-GESTÃO'!$A$1:$C$329,2),"-")</f>
        <v>MONO</v>
      </c>
      <c r="K164" s="45" t="str">
        <f>IFERROR(VLOOKUP(B164,'ATIVOS-GESTÃO'!$A$1:$C$329,3),"-")</f>
        <v>MULTI</v>
      </c>
      <c r="L164" s="20" t="str">
        <f>IFERROR(VLOOKUP(B164,'STATUS INVEST FII'!$A$2:$N$404,13,0),"-")</f>
        <v>Passiva</v>
      </c>
      <c r="M164" s="20" t="str">
        <f>IFERROR(VLOOKUP(B164,'DATA-COM'!A:B,2,FALSE),"-")</f>
        <v xml:space="preserve">Último </v>
      </c>
      <c r="N164" s="51">
        <f>IFERROR(VLOOKUP(B164,'STATUS INVEST FII'!$A$2:$N$404,12,0),"-")</f>
        <v>265</v>
      </c>
      <c r="O164" s="54">
        <f>IFERROR(VLOOKUP(B164,'STATUS INVEST FII'!$A$2:$N$404,7,0),0)</f>
        <v>3489.64</v>
      </c>
    </row>
    <row r="165" spans="2:15" x14ac:dyDescent="0.25">
      <c r="B165" s="126" t="s">
        <v>111</v>
      </c>
      <c r="C165" s="9">
        <f>IFERROR(VLOOKUP(B165,'STATUS INVEST FII'!$A$2:$N$404,2,0),0)</f>
        <v>66.47</v>
      </c>
      <c r="D165" s="10">
        <f>IFERROR(VLOOKUP(B165,'STATUS INVEST FII'!$A$2:$N$404,4,0)/100,0)</f>
        <v>4.6699999999999998E-2</v>
      </c>
      <c r="E165" s="11">
        <f>IFERROR(VLOOKUP(B165,'STATUS INVEST FII'!$A$2:$N$404,6,0),0)</f>
        <v>0.49</v>
      </c>
      <c r="F165" s="12">
        <f>IFERROR(VLOOKUP(B165,'STATUS INVEST FII'!$A$2:$N$404,8,0)/100,0)</f>
        <v>3.5400000000000001E-2</v>
      </c>
      <c r="G165" s="13">
        <f>IFERROR(VLOOKUP(B165,'STATUS INVEST FII'!$A$2:$N$404,9,0)/100,0)</f>
        <v>0</v>
      </c>
      <c r="H165" s="13">
        <f>IFERROR(VLOOKUP(B165,'STATUS INVEST FII'!$A$2:$N$404,10,0)/100,0)</f>
        <v>0</v>
      </c>
      <c r="I165" s="20">
        <f>IFERROR(VLOOKUP(B165,'STATUS INVEST FII'!$A$2:$N$404,11,0),0)</f>
        <v>576793099.41999996</v>
      </c>
      <c r="J165" s="45" t="str">
        <f>IFERROR(VLOOKUP(B165,'ATIVOS-GESTÃO'!$A$1:$C$329,2),"-")</f>
        <v>MULTI</v>
      </c>
      <c r="K165" s="45" t="str">
        <f>IFERROR(VLOOKUP(B165,'ATIVOS-GESTÃO'!$A$1:$C$329,3),"-")</f>
        <v>MULTI</v>
      </c>
      <c r="L165" s="20" t="str">
        <f>IFERROR(VLOOKUP(B165,'STATUS INVEST FII'!$A$2:$N$404,13,0),"-")</f>
        <v>Passiva</v>
      </c>
      <c r="M165" s="20" t="str">
        <f>IFERROR(VLOOKUP(B165,'DATA-COM'!A:B,2,FALSE),"-")</f>
        <v xml:space="preserve">Décimo </v>
      </c>
      <c r="N165" s="51">
        <f>IFERROR(VLOOKUP(B165,'STATUS INVEST FII'!$A$2:$N$404,12,0),"-")</f>
        <v>1382</v>
      </c>
      <c r="O165" s="54">
        <f>IFERROR(VLOOKUP(B165,'STATUS INVEST FII'!$A$2:$N$404,7,0),0)</f>
        <v>49031.44</v>
      </c>
    </row>
    <row r="166" spans="2:15" x14ac:dyDescent="0.25">
      <c r="B166" s="126" t="s">
        <v>243</v>
      </c>
      <c r="C166" s="9">
        <f>IFERROR(VLOOKUP(B166,'STATUS INVEST FII'!$A$2:$N$404,2,0),0)</f>
        <v>0.85</v>
      </c>
      <c r="D166" s="10">
        <f>IFERROR(VLOOKUP(B166,'STATUS INVEST FII'!$A$2:$N$404,4,0)/100,0)</f>
        <v>0</v>
      </c>
      <c r="E166" s="11">
        <f>IFERROR(VLOOKUP(B166,'STATUS INVEST FII'!$A$2:$N$404,6,0),0)</f>
        <v>6</v>
      </c>
      <c r="F166" s="12">
        <f>IFERROR(VLOOKUP(B166,'STATUS INVEST FII'!$A$2:$N$404,8,0)/100,0)</f>
        <v>2.3999999999999998E-3</v>
      </c>
      <c r="G166" s="13">
        <f>IFERROR(VLOOKUP(B166,'STATUS INVEST FII'!$A$2:$N$404,9,0)/100,0)</f>
        <v>0</v>
      </c>
      <c r="H166" s="13">
        <f>IFERROR(VLOOKUP(B166,'STATUS INVEST FII'!$A$2:$N$404,10,0)/100,0)</f>
        <v>0</v>
      </c>
      <c r="I166" s="20">
        <f>IFERROR(VLOOKUP(B166,'STATUS INVEST FII'!$A$2:$N$404,11,0),0)</f>
        <v>14249469.68</v>
      </c>
      <c r="J166" s="45" t="str">
        <f>IFERROR(VLOOKUP(B166,'ATIVOS-GESTÃO'!$A$1:$C$329,2),"-")</f>
        <v>MONO</v>
      </c>
      <c r="K166" s="45" t="str">
        <f>IFERROR(VLOOKUP(B166,'ATIVOS-GESTÃO'!$A$1:$C$329,3),"-")</f>
        <v>MULTI</v>
      </c>
      <c r="L166" s="20" t="str">
        <f>IFERROR(VLOOKUP(B166,'STATUS INVEST FII'!$A$2:$N$404,13,0),"-")</f>
        <v>Passiva</v>
      </c>
      <c r="M166" s="20" t="str">
        <f>IFERROR(VLOOKUP(B166,'DATA-COM'!A:B,2,FALSE),"-")</f>
        <v xml:space="preserve">Último </v>
      </c>
      <c r="N166" s="51">
        <f>IFERROR(VLOOKUP(B166,'STATUS INVEST FII'!$A$2:$N$404,12,0),"-")</f>
        <v>543</v>
      </c>
      <c r="O166" s="54">
        <f>IFERROR(VLOOKUP(B166,'STATUS INVEST FII'!$A$2:$N$404,7,0),0)</f>
        <v>12231.5</v>
      </c>
    </row>
    <row r="167" spans="2:15" x14ac:dyDescent="0.25">
      <c r="B167" s="126" t="s">
        <v>223</v>
      </c>
      <c r="C167" s="9">
        <f>IFERROR(VLOOKUP(B167,'STATUS INVEST FII'!$A$2:$N$404,2,0),0)</f>
        <v>762.38</v>
      </c>
      <c r="D167" s="10">
        <f>IFERROR(VLOOKUP(B167,'STATUS INVEST FII'!$A$2:$N$404,4,0)/100,0)</f>
        <v>8.8399999999999992E-2</v>
      </c>
      <c r="E167" s="11">
        <f>IFERROR(VLOOKUP(B167,'STATUS INVEST FII'!$A$2:$N$404,6,0),0)</f>
        <v>0.56999999999999995</v>
      </c>
      <c r="F167" s="12">
        <f>IFERROR(VLOOKUP(B167,'STATUS INVEST FII'!$A$2:$N$404,8,0)/100,0)</f>
        <v>3.0999999999999999E-3</v>
      </c>
      <c r="G167" s="13">
        <f>IFERROR(VLOOKUP(B167,'STATUS INVEST FII'!$A$2:$N$404,9,0)/100,0)</f>
        <v>0.1527</v>
      </c>
      <c r="H167" s="13">
        <f>IFERROR(VLOOKUP(B167,'STATUS INVEST FII'!$A$2:$N$404,10,0)/100,0)</f>
        <v>0</v>
      </c>
      <c r="I167" s="20">
        <f>IFERROR(VLOOKUP(B167,'STATUS INVEST FII'!$A$2:$N$404,11,0),0)</f>
        <v>1057569612.03</v>
      </c>
      <c r="J167" s="45" t="str">
        <f>IFERROR(VLOOKUP(B167,'ATIVOS-GESTÃO'!$A$1:$C$329,2),"-")</f>
        <v>MONO</v>
      </c>
      <c r="K167" s="45" t="str">
        <f>IFERROR(VLOOKUP(B167,'ATIVOS-GESTÃO'!$A$1:$C$329,3),"-")</f>
        <v>MULTI</v>
      </c>
      <c r="L167" s="20" t="str">
        <f>IFERROR(VLOOKUP(B167,'STATUS INVEST FII'!$A$2:$N$404,13,0),"-")</f>
        <v>Passiva</v>
      </c>
      <c r="M167" s="20" t="str">
        <f>IFERROR(VLOOKUP(B167,'DATA-COM'!A:B,2,FALSE),"-")</f>
        <v xml:space="preserve">Segundo </v>
      </c>
      <c r="N167" s="51">
        <f>IFERROR(VLOOKUP(B167,'STATUS INVEST FII'!$A$2:$N$404,12,0),"-")</f>
        <v>60</v>
      </c>
      <c r="O167" s="54">
        <f>IFERROR(VLOOKUP(B167,'STATUS INVEST FII'!$A$2:$N$404,7,0),0)</f>
        <v>0</v>
      </c>
    </row>
    <row r="168" spans="2:15" x14ac:dyDescent="0.25">
      <c r="B168" s="126" t="s">
        <v>41</v>
      </c>
      <c r="C168" s="9">
        <f>IFERROR(VLOOKUP(B168,'STATUS INVEST FII'!$A$2:$N$404,2,0),0)</f>
        <v>53.9</v>
      </c>
      <c r="D168" s="10">
        <f>IFERROR(VLOOKUP(B168,'STATUS INVEST FII'!$A$2:$N$404,4,0)/100,0)</f>
        <v>5.8400000000000001E-2</v>
      </c>
      <c r="E168" s="11">
        <f>IFERROR(VLOOKUP(B168,'STATUS INVEST FII'!$A$2:$N$404,6,0),0)</f>
        <v>0.54</v>
      </c>
      <c r="F168" s="12">
        <f>IFERROR(VLOOKUP(B168,'STATUS INVEST FII'!$A$2:$N$404,8,0)/100,0)</f>
        <v>4.36E-2</v>
      </c>
      <c r="G168" s="13">
        <f>IFERROR(VLOOKUP(B168,'STATUS INVEST FII'!$A$2:$N$404,9,0)/100,0)</f>
        <v>-0.2717</v>
      </c>
      <c r="H168" s="13">
        <f>IFERROR(VLOOKUP(B168,'STATUS INVEST FII'!$A$2:$N$404,10,0)/100,0)</f>
        <v>-4.4400000000000002E-2</v>
      </c>
      <c r="I168" s="20">
        <f>IFERROR(VLOOKUP(B168,'STATUS INVEST FII'!$A$2:$N$404,11,0),0)</f>
        <v>283950310.56</v>
      </c>
      <c r="J168" s="45" t="str">
        <f>IFERROR(VLOOKUP(B168,'ATIVOS-GESTÃO'!$A$1:$C$329,2),"-")</f>
        <v>MULTI</v>
      </c>
      <c r="K168" s="45" t="str">
        <f>IFERROR(VLOOKUP(B168,'ATIVOS-GESTÃO'!$A$1:$C$329,3),"-")</f>
        <v>MULTI</v>
      </c>
      <c r="L168" s="20" t="str">
        <f>IFERROR(VLOOKUP(B168,'STATUS INVEST FII'!$A$2:$N$404,13,0),"-")</f>
        <v>Passiva</v>
      </c>
      <c r="M168" s="20" t="str">
        <f>IFERROR(VLOOKUP(B168,'DATA-COM'!A:B,2,FALSE),"-")</f>
        <v xml:space="preserve">Último </v>
      </c>
      <c r="N168" s="51">
        <f>IFERROR(VLOOKUP(B168,'STATUS INVEST FII'!$A$2:$N$404,12,0),"-")</f>
        <v>16506</v>
      </c>
      <c r="O168" s="54">
        <f>IFERROR(VLOOKUP(B168,'STATUS INVEST FII'!$A$2:$N$404,7,0),0)</f>
        <v>181794.91</v>
      </c>
    </row>
    <row r="169" spans="2:15" x14ac:dyDescent="0.25">
      <c r="B169" s="126" t="s">
        <v>112</v>
      </c>
      <c r="C169" s="9">
        <f>IFERROR(VLOOKUP(B169,'STATUS INVEST FII'!$A$2:$N$404,2,0),0)</f>
        <v>2.34</v>
      </c>
      <c r="D169" s="10">
        <f>IFERROR(VLOOKUP(B169,'STATUS INVEST FII'!$A$2:$N$404,4,0)/100,0)</f>
        <v>0</v>
      </c>
      <c r="E169" s="11">
        <f>IFERROR(VLOOKUP(B169,'STATUS INVEST FII'!$A$2:$N$404,6,0),0)</f>
        <v>0.28999999999999998</v>
      </c>
      <c r="F169" s="12">
        <f>IFERROR(VLOOKUP(B169,'STATUS INVEST FII'!$A$2:$N$404,8,0)/100,0)</f>
        <v>2.9999999999999997E-4</v>
      </c>
      <c r="G169" s="13">
        <f>IFERROR(VLOOKUP(B169,'STATUS INVEST FII'!$A$2:$N$404,9,0)/100,0)</f>
        <v>0</v>
      </c>
      <c r="H169" s="13">
        <f>IFERROR(VLOOKUP(B169,'STATUS INVEST FII'!$A$2:$N$404,10,0)/100,0)</f>
        <v>-0.10460000000000001</v>
      </c>
      <c r="I169" s="20">
        <f>IFERROR(VLOOKUP(B169,'STATUS INVEST FII'!$A$2:$N$404,11,0),0)</f>
        <v>65775855.670000002</v>
      </c>
      <c r="J169" s="45" t="str">
        <f>IFERROR(VLOOKUP(B169,'ATIVOS-GESTÃO'!$A$1:$C$329,2),"-")</f>
        <v>MONO</v>
      </c>
      <c r="K169" s="45" t="str">
        <f>IFERROR(VLOOKUP(B169,'ATIVOS-GESTÃO'!$A$1:$C$329,3),"-")</f>
        <v>MULTI</v>
      </c>
      <c r="L169" s="20" t="str">
        <f>IFERROR(VLOOKUP(B169,'STATUS INVEST FII'!$A$2:$N$404,13,0),"-")</f>
        <v>Passiva</v>
      </c>
      <c r="M169" s="20" t="str">
        <f>IFERROR(VLOOKUP(B169,'DATA-COM'!A:B,2,FALSE),"-")</f>
        <v xml:space="preserve">Último </v>
      </c>
      <c r="N169" s="51">
        <f>IFERROR(VLOOKUP(B169,'STATUS INVEST FII'!$A$2:$N$404,12,0),"-")</f>
        <v>3191</v>
      </c>
      <c r="O169" s="54">
        <f>IFERROR(VLOOKUP(B169,'STATUS INVEST FII'!$A$2:$N$404,7,0),0)</f>
        <v>58806.76</v>
      </c>
    </row>
    <row r="170" spans="2:15" x14ac:dyDescent="0.25">
      <c r="B170" s="126" t="s">
        <v>113</v>
      </c>
      <c r="C170" s="9">
        <f>IFERROR(VLOOKUP(B170,'STATUS INVEST FII'!$A$2:$N$404,2,0),0)</f>
        <v>1200</v>
      </c>
      <c r="D170" s="10">
        <f>IFERROR(VLOOKUP(B170,'STATUS INVEST FII'!$A$2:$N$404,4,0)/100,0)</f>
        <v>5.8099999999999999E-2</v>
      </c>
      <c r="E170" s="11">
        <f>IFERROR(VLOOKUP(B170,'STATUS INVEST FII'!$A$2:$N$404,6,0),0)</f>
        <v>0.72</v>
      </c>
      <c r="F170" s="12">
        <f>IFERROR(VLOOKUP(B170,'STATUS INVEST FII'!$A$2:$N$404,8,0)/100,0)</f>
        <v>1.77E-2</v>
      </c>
      <c r="G170" s="13">
        <f>IFERROR(VLOOKUP(B170,'STATUS INVEST FII'!$A$2:$N$404,9,0)/100,0)</f>
        <v>-6.4299999999999996E-2</v>
      </c>
      <c r="H170" s="13">
        <f>IFERROR(VLOOKUP(B170,'STATUS INVEST FII'!$A$2:$N$404,10,0)/100,0)</f>
        <v>-1.2199999999999999E-2</v>
      </c>
      <c r="I170" s="20">
        <f>IFERROR(VLOOKUP(B170,'STATUS INVEST FII'!$A$2:$N$404,11,0),0)</f>
        <v>108777317.33</v>
      </c>
      <c r="J170" s="45" t="str">
        <f>IFERROR(VLOOKUP(B170,'ATIVOS-GESTÃO'!$A$1:$C$329,2),"-")</f>
        <v>MONO</v>
      </c>
      <c r="K170" s="45" t="str">
        <f>IFERROR(VLOOKUP(B170,'ATIVOS-GESTÃO'!$A$1:$C$329,3),"-")</f>
        <v>MULTI</v>
      </c>
      <c r="L170" s="20" t="str">
        <f>IFERROR(VLOOKUP(B170,'STATUS INVEST FII'!$A$2:$N$404,13,0),"-")</f>
        <v>Passiva</v>
      </c>
      <c r="M170" s="20" t="str">
        <f>IFERROR(VLOOKUP(B170,'DATA-COM'!A:B,2,FALSE),"-")</f>
        <v xml:space="preserve">Décimo Quarto </v>
      </c>
      <c r="N170" s="51">
        <f>IFERROR(VLOOKUP(B170,'STATUS INVEST FII'!$A$2:$N$404,12,0),"-")</f>
        <v>911</v>
      </c>
      <c r="O170" s="54">
        <f>IFERROR(VLOOKUP(B170,'STATUS INVEST FII'!$A$2:$N$404,7,0),0)</f>
        <v>15195.7</v>
      </c>
    </row>
    <row r="171" spans="2:15" x14ac:dyDescent="0.25">
      <c r="B171" s="126" t="s">
        <v>42</v>
      </c>
      <c r="C171" s="9">
        <f>IFERROR(VLOOKUP(B171,'STATUS INVEST FII'!$A$2:$N$404,2,0),0)</f>
        <v>118.85</v>
      </c>
      <c r="D171" s="10">
        <f>IFERROR(VLOOKUP(B171,'STATUS INVEST FII'!$A$2:$N$404,4,0)/100,0)</f>
        <v>5.0900000000000001E-2</v>
      </c>
      <c r="E171" s="11">
        <f>IFERROR(VLOOKUP(B171,'STATUS INVEST FII'!$A$2:$N$404,6,0),0)</f>
        <v>0.62</v>
      </c>
      <c r="F171" s="12">
        <f>IFERROR(VLOOKUP(B171,'STATUS INVEST FII'!$A$2:$N$404,8,0)/100,0)</f>
        <v>1.6200000000000003E-2</v>
      </c>
      <c r="G171" s="13">
        <f>IFERROR(VLOOKUP(B171,'STATUS INVEST FII'!$A$2:$N$404,9,0)/100,0)</f>
        <v>-0.19149999999999998</v>
      </c>
      <c r="H171" s="13">
        <f>IFERROR(VLOOKUP(B171,'STATUS INVEST FII'!$A$2:$N$404,10,0)/100,0)</f>
        <v>-0.13750000000000001</v>
      </c>
      <c r="I171" s="20">
        <f>IFERROR(VLOOKUP(B171,'STATUS INVEST FII'!$A$2:$N$404,11,0),0)</f>
        <v>554879108.66999996</v>
      </c>
      <c r="J171" s="45" t="str">
        <f>IFERROR(VLOOKUP(B171,'ATIVOS-GESTÃO'!$A$1:$C$329,2),"-")</f>
        <v>MONO</v>
      </c>
      <c r="K171" s="45" t="str">
        <f>IFERROR(VLOOKUP(B171,'ATIVOS-GESTÃO'!$A$1:$C$329,3),"-")</f>
        <v>MULTI</v>
      </c>
      <c r="L171" s="20" t="str">
        <f>IFERROR(VLOOKUP(B171,'STATUS INVEST FII'!$A$2:$N$404,13,0),"-")</f>
        <v>Passiva</v>
      </c>
      <c r="M171" s="20" t="str">
        <f>IFERROR(VLOOKUP(B171,'DATA-COM'!A:B,2,FALSE),"-")</f>
        <v xml:space="preserve">Último </v>
      </c>
      <c r="N171" s="51">
        <f>IFERROR(VLOOKUP(B171,'STATUS INVEST FII'!$A$2:$N$404,12,0),"-")</f>
        <v>4511</v>
      </c>
      <c r="O171" s="54">
        <f>IFERROR(VLOOKUP(B171,'STATUS INVEST FII'!$A$2:$N$404,7,0),0)</f>
        <v>165081.21</v>
      </c>
    </row>
    <row r="172" spans="2:15" x14ac:dyDescent="0.25">
      <c r="B172" s="126" t="s">
        <v>43</v>
      </c>
      <c r="C172" s="9">
        <f>IFERROR(VLOOKUP(B172,'STATUS INVEST FII'!$A$2:$N$404,2,0),0)</f>
        <v>4.26</v>
      </c>
      <c r="D172" s="10">
        <f>IFERROR(VLOOKUP(B172,'STATUS INVEST FII'!$A$2:$N$404,4,0)/100,0)</f>
        <v>0</v>
      </c>
      <c r="E172" s="11">
        <f>IFERROR(VLOOKUP(B172,'STATUS INVEST FII'!$A$2:$N$404,6,0),0)</f>
        <v>0.32</v>
      </c>
      <c r="F172" s="12">
        <f>IFERROR(VLOOKUP(B172,'STATUS INVEST FII'!$A$2:$N$404,8,0)/100,0)</f>
        <v>0.19010000000000002</v>
      </c>
      <c r="G172" s="13">
        <f>IFERROR(VLOOKUP(B172,'STATUS INVEST FII'!$A$2:$N$404,9,0)/100,0)</f>
        <v>0</v>
      </c>
      <c r="H172" s="13">
        <f>IFERROR(VLOOKUP(B172,'STATUS INVEST FII'!$A$2:$N$404,10,0)/100,0)</f>
        <v>0</v>
      </c>
      <c r="I172" s="20">
        <f>IFERROR(VLOOKUP(B172,'STATUS INVEST FII'!$A$2:$N$404,11,0),0)</f>
        <v>1011743851.76</v>
      </c>
      <c r="J172" s="45" t="str">
        <f>IFERROR(VLOOKUP(B172,'ATIVOS-GESTÃO'!$A$1:$C$329,2),"-")</f>
        <v>MULTI</v>
      </c>
      <c r="K172" s="45" t="str">
        <f>IFERROR(VLOOKUP(B172,'ATIVOS-GESTÃO'!$A$1:$C$329,3),"-")</f>
        <v>MULTI</v>
      </c>
      <c r="L172" s="20" t="str">
        <f>IFERROR(VLOOKUP(B172,'STATUS INVEST FII'!$A$2:$N$404,13,0),"-")</f>
        <v>Ativa</v>
      </c>
      <c r="M172" s="20" t="str">
        <f>IFERROR(VLOOKUP(B172,'DATA-COM'!A:B,2,FALSE),"-")</f>
        <v xml:space="preserve">Último </v>
      </c>
      <c r="N172" s="51">
        <f>IFERROR(VLOOKUP(B172,'STATUS INVEST FII'!$A$2:$N$404,12,0),"-")</f>
        <v>8161</v>
      </c>
      <c r="O172" s="54">
        <f>IFERROR(VLOOKUP(B172,'STATUS INVEST FII'!$A$2:$N$404,7,0),0)</f>
        <v>78875.03</v>
      </c>
    </row>
    <row r="173" spans="2:15" x14ac:dyDescent="0.25">
      <c r="B173" s="126" t="s">
        <v>44</v>
      </c>
      <c r="C173" s="9">
        <f>IFERROR(VLOOKUP(B173,'STATUS INVEST FII'!$A$2:$N$404,2,0),0)</f>
        <v>169.87</v>
      </c>
      <c r="D173" s="10">
        <f>IFERROR(VLOOKUP(B173,'STATUS INVEST FII'!$A$2:$N$404,4,0)/100,0)</f>
        <v>5.2499999999999998E-2</v>
      </c>
      <c r="E173" s="11">
        <f>IFERROR(VLOOKUP(B173,'STATUS INVEST FII'!$A$2:$N$404,6,0),0)</f>
        <v>0.79</v>
      </c>
      <c r="F173" s="12">
        <f>IFERROR(VLOOKUP(B173,'STATUS INVEST FII'!$A$2:$N$404,8,0)/100,0)</f>
        <v>1.0800000000000001E-2</v>
      </c>
      <c r="G173" s="13">
        <f>IFERROR(VLOOKUP(B173,'STATUS INVEST FII'!$A$2:$N$404,9,0)/100,0)</f>
        <v>-0.20030000000000001</v>
      </c>
      <c r="H173" s="13">
        <f>IFERROR(VLOOKUP(B173,'STATUS INVEST FII'!$A$2:$N$404,10,0)/100,0)</f>
        <v>-0.1036</v>
      </c>
      <c r="I173" s="20">
        <f>IFERROR(VLOOKUP(B173,'STATUS INVEST FII'!$A$2:$N$404,11,0),0)</f>
        <v>2151195623.1399999</v>
      </c>
      <c r="J173" s="45" t="str">
        <f>IFERROR(VLOOKUP(B173,'ATIVOS-GESTÃO'!$A$1:$C$329,2),"-")</f>
        <v>MULTI</v>
      </c>
      <c r="K173" s="45" t="str">
        <f>IFERROR(VLOOKUP(B173,'ATIVOS-GESTÃO'!$A$1:$C$329,3),"-")</f>
        <v>MULTI</v>
      </c>
      <c r="L173" s="20" t="str">
        <f>IFERROR(VLOOKUP(B173,'STATUS INVEST FII'!$A$2:$N$404,13,0),"-")</f>
        <v>Ativa</v>
      </c>
      <c r="M173" s="20" t="str">
        <f>IFERROR(VLOOKUP(B173,'DATA-COM'!A:B,2,FALSE),"-")</f>
        <v xml:space="preserve">Último </v>
      </c>
      <c r="N173" s="51">
        <f>IFERROR(VLOOKUP(B173,'STATUS INVEST FII'!$A$2:$N$404,12,0),"-")</f>
        <v>80577</v>
      </c>
      <c r="O173" s="54">
        <f>IFERROR(VLOOKUP(B173,'STATUS INVEST FII'!$A$2:$N$404,7,0),0)</f>
        <v>1832172.18</v>
      </c>
    </row>
    <row r="174" spans="2:15" x14ac:dyDescent="0.25">
      <c r="B174" s="126" t="s">
        <v>114</v>
      </c>
      <c r="C174" s="9">
        <f>IFERROR(VLOOKUP(B174,'STATUS INVEST FII'!$A$2:$N$404,2,0),0)</f>
        <v>226.95</v>
      </c>
      <c r="D174" s="10">
        <f>IFERROR(VLOOKUP(B174,'STATUS INVEST FII'!$A$2:$N$404,4,0)/100,0)</f>
        <v>0.64159999999999995</v>
      </c>
      <c r="E174" s="11">
        <f>IFERROR(VLOOKUP(B174,'STATUS INVEST FII'!$A$2:$N$404,6,0),0)</f>
        <v>0.95</v>
      </c>
      <c r="F174" s="12">
        <f>IFERROR(VLOOKUP(B174,'STATUS INVEST FII'!$A$2:$N$404,8,0)/100,0)</f>
        <v>6.7000000000000002E-3</v>
      </c>
      <c r="G174" s="13">
        <f>IFERROR(VLOOKUP(B174,'STATUS INVEST FII'!$A$2:$N$404,9,0)/100,0)</f>
        <v>1.2218</v>
      </c>
      <c r="H174" s="13">
        <f>IFERROR(VLOOKUP(B174,'STATUS INVEST FII'!$A$2:$N$404,10,0)/100,0)</f>
        <v>5.8999999999999999E-3</v>
      </c>
      <c r="I174" s="20">
        <f>IFERROR(VLOOKUP(B174,'STATUS INVEST FII'!$A$2:$N$404,11,0),0)</f>
        <v>91223530.5</v>
      </c>
      <c r="J174" s="45" t="str">
        <f>IFERROR(VLOOKUP(B174,'ATIVOS-GESTÃO'!$A$1:$C$329,2),"-")</f>
        <v>MONO</v>
      </c>
      <c r="K174" s="45" t="str">
        <f>IFERROR(VLOOKUP(B174,'ATIVOS-GESTÃO'!$A$1:$C$329,3),"-")</f>
        <v>MULTI</v>
      </c>
      <c r="L174" s="20" t="str">
        <f>IFERROR(VLOOKUP(B174,'STATUS INVEST FII'!$A$2:$N$404,13,0),"-")</f>
        <v>Passiva</v>
      </c>
      <c r="M174" s="20" t="str">
        <f>IFERROR(VLOOKUP(B174,'DATA-COM'!A:B,2,FALSE),"-")</f>
        <v xml:space="preserve">Último </v>
      </c>
      <c r="N174" s="51">
        <f>IFERROR(VLOOKUP(B174,'STATUS INVEST FII'!$A$2:$N$404,12,0),"-")</f>
        <v>209</v>
      </c>
      <c r="O174" s="54">
        <f>IFERROR(VLOOKUP(B174,'STATUS INVEST FII'!$A$2:$N$404,7,0),0)</f>
        <v>69159.67</v>
      </c>
    </row>
    <row r="175" spans="2:15" x14ac:dyDescent="0.25">
      <c r="B175" s="126" t="s">
        <v>115</v>
      </c>
      <c r="C175" s="9">
        <f>IFERROR(VLOOKUP(B175,'STATUS INVEST FII'!$A$2:$N$404,2,0),0)</f>
        <v>79.17</v>
      </c>
      <c r="D175" s="10">
        <f>IFERROR(VLOOKUP(B175,'STATUS INVEST FII'!$A$2:$N$404,4,0)/100,0)</f>
        <v>4.4999999999999998E-2</v>
      </c>
      <c r="E175" s="11">
        <f>IFERROR(VLOOKUP(B175,'STATUS INVEST FII'!$A$2:$N$404,6,0),0)</f>
        <v>0.82</v>
      </c>
      <c r="F175" s="12">
        <f>IFERROR(VLOOKUP(B175,'STATUS INVEST FII'!$A$2:$N$404,8,0)/100,0)</f>
        <v>1.46E-2</v>
      </c>
      <c r="G175" s="13">
        <f>IFERROR(VLOOKUP(B175,'STATUS INVEST FII'!$A$2:$N$404,9,0)/100,0)</f>
        <v>0</v>
      </c>
      <c r="H175" s="13">
        <f>IFERROR(VLOOKUP(B175,'STATUS INVEST FII'!$A$2:$N$404,10,0)/100,0)</f>
        <v>0</v>
      </c>
      <c r="I175" s="20">
        <f>IFERROR(VLOOKUP(B175,'STATUS INVEST FII'!$A$2:$N$404,11,0),0)</f>
        <v>275693368.83999997</v>
      </c>
      <c r="J175" s="45" t="str">
        <f>IFERROR(VLOOKUP(B175,'ATIVOS-GESTÃO'!$A$1:$C$329,2),"-")</f>
        <v>MONO</v>
      </c>
      <c r="K175" s="45" t="str">
        <f>IFERROR(VLOOKUP(B175,'ATIVOS-GESTÃO'!$A$1:$C$329,3),"-")</f>
        <v>MULTI</v>
      </c>
      <c r="L175" s="20" t="str">
        <f>IFERROR(VLOOKUP(B175,'STATUS INVEST FII'!$A$2:$N$404,13,0),"-")</f>
        <v>Passiva</v>
      </c>
      <c r="M175" s="20" t="str">
        <f>IFERROR(VLOOKUP(B175,'DATA-COM'!A:B,2,FALSE),"-")</f>
        <v xml:space="preserve">Último </v>
      </c>
      <c r="N175" s="51">
        <f>IFERROR(VLOOKUP(B175,'STATUS INVEST FII'!$A$2:$N$404,12,0),"-")</f>
        <v>379</v>
      </c>
      <c r="O175" s="54">
        <f>IFERROR(VLOOKUP(B175,'STATUS INVEST FII'!$A$2:$N$404,7,0),0)</f>
        <v>3744.2</v>
      </c>
    </row>
    <row r="176" spans="2:15" x14ac:dyDescent="0.25">
      <c r="B176" s="126" t="s">
        <v>45</v>
      </c>
      <c r="C176" s="9">
        <f>IFERROR(VLOOKUP(B176,'STATUS INVEST FII'!$A$2:$N$404,2,0),0)</f>
        <v>75.88</v>
      </c>
      <c r="D176" s="10">
        <f>IFERROR(VLOOKUP(B176,'STATUS INVEST FII'!$A$2:$N$404,4,0)/100,0)</f>
        <v>6.7799999999999999E-2</v>
      </c>
      <c r="E176" s="11">
        <f>IFERROR(VLOOKUP(B176,'STATUS INVEST FII'!$A$2:$N$404,6,0),0)</f>
        <v>0.8</v>
      </c>
      <c r="F176" s="12">
        <f>IFERROR(VLOOKUP(B176,'STATUS INVEST FII'!$A$2:$N$404,8,0)/100,0)</f>
        <v>1.47E-2</v>
      </c>
      <c r="G176" s="13">
        <f>IFERROR(VLOOKUP(B176,'STATUS INVEST FII'!$A$2:$N$404,9,0)/100,0)</f>
        <v>0</v>
      </c>
      <c r="H176" s="13">
        <f>IFERROR(VLOOKUP(B176,'STATUS INVEST FII'!$A$2:$N$404,10,0)/100,0)</f>
        <v>0</v>
      </c>
      <c r="I176" s="20">
        <f>IFERROR(VLOOKUP(B176,'STATUS INVEST FII'!$A$2:$N$404,11,0),0)</f>
        <v>1508445585.8900001</v>
      </c>
      <c r="J176" s="45" t="str">
        <f>IFERROR(VLOOKUP(B176,'ATIVOS-GESTÃO'!$A$1:$C$329,2),"-")</f>
        <v>MULTI</v>
      </c>
      <c r="K176" s="45" t="str">
        <f>IFERROR(VLOOKUP(B176,'ATIVOS-GESTÃO'!$A$1:$C$329,3),"-")</f>
        <v>MULTI</v>
      </c>
      <c r="L176" s="20" t="str">
        <f>IFERROR(VLOOKUP(B176,'STATUS INVEST FII'!$A$2:$N$404,13,0),"-")</f>
        <v>Ativa</v>
      </c>
      <c r="M176" s="20" t="str">
        <f>IFERROR(VLOOKUP(B176,'DATA-COM'!A:B,2,FALSE),"-")</f>
        <v xml:space="preserve">Último </v>
      </c>
      <c r="N176" s="51">
        <f>IFERROR(VLOOKUP(B176,'STATUS INVEST FII'!$A$2:$N$404,12,0),"-")</f>
        <v>119526</v>
      </c>
      <c r="O176" s="54">
        <f>IFERROR(VLOOKUP(B176,'STATUS INVEST FII'!$A$2:$N$404,7,0),0)</f>
        <v>1799346.06</v>
      </c>
    </row>
    <row r="177" spans="2:15" x14ac:dyDescent="0.25">
      <c r="B177" s="126" t="s">
        <v>116</v>
      </c>
      <c r="C177" s="9">
        <f>IFERROR(VLOOKUP(B177,'STATUS INVEST FII'!$A$2:$N$404,2,0),0)</f>
        <v>73.760000000000005</v>
      </c>
      <c r="D177" s="10">
        <f>IFERROR(VLOOKUP(B177,'STATUS INVEST FII'!$A$2:$N$404,4,0)/100,0)</f>
        <v>5.0599999999999999E-2</v>
      </c>
      <c r="E177" s="11">
        <f>IFERROR(VLOOKUP(B177,'STATUS INVEST FII'!$A$2:$N$404,6,0),0)</f>
        <v>0.85</v>
      </c>
      <c r="F177" s="12">
        <f>IFERROR(VLOOKUP(B177,'STATUS INVEST FII'!$A$2:$N$404,8,0)/100,0)</f>
        <v>3.0499999999999999E-2</v>
      </c>
      <c r="G177" s="13">
        <f>IFERROR(VLOOKUP(B177,'STATUS INVEST FII'!$A$2:$N$404,9,0)/100,0)</f>
        <v>-0.13750000000000001</v>
      </c>
      <c r="H177" s="13">
        <f>IFERROR(VLOOKUP(B177,'STATUS INVEST FII'!$A$2:$N$404,10,0)/100,0)</f>
        <v>-1.1000000000000001E-2</v>
      </c>
      <c r="I177" s="20">
        <f>IFERROR(VLOOKUP(B177,'STATUS INVEST FII'!$A$2:$N$404,11,0),0)</f>
        <v>220395805.18000001</v>
      </c>
      <c r="J177" s="45" t="str">
        <f>IFERROR(VLOOKUP(B177,'ATIVOS-GESTÃO'!$A$1:$C$329,2),"-")</f>
        <v>MONO</v>
      </c>
      <c r="K177" s="45" t="str">
        <f>IFERROR(VLOOKUP(B177,'ATIVOS-GESTÃO'!$A$1:$C$329,3),"-")</f>
        <v>MULTI</v>
      </c>
      <c r="L177" s="20" t="str">
        <f>IFERROR(VLOOKUP(B177,'STATUS INVEST FII'!$A$2:$N$404,13,0),"-")</f>
        <v>Passiva</v>
      </c>
      <c r="M177" s="20" t="str">
        <f>IFERROR(VLOOKUP(B177,'DATA-COM'!A:B,2,FALSE),"-")</f>
        <v xml:space="preserve">Quinto </v>
      </c>
      <c r="N177" s="51">
        <f>IFERROR(VLOOKUP(B177,'STATUS INVEST FII'!$A$2:$N$404,12,0),"-")</f>
        <v>4832</v>
      </c>
      <c r="O177" s="54">
        <f>IFERROR(VLOOKUP(B177,'STATUS INVEST FII'!$A$2:$N$404,7,0),0)</f>
        <v>217996.26</v>
      </c>
    </row>
    <row r="178" spans="2:15" x14ac:dyDescent="0.25">
      <c r="B178" s="126" t="s">
        <v>117</v>
      </c>
      <c r="C178" s="9">
        <f>IFERROR(VLOOKUP(B178,'STATUS INVEST FII'!$A$2:$N$404,2,0),0)</f>
        <v>88.94</v>
      </c>
      <c r="D178" s="10">
        <f>IFERROR(VLOOKUP(B178,'STATUS INVEST FII'!$A$2:$N$404,4,0)/100,0)</f>
        <v>6.1100000000000002E-2</v>
      </c>
      <c r="E178" s="11">
        <f>IFERROR(VLOOKUP(B178,'STATUS INVEST FII'!$A$2:$N$404,6,0),0)</f>
        <v>0.79</v>
      </c>
      <c r="F178" s="12">
        <f>IFERROR(VLOOKUP(B178,'STATUS INVEST FII'!$A$2:$N$404,8,0)/100,0)</f>
        <v>2.7999999999999997E-2</v>
      </c>
      <c r="G178" s="13">
        <f>IFERROR(VLOOKUP(B178,'STATUS INVEST FII'!$A$2:$N$404,9,0)/100,0)</f>
        <v>0</v>
      </c>
      <c r="H178" s="13">
        <f>IFERROR(VLOOKUP(B178,'STATUS INVEST FII'!$A$2:$N$404,10,0)/100,0)</f>
        <v>0</v>
      </c>
      <c r="I178" s="20">
        <f>IFERROR(VLOOKUP(B178,'STATUS INVEST FII'!$A$2:$N$404,11,0),0)</f>
        <v>283304571.64999998</v>
      </c>
      <c r="J178" s="45" t="str">
        <f>IFERROR(VLOOKUP(B178,'ATIVOS-GESTÃO'!$A$1:$C$329,2),"-")</f>
        <v>MULTI</v>
      </c>
      <c r="K178" s="45" t="str">
        <f>IFERROR(VLOOKUP(B178,'ATIVOS-GESTÃO'!$A$1:$C$329,3),"-")</f>
        <v>MULTI</v>
      </c>
      <c r="L178" s="20" t="str">
        <f>IFERROR(VLOOKUP(B178,'STATUS INVEST FII'!$A$2:$N$404,13,0),"-")</f>
        <v>Ativa</v>
      </c>
      <c r="M178" s="20" t="str">
        <f>IFERROR(VLOOKUP(B178,'DATA-COM'!A:B,2,FALSE),"-")</f>
        <v xml:space="preserve">Último </v>
      </c>
      <c r="N178" s="51">
        <f>IFERROR(VLOOKUP(B178,'STATUS INVEST FII'!$A$2:$N$404,12,0),"-")</f>
        <v>165</v>
      </c>
      <c r="O178" s="54">
        <f>IFERROR(VLOOKUP(B178,'STATUS INVEST FII'!$A$2:$N$404,7,0),0)</f>
        <v>702886.58</v>
      </c>
    </row>
    <row r="179" spans="2:15" x14ac:dyDescent="0.25">
      <c r="B179" s="126" t="s">
        <v>46</v>
      </c>
      <c r="C179" s="9">
        <f>IFERROR(VLOOKUP(B179,'STATUS INVEST FII'!$A$2:$N$404,2,0),0)</f>
        <v>97.65</v>
      </c>
      <c r="D179" s="10">
        <f>IFERROR(VLOOKUP(B179,'STATUS INVEST FII'!$A$2:$N$404,4,0)/100,0)</f>
        <v>6.7799999999999999E-2</v>
      </c>
      <c r="E179" s="11">
        <f>IFERROR(VLOOKUP(B179,'STATUS INVEST FII'!$A$2:$N$404,6,0),0)</f>
        <v>0.9</v>
      </c>
      <c r="F179" s="12">
        <f>IFERROR(VLOOKUP(B179,'STATUS INVEST FII'!$A$2:$N$404,8,0)/100,0)</f>
        <v>2.12E-2</v>
      </c>
      <c r="G179" s="13">
        <f>IFERROR(VLOOKUP(B179,'STATUS INVEST FII'!$A$2:$N$404,9,0)/100,0)</f>
        <v>-3.4999999999999996E-3</v>
      </c>
      <c r="H179" s="13">
        <f>IFERROR(VLOOKUP(B179,'STATUS INVEST FII'!$A$2:$N$404,10,0)/100,0)</f>
        <v>-2.9600000000000001E-2</v>
      </c>
      <c r="I179" s="20">
        <f>IFERROR(VLOOKUP(B179,'STATUS INVEST FII'!$A$2:$N$404,11,0),0)</f>
        <v>826318263.28999996</v>
      </c>
      <c r="J179" s="45" t="str">
        <f>IFERROR(VLOOKUP(B179,'ATIVOS-GESTÃO'!$A$1:$C$329,2),"-")</f>
        <v>MULTI</v>
      </c>
      <c r="K179" s="45" t="str">
        <f>IFERROR(VLOOKUP(B179,'ATIVOS-GESTÃO'!$A$1:$C$329,3),"-")</f>
        <v>MULTI</v>
      </c>
      <c r="L179" s="20" t="str">
        <f>IFERROR(VLOOKUP(B179,'STATUS INVEST FII'!$A$2:$N$404,13,0),"-")</f>
        <v>Ativa</v>
      </c>
      <c r="M179" s="20" t="str">
        <f>IFERROR(VLOOKUP(B179,'DATA-COM'!A:B,2,FALSE),"-")</f>
        <v xml:space="preserve">Último </v>
      </c>
      <c r="N179" s="51">
        <f>IFERROR(VLOOKUP(B179,'STATUS INVEST FII'!$A$2:$N$404,12,0),"-")</f>
        <v>92006</v>
      </c>
      <c r="O179" s="54">
        <f>IFERROR(VLOOKUP(B179,'STATUS INVEST FII'!$A$2:$N$404,7,0),0)</f>
        <v>1339814.21</v>
      </c>
    </row>
    <row r="180" spans="2:15" x14ac:dyDescent="0.25">
      <c r="B180" s="126" t="s">
        <v>47</v>
      </c>
      <c r="C180" s="9">
        <f>IFERROR(VLOOKUP(B180,'STATUS INVEST FII'!$A$2:$N$404,2,0),0)</f>
        <v>2022</v>
      </c>
      <c r="D180" s="10">
        <f>IFERROR(VLOOKUP(B180,'STATUS INVEST FII'!$A$2:$N$404,4,0)/100,0)</f>
        <v>6.2E-2</v>
      </c>
      <c r="E180" s="11">
        <f>IFERROR(VLOOKUP(B180,'STATUS INVEST FII'!$A$2:$N$404,6,0),0)</f>
        <v>0.59</v>
      </c>
      <c r="F180" s="12">
        <f>IFERROR(VLOOKUP(B180,'STATUS INVEST FII'!$A$2:$N$404,8,0)/100,0)</f>
        <v>0.01</v>
      </c>
      <c r="G180" s="13">
        <f>IFERROR(VLOOKUP(B180,'STATUS INVEST FII'!$A$2:$N$404,9,0)/100,0)</f>
        <v>-0.10249999999999999</v>
      </c>
      <c r="H180" s="13">
        <f>IFERROR(VLOOKUP(B180,'STATUS INVEST FII'!$A$2:$N$404,10,0)/100,0)</f>
        <v>-0.12890000000000001</v>
      </c>
      <c r="I180" s="20">
        <f>IFERROR(VLOOKUP(B180,'STATUS INVEST FII'!$A$2:$N$404,11,0),0)</f>
        <v>812364592.75999999</v>
      </c>
      <c r="J180" s="45" t="str">
        <f>IFERROR(VLOOKUP(B180,'ATIVOS-GESTÃO'!$A$1:$C$329,2),"-")</f>
        <v>MONO</v>
      </c>
      <c r="K180" s="45" t="str">
        <f>IFERROR(VLOOKUP(B180,'ATIVOS-GESTÃO'!$A$1:$C$329,3),"-")</f>
        <v>MULTI</v>
      </c>
      <c r="L180" s="20" t="str">
        <f>IFERROR(VLOOKUP(B180,'STATUS INVEST FII'!$A$2:$N$404,13,0),"-")</f>
        <v>Passiva</v>
      </c>
      <c r="M180" s="20" t="str">
        <f>IFERROR(VLOOKUP(B180,'DATA-COM'!A:B,2,FALSE),"-")</f>
        <v xml:space="preserve">Último </v>
      </c>
      <c r="N180" s="51">
        <f>IFERROR(VLOOKUP(B180,'STATUS INVEST FII'!$A$2:$N$404,12,0),"-")</f>
        <v>4072</v>
      </c>
      <c r="O180" s="54">
        <f>IFERROR(VLOOKUP(B180,'STATUS INVEST FII'!$A$2:$N$404,7,0),0)</f>
        <v>121097.65</v>
      </c>
    </row>
    <row r="181" spans="2:15" x14ac:dyDescent="0.25">
      <c r="B181" s="126" t="s">
        <v>273</v>
      </c>
      <c r="C181" s="9">
        <f>IFERROR(VLOOKUP(B181,'STATUS INVEST FII'!$A$2:$N$404,2,0),0)</f>
        <v>117.7</v>
      </c>
      <c r="D181" s="10">
        <f>IFERROR(VLOOKUP(B181,'STATUS INVEST FII'!$A$2:$N$404,4,0)/100,0)</f>
        <v>0</v>
      </c>
      <c r="E181" s="11">
        <f>IFERROR(VLOOKUP(B181,'STATUS INVEST FII'!$A$2:$N$404,6,0),0)</f>
        <v>1681.43</v>
      </c>
      <c r="F181" s="12">
        <f>IFERROR(VLOOKUP(B181,'STATUS INVEST FII'!$A$2:$N$404,8,0)/100,0)</f>
        <v>1.0065</v>
      </c>
      <c r="G181" s="13">
        <f>IFERROR(VLOOKUP(B181,'STATUS INVEST FII'!$A$2:$N$404,9,0)/100,0)</f>
        <v>0</v>
      </c>
      <c r="H181" s="13">
        <f>IFERROR(VLOOKUP(B181,'STATUS INVEST FII'!$A$2:$N$404,10,0)/100,0)</f>
        <v>0</v>
      </c>
      <c r="I181" s="20">
        <f>IFERROR(VLOOKUP(B181,'STATUS INVEST FII'!$A$2:$N$404,11,0),0)</f>
        <v>3719093.34</v>
      </c>
      <c r="J181" s="45" t="str">
        <f>IFERROR(VLOOKUP(B181,'ATIVOS-GESTÃO'!$A$1:$C$329,2),"-")</f>
        <v>MULTI</v>
      </c>
      <c r="K181" s="45" t="str">
        <f>IFERROR(VLOOKUP(B181,'ATIVOS-GESTÃO'!$A$1:$C$329,3),"-")</f>
        <v>MULTI</v>
      </c>
      <c r="L181" s="20" t="str">
        <f>IFERROR(VLOOKUP(B181,'STATUS INVEST FII'!$A$2:$N$404,13,0),"-")</f>
        <v>Ativa</v>
      </c>
      <c r="M181" s="20" t="str">
        <f>IFERROR(VLOOKUP(B181,'DATA-COM'!A:B,2,FALSE),"-")</f>
        <v xml:space="preserve">Último </v>
      </c>
      <c r="N181" s="51">
        <f>IFERROR(VLOOKUP(B181,'STATUS INVEST FII'!$A$2:$N$404,12,0),"-")</f>
        <v>10</v>
      </c>
      <c r="O181" s="54">
        <f>IFERROR(VLOOKUP(B181,'STATUS INVEST FII'!$A$2:$N$404,7,0),0)</f>
        <v>0</v>
      </c>
    </row>
    <row r="182" spans="2:15" x14ac:dyDescent="0.25">
      <c r="B182" s="126" t="s">
        <v>118</v>
      </c>
      <c r="C182" s="9">
        <f>IFERROR(VLOOKUP(B182,'STATUS INVEST FII'!$A$2:$N$404,2,0),0)</f>
        <v>28.45</v>
      </c>
      <c r="D182" s="10">
        <f>IFERROR(VLOOKUP(B182,'STATUS INVEST FII'!$A$2:$N$404,4,0)/100,0)</f>
        <v>5.0900000000000001E-2</v>
      </c>
      <c r="E182" s="11">
        <f>IFERROR(VLOOKUP(B182,'STATUS INVEST FII'!$A$2:$N$404,6,0),0)</f>
        <v>0.31</v>
      </c>
      <c r="F182" s="12">
        <f>IFERROR(VLOOKUP(B182,'STATUS INVEST FII'!$A$2:$N$404,8,0)/100,0)</f>
        <v>5.1999999999999998E-3</v>
      </c>
      <c r="G182" s="13">
        <f>IFERROR(VLOOKUP(B182,'STATUS INVEST FII'!$A$2:$N$404,9,0)/100,0)</f>
        <v>4.9100000000000005E-2</v>
      </c>
      <c r="H182" s="13">
        <f>IFERROR(VLOOKUP(B182,'STATUS INVEST FII'!$A$2:$N$404,10,0)/100,0)</f>
        <v>-0.13170000000000001</v>
      </c>
      <c r="I182" s="20">
        <f>IFERROR(VLOOKUP(B182,'STATUS INVEST FII'!$A$2:$N$404,11,0),0)</f>
        <v>97865283.709999993</v>
      </c>
      <c r="J182" s="45" t="str">
        <f>IFERROR(VLOOKUP(B182,'ATIVOS-GESTÃO'!$A$1:$C$329,2),"-")</f>
        <v>MONO</v>
      </c>
      <c r="K182" s="45" t="str">
        <f>IFERROR(VLOOKUP(B182,'ATIVOS-GESTÃO'!$A$1:$C$329,3),"-")</f>
        <v>MULTI</v>
      </c>
      <c r="L182" s="20" t="str">
        <f>IFERROR(VLOOKUP(B182,'STATUS INVEST FII'!$A$2:$N$404,13,0),"-")</f>
        <v>Passiva</v>
      </c>
      <c r="M182" s="20" t="str">
        <f>IFERROR(VLOOKUP(B182,'DATA-COM'!A:B,2,FALSE),"-")</f>
        <v xml:space="preserve">Último </v>
      </c>
      <c r="N182" s="51">
        <f>IFERROR(VLOOKUP(B182,'STATUS INVEST FII'!$A$2:$N$404,12,0),"-")</f>
        <v>2808</v>
      </c>
      <c r="O182" s="54">
        <f>IFERROR(VLOOKUP(B182,'STATUS INVEST FII'!$A$2:$N$404,7,0),0)</f>
        <v>49400.9</v>
      </c>
    </row>
    <row r="183" spans="2:15" x14ac:dyDescent="0.25">
      <c r="B183" s="126" t="s">
        <v>119</v>
      </c>
      <c r="C183" s="9">
        <f>IFERROR(VLOOKUP(B183,'STATUS INVEST FII'!$A$2:$N$404,2,0),0)</f>
        <v>7.85</v>
      </c>
      <c r="D183" s="10">
        <f>IFERROR(VLOOKUP(B183,'STATUS INVEST FII'!$A$2:$N$404,4,0)/100,0)</f>
        <v>2.6200000000000001E-2</v>
      </c>
      <c r="E183" s="11">
        <f>IFERROR(VLOOKUP(B183,'STATUS INVEST FII'!$A$2:$N$404,6,0),0)</f>
        <v>0.63</v>
      </c>
      <c r="F183" s="12">
        <f>IFERROR(VLOOKUP(B183,'STATUS INVEST FII'!$A$2:$N$404,8,0)/100,0)</f>
        <v>2.6200000000000001E-2</v>
      </c>
      <c r="G183" s="13">
        <f>IFERROR(VLOOKUP(B183,'STATUS INVEST FII'!$A$2:$N$404,9,0)/100,0)</f>
        <v>-0.26479999999999998</v>
      </c>
      <c r="H183" s="13">
        <f>IFERROR(VLOOKUP(B183,'STATUS INVEST FII'!$A$2:$N$404,10,0)/100,0)</f>
        <v>-0.1118</v>
      </c>
      <c r="I183" s="20">
        <f>IFERROR(VLOOKUP(B183,'STATUS INVEST FII'!$A$2:$N$404,11,0),0)</f>
        <v>52471361.409999996</v>
      </c>
      <c r="J183" s="45" t="str">
        <f>IFERROR(VLOOKUP(B183,'ATIVOS-GESTÃO'!$A$1:$C$329,2),"-")</f>
        <v>MONO</v>
      </c>
      <c r="K183" s="45" t="str">
        <f>IFERROR(VLOOKUP(B183,'ATIVOS-GESTÃO'!$A$1:$C$329,3),"-")</f>
        <v>MULTI</v>
      </c>
      <c r="L183" s="20" t="str">
        <f>IFERROR(VLOOKUP(B183,'STATUS INVEST FII'!$A$2:$N$404,13,0),"-")</f>
        <v>Ativa</v>
      </c>
      <c r="M183" s="20" t="str">
        <f>IFERROR(VLOOKUP(B183,'DATA-COM'!A:B,2,FALSE),"-")</f>
        <v xml:space="preserve">Quarto </v>
      </c>
      <c r="N183" s="51">
        <f>IFERROR(VLOOKUP(B183,'STATUS INVEST FII'!$A$2:$N$404,12,0),"-")</f>
        <v>4521</v>
      </c>
      <c r="O183" s="54">
        <f>IFERROR(VLOOKUP(B183,'STATUS INVEST FII'!$A$2:$N$404,7,0),0)</f>
        <v>2947.44</v>
      </c>
    </row>
    <row r="184" spans="2:15" x14ac:dyDescent="0.25">
      <c r="B184" s="126" t="s">
        <v>224</v>
      </c>
      <c r="C184" s="9">
        <f>IFERROR(VLOOKUP(B184,'STATUS INVEST FII'!$A$2:$N$404,2,0),0)</f>
        <v>0</v>
      </c>
      <c r="D184" s="10">
        <f>IFERROR(VLOOKUP(B184,'STATUS INVEST FII'!$A$2:$N$404,4,0)/100,0)</f>
        <v>0</v>
      </c>
      <c r="E184" s="11">
        <f>IFERROR(VLOOKUP(B184,'STATUS INVEST FII'!$A$2:$N$404,6,0),0)</f>
        <v>0</v>
      </c>
      <c r="F184" s="12">
        <f>IFERROR(VLOOKUP(B184,'STATUS INVEST FII'!$A$2:$N$404,8,0)/100,0)</f>
        <v>1.37E-2</v>
      </c>
      <c r="G184" s="13">
        <f>IFERROR(VLOOKUP(B184,'STATUS INVEST FII'!$A$2:$N$404,9,0)/100,0)</f>
        <v>-9.9000000000000005E-2</v>
      </c>
      <c r="H184" s="13">
        <f>IFERROR(VLOOKUP(B184,'STATUS INVEST FII'!$A$2:$N$404,10,0)/100,0)</f>
        <v>0</v>
      </c>
      <c r="I184" s="20">
        <f>IFERROR(VLOOKUP(B184,'STATUS INVEST FII'!$A$2:$N$404,11,0),0)</f>
        <v>2016750952.6500001</v>
      </c>
      <c r="J184" s="45" t="str">
        <f>IFERROR(VLOOKUP(B184,'ATIVOS-GESTÃO'!$A$1:$C$329,2),"-")</f>
        <v>MONO</v>
      </c>
      <c r="K184" s="45" t="str">
        <f>IFERROR(VLOOKUP(B184,'ATIVOS-GESTÃO'!$A$1:$C$329,3),"-")</f>
        <v>MULTI</v>
      </c>
      <c r="L184" s="20" t="str">
        <f>IFERROR(VLOOKUP(B184,'STATUS INVEST FII'!$A$2:$N$404,13,0),"-")</f>
        <v>Passiva</v>
      </c>
      <c r="M184" s="20" t="str">
        <f>IFERROR(VLOOKUP(B184,'DATA-COM'!A:B,2,FALSE),"-")</f>
        <v xml:space="preserve">Oitavo </v>
      </c>
      <c r="N184" s="51">
        <f>IFERROR(VLOOKUP(B184,'STATUS INVEST FII'!$A$2:$N$404,12,0),"-")</f>
        <v>3</v>
      </c>
      <c r="O184" s="54">
        <f>IFERROR(VLOOKUP(B184,'STATUS INVEST FII'!$A$2:$N$404,7,0),0)</f>
        <v>0</v>
      </c>
    </row>
    <row r="185" spans="2:15" x14ac:dyDescent="0.25">
      <c r="B185" s="126" t="s">
        <v>213</v>
      </c>
      <c r="C185" s="9">
        <f>IFERROR(VLOOKUP(B185,'STATUS INVEST FII'!$A$2:$N$404,2,0),0)</f>
        <v>100</v>
      </c>
      <c r="D185" s="10">
        <f>IFERROR(VLOOKUP(B185,'STATUS INVEST FII'!$A$2:$N$404,4,0)/100,0)</f>
        <v>0</v>
      </c>
      <c r="E185" s="11">
        <f>IFERROR(VLOOKUP(B185,'STATUS INVEST FII'!$A$2:$N$404,6,0),0)</f>
        <v>1.81</v>
      </c>
      <c r="F185" s="12">
        <f>IFERROR(VLOOKUP(B185,'STATUS INVEST FII'!$A$2:$N$404,8,0)/100,0)</f>
        <v>0.18729999999999999</v>
      </c>
      <c r="G185" s="13">
        <f>IFERROR(VLOOKUP(B185,'STATUS INVEST FII'!$A$2:$N$404,9,0)/100,0)</f>
        <v>0</v>
      </c>
      <c r="H185" s="13">
        <f>IFERROR(VLOOKUP(B185,'STATUS INVEST FII'!$A$2:$N$404,10,0)/100,0)</f>
        <v>0</v>
      </c>
      <c r="I185" s="20">
        <f>IFERROR(VLOOKUP(B185,'STATUS INVEST FII'!$A$2:$N$404,11,0),0)</f>
        <v>82026813.109999999</v>
      </c>
      <c r="J185" s="45" t="str">
        <f>IFERROR(VLOOKUP(B185,'ATIVOS-GESTÃO'!$A$1:$C$329,2),"-")</f>
        <v>MULTI</v>
      </c>
      <c r="K185" s="45" t="str">
        <f>IFERROR(VLOOKUP(B185,'ATIVOS-GESTÃO'!$A$1:$C$329,3),"-")</f>
        <v>MULTI</v>
      </c>
      <c r="L185" s="20" t="str">
        <f>IFERROR(VLOOKUP(B185,'STATUS INVEST FII'!$A$2:$N$404,13,0),"-")</f>
        <v>Ativa</v>
      </c>
      <c r="M185" s="20" t="str">
        <f>IFERROR(VLOOKUP(B185,'DATA-COM'!A:B,2,FALSE),"-")</f>
        <v>-</v>
      </c>
      <c r="N185" s="51">
        <f>IFERROR(VLOOKUP(B185,'STATUS INVEST FII'!$A$2:$N$404,12,0),"-")</f>
        <v>12</v>
      </c>
      <c r="O185" s="54">
        <f>IFERROR(VLOOKUP(B185,'STATUS INVEST FII'!$A$2:$N$404,7,0),0)</f>
        <v>0</v>
      </c>
    </row>
    <row r="186" spans="2:15" x14ac:dyDescent="0.25">
      <c r="B186" s="126" t="s">
        <v>120</v>
      </c>
      <c r="C186" s="9">
        <f>IFERROR(VLOOKUP(B186,'STATUS INVEST FII'!$A$2:$N$404,2,0),0)</f>
        <v>817.99</v>
      </c>
      <c r="D186" s="10">
        <f>IFERROR(VLOOKUP(B186,'STATUS INVEST FII'!$A$2:$N$404,4,0)/100,0)</f>
        <v>3.9399999999999998E-2</v>
      </c>
      <c r="E186" s="11">
        <f>IFERROR(VLOOKUP(B186,'STATUS INVEST FII'!$A$2:$N$404,6,0),0)</f>
        <v>0.92</v>
      </c>
      <c r="F186" s="12">
        <f>IFERROR(VLOOKUP(B186,'STATUS INVEST FII'!$A$2:$N$404,8,0)/100,0)</f>
        <v>7.7000000000000002E-3</v>
      </c>
      <c r="G186" s="13">
        <f>IFERROR(VLOOKUP(B186,'STATUS INVEST FII'!$A$2:$N$404,9,0)/100,0)</f>
        <v>-6.5500000000000003E-2</v>
      </c>
      <c r="H186" s="13">
        <f>IFERROR(VLOOKUP(B186,'STATUS INVEST FII'!$A$2:$N$404,10,0)/100,0)</f>
        <v>-5.1200000000000002E-2</v>
      </c>
      <c r="I186" s="20">
        <f>IFERROR(VLOOKUP(B186,'STATUS INVEST FII'!$A$2:$N$404,11,0),0)</f>
        <v>540984149.53999996</v>
      </c>
      <c r="J186" s="45" t="str">
        <f>IFERROR(VLOOKUP(B186,'ATIVOS-GESTÃO'!$A$1:$C$329,2),"-")</f>
        <v>MONO</v>
      </c>
      <c r="K186" s="45" t="str">
        <f>IFERROR(VLOOKUP(B186,'ATIVOS-GESTÃO'!$A$1:$C$329,3),"-")</f>
        <v>MULTI</v>
      </c>
      <c r="L186" s="20" t="str">
        <f>IFERROR(VLOOKUP(B186,'STATUS INVEST FII'!$A$2:$N$404,13,0),"-")</f>
        <v>Passiva</v>
      </c>
      <c r="M186" s="20" t="str">
        <f>IFERROR(VLOOKUP(B186,'DATA-COM'!A:B,2,FALSE),"-")</f>
        <v xml:space="preserve">Último </v>
      </c>
      <c r="N186" s="51">
        <f>IFERROR(VLOOKUP(B186,'STATUS INVEST FII'!$A$2:$N$404,12,0),"-")</f>
        <v>2890</v>
      </c>
      <c r="O186" s="54">
        <f>IFERROR(VLOOKUP(B186,'STATUS INVEST FII'!$A$2:$N$404,7,0),0)</f>
        <v>106121.44</v>
      </c>
    </row>
    <row r="187" spans="2:15" x14ac:dyDescent="0.25">
      <c r="B187" s="126" t="s">
        <v>219</v>
      </c>
      <c r="C187" s="9">
        <f>IFERROR(VLOOKUP(B187,'STATUS INVEST FII'!$A$2:$N$404,2,0),0)</f>
        <v>0</v>
      </c>
      <c r="D187" s="10">
        <f>IFERROR(VLOOKUP(B187,'STATUS INVEST FII'!$A$2:$N$404,4,0)/100,0)</f>
        <v>0</v>
      </c>
      <c r="E187" s="11">
        <f>IFERROR(VLOOKUP(B187,'STATUS INVEST FII'!$A$2:$N$404,6,0),0)</f>
        <v>0</v>
      </c>
      <c r="F187" s="12">
        <f>IFERROR(VLOOKUP(B187,'STATUS INVEST FII'!$A$2:$N$404,8,0)/100,0)</f>
        <v>7.0800000000000002E-2</v>
      </c>
      <c r="G187" s="13">
        <f>IFERROR(VLOOKUP(B187,'STATUS INVEST FII'!$A$2:$N$404,9,0)/100,0)</f>
        <v>-6.9800000000000001E-2</v>
      </c>
      <c r="H187" s="13">
        <f>IFERROR(VLOOKUP(B187,'STATUS INVEST FII'!$A$2:$N$404,10,0)/100,0)</f>
        <v>0</v>
      </c>
      <c r="I187" s="20">
        <f>IFERROR(VLOOKUP(B187,'STATUS INVEST FII'!$A$2:$N$404,11,0),0)</f>
        <v>11789134.279999999</v>
      </c>
      <c r="J187" s="45" t="str">
        <f>IFERROR(VLOOKUP(B187,'ATIVOS-GESTÃO'!$A$1:$C$329,2),"-")</f>
        <v>MONO</v>
      </c>
      <c r="K187" s="45" t="str">
        <f>IFERROR(VLOOKUP(B187,'ATIVOS-GESTÃO'!$A$1:$C$329,3),"-")</f>
        <v>MULTI</v>
      </c>
      <c r="L187" s="20" t="str">
        <f>IFERROR(VLOOKUP(B187,'STATUS INVEST FII'!$A$2:$N$404,13,0),"-")</f>
        <v>Ativa</v>
      </c>
      <c r="M187" s="20" t="str">
        <f>IFERROR(VLOOKUP(B187,'DATA-COM'!A:B,2,FALSE),"-")</f>
        <v xml:space="preserve">Último </v>
      </c>
      <c r="N187" s="51">
        <f>IFERROR(VLOOKUP(B187,'STATUS INVEST FII'!$A$2:$N$404,12,0),"-")</f>
        <v>1</v>
      </c>
      <c r="O187" s="54">
        <f>IFERROR(VLOOKUP(B187,'STATUS INVEST FII'!$A$2:$N$404,7,0),0)</f>
        <v>0</v>
      </c>
    </row>
    <row r="188" spans="2:15" x14ac:dyDescent="0.25">
      <c r="B188" s="126" t="s">
        <v>187</v>
      </c>
      <c r="C188" s="9">
        <f>IFERROR(VLOOKUP(B188,'STATUS INVEST FII'!$A$2:$N$404,2,0),0)</f>
        <v>0</v>
      </c>
      <c r="D188" s="10">
        <f>IFERROR(VLOOKUP(B188,'STATUS INVEST FII'!$A$2:$N$404,4,0)/100,0)</f>
        <v>0</v>
      </c>
      <c r="E188" s="11">
        <f>IFERROR(VLOOKUP(B188,'STATUS INVEST FII'!$A$2:$N$404,6,0),0)</f>
        <v>0</v>
      </c>
      <c r="F188" s="12">
        <f>IFERROR(VLOOKUP(B188,'STATUS INVEST FII'!$A$2:$N$404,8,0)/100,0)</f>
        <v>0.10970000000000001</v>
      </c>
      <c r="G188" s="13">
        <f>IFERROR(VLOOKUP(B188,'STATUS INVEST FII'!$A$2:$N$404,9,0)/100,0)</f>
        <v>0</v>
      </c>
      <c r="H188" s="13">
        <f>IFERROR(VLOOKUP(B188,'STATUS INVEST FII'!$A$2:$N$404,10,0)/100,0)</f>
        <v>0</v>
      </c>
      <c r="I188" s="20">
        <f>IFERROR(VLOOKUP(B188,'STATUS INVEST FII'!$A$2:$N$404,11,0),0)</f>
        <v>679573247.75</v>
      </c>
      <c r="J188" s="45" t="str">
        <f>IFERROR(VLOOKUP(B188,'ATIVOS-GESTÃO'!$A$1:$C$329,2),"-")</f>
        <v>MULTI</v>
      </c>
      <c r="K188" s="45" t="str">
        <f>IFERROR(VLOOKUP(B188,'ATIVOS-GESTÃO'!$A$1:$C$329,3),"-")</f>
        <v>MULTI</v>
      </c>
      <c r="L188" s="20" t="str">
        <f>IFERROR(VLOOKUP(B188,'STATUS INVEST FII'!$A$2:$N$404,13,0),"-")</f>
        <v>Ativa</v>
      </c>
      <c r="M188" s="20" t="str">
        <f>IFERROR(VLOOKUP(B188,'DATA-COM'!A:B,2,FALSE),"-")</f>
        <v xml:space="preserve">Último </v>
      </c>
      <c r="N188" s="51">
        <f>IFERROR(VLOOKUP(B188,'STATUS INVEST FII'!$A$2:$N$404,12,0),"-")</f>
        <v>28</v>
      </c>
      <c r="O188" s="54">
        <f>IFERROR(VLOOKUP(B188,'STATUS INVEST FII'!$A$2:$N$404,7,0),0)</f>
        <v>0</v>
      </c>
    </row>
    <row r="189" spans="2:15" x14ac:dyDescent="0.25">
      <c r="B189" s="126" t="s">
        <v>48</v>
      </c>
      <c r="C189" s="9">
        <f>IFERROR(VLOOKUP(B189,'STATUS INVEST FII'!$A$2:$N$404,2,0),0)</f>
        <v>99.17</v>
      </c>
      <c r="D189" s="10">
        <f>IFERROR(VLOOKUP(B189,'STATUS INVEST FII'!$A$2:$N$404,4,0)/100,0)</f>
        <v>6.13E-2</v>
      </c>
      <c r="E189" s="11">
        <f>IFERROR(VLOOKUP(B189,'STATUS INVEST FII'!$A$2:$N$404,6,0),0)</f>
        <v>0.86</v>
      </c>
      <c r="F189" s="12">
        <f>IFERROR(VLOOKUP(B189,'STATUS INVEST FII'!$A$2:$N$404,8,0)/100,0)</f>
        <v>3.04E-2</v>
      </c>
      <c r="G189" s="13">
        <f>IFERROR(VLOOKUP(B189,'STATUS INVEST FII'!$A$2:$N$404,9,0)/100,0)</f>
        <v>-8.48E-2</v>
      </c>
      <c r="H189" s="13">
        <f>IFERROR(VLOOKUP(B189,'STATUS INVEST FII'!$A$2:$N$404,10,0)/100,0)</f>
        <v>-2.4500000000000001E-2</v>
      </c>
      <c r="I189" s="20">
        <f>IFERROR(VLOOKUP(B189,'STATUS INVEST FII'!$A$2:$N$404,11,0),0)</f>
        <v>2054561595.1500001</v>
      </c>
      <c r="J189" s="45" t="str">
        <f>IFERROR(VLOOKUP(B189,'ATIVOS-GESTÃO'!$A$1:$C$329,2),"-")</f>
        <v>MULTI</v>
      </c>
      <c r="K189" s="45" t="str">
        <f>IFERROR(VLOOKUP(B189,'ATIVOS-GESTÃO'!$A$1:$C$329,3),"-")</f>
        <v>MULTI</v>
      </c>
      <c r="L189" s="20" t="str">
        <f>IFERROR(VLOOKUP(B189,'STATUS INVEST FII'!$A$2:$N$404,13,0),"-")</f>
        <v>Ativa</v>
      </c>
      <c r="M189" s="20" t="str">
        <f>IFERROR(VLOOKUP(B189,'DATA-COM'!A:B,2,FALSE),"-")</f>
        <v xml:space="preserve">Último </v>
      </c>
      <c r="N189" s="51">
        <f>IFERROR(VLOOKUP(B189,'STATUS INVEST FII'!$A$2:$N$404,12,0),"-")</f>
        <v>203998</v>
      </c>
      <c r="O189" s="54">
        <f>IFERROR(VLOOKUP(B189,'STATUS INVEST FII'!$A$2:$N$404,7,0),0)</f>
        <v>2132057.4700000002</v>
      </c>
    </row>
    <row r="190" spans="2:15" x14ac:dyDescent="0.25">
      <c r="B190" s="126" t="s">
        <v>282</v>
      </c>
      <c r="C190" s="9">
        <f>IFERROR(VLOOKUP(B190,'STATUS INVEST FII'!$A$2:$N$404,2,0),0)</f>
        <v>0</v>
      </c>
      <c r="D190" s="10">
        <f>IFERROR(VLOOKUP(B190,'STATUS INVEST FII'!$A$2:$N$404,4,0)/100,0)</f>
        <v>0</v>
      </c>
      <c r="E190" s="11">
        <f>IFERROR(VLOOKUP(B190,'STATUS INVEST FII'!$A$2:$N$404,6,0),0)</f>
        <v>0</v>
      </c>
      <c r="F190" s="12">
        <f>IFERROR(VLOOKUP(B190,'STATUS INVEST FII'!$A$2:$N$404,8,0)/100,0)</f>
        <v>1.1000000000000001E-2</v>
      </c>
      <c r="G190" s="13">
        <f>IFERROR(VLOOKUP(B190,'STATUS INVEST FII'!$A$2:$N$404,9,0)/100,0)</f>
        <v>-6.1699999999999998E-2</v>
      </c>
      <c r="H190" s="13">
        <f>IFERROR(VLOOKUP(B190,'STATUS INVEST FII'!$A$2:$N$404,10,0)/100,0)</f>
        <v>0</v>
      </c>
      <c r="I190" s="20">
        <f>IFERROR(VLOOKUP(B190,'STATUS INVEST FII'!$A$2:$N$404,11,0),0)</f>
        <v>150660029.38</v>
      </c>
      <c r="J190" s="45" t="str">
        <f>IFERROR(VLOOKUP(B190,'ATIVOS-GESTÃO'!$A$1:$C$329,2),"-")</f>
        <v>MONO</v>
      </c>
      <c r="K190" s="45" t="str">
        <f>IFERROR(VLOOKUP(B190,'ATIVOS-GESTÃO'!$A$1:$C$329,3),"-")</f>
        <v>-</v>
      </c>
      <c r="L190" s="20" t="str">
        <f>IFERROR(VLOOKUP(B190,'STATUS INVEST FII'!$A$2:$N$404,13,0),"-")</f>
        <v>Passiva</v>
      </c>
      <c r="M190" s="20" t="str">
        <f>IFERROR(VLOOKUP(B190,'DATA-COM'!A:B,2,FALSE),"-")</f>
        <v xml:space="preserve">primeiro </v>
      </c>
      <c r="N190" s="51">
        <f>IFERROR(VLOOKUP(B190,'STATUS INVEST FII'!$A$2:$N$404,12,0),"-")</f>
        <v>56</v>
      </c>
      <c r="O190" s="54">
        <f>IFERROR(VLOOKUP(B190,'STATUS INVEST FII'!$A$2:$N$404,7,0),0)</f>
        <v>0</v>
      </c>
    </row>
    <row r="191" spans="2:15" x14ac:dyDescent="0.25">
      <c r="B191" s="126" t="s">
        <v>49</v>
      </c>
      <c r="C191" s="9">
        <f>IFERROR(VLOOKUP(B191,'STATUS INVEST FII'!$A$2:$N$404,2,0),0)</f>
        <v>78.55</v>
      </c>
      <c r="D191" s="10">
        <f>IFERROR(VLOOKUP(B191,'STATUS INVEST FII'!$A$2:$N$404,4,0)/100,0)</f>
        <v>6.8699999999999997E-2</v>
      </c>
      <c r="E191" s="11">
        <f>IFERROR(VLOOKUP(B191,'STATUS INVEST FII'!$A$2:$N$404,6,0),0)</f>
        <v>0.78</v>
      </c>
      <c r="F191" s="12">
        <f>IFERROR(VLOOKUP(B191,'STATUS INVEST FII'!$A$2:$N$404,8,0)/100,0)</f>
        <v>2.3199999999999998E-2</v>
      </c>
      <c r="G191" s="13">
        <f>IFERROR(VLOOKUP(B191,'STATUS INVEST FII'!$A$2:$N$404,9,0)/100,0)</f>
        <v>0</v>
      </c>
      <c r="H191" s="13">
        <f>IFERROR(VLOOKUP(B191,'STATUS INVEST FII'!$A$2:$N$404,10,0)/100,0)</f>
        <v>-9.7200000000000009E-2</v>
      </c>
      <c r="I191" s="20">
        <f>IFERROR(VLOOKUP(B191,'STATUS INVEST FII'!$A$2:$N$404,11,0),0)</f>
        <v>214003283.69</v>
      </c>
      <c r="J191" s="45" t="str">
        <f>IFERROR(VLOOKUP(B191,'ATIVOS-GESTÃO'!$A$1:$C$329,2),"-")</f>
        <v>MULTI</v>
      </c>
      <c r="K191" s="45" t="str">
        <f>IFERROR(VLOOKUP(B191,'ATIVOS-GESTÃO'!$A$1:$C$329,3),"-")</f>
        <v>MULTI</v>
      </c>
      <c r="L191" s="20" t="str">
        <f>IFERROR(VLOOKUP(B191,'STATUS INVEST FII'!$A$2:$N$404,13,0),"-")</f>
        <v>Ativa</v>
      </c>
      <c r="M191" s="20" t="str">
        <f>IFERROR(VLOOKUP(B191,'DATA-COM'!A:B,2,FALSE),"-")</f>
        <v xml:space="preserve">Último </v>
      </c>
      <c r="N191" s="51">
        <f>IFERROR(VLOOKUP(B191,'STATUS INVEST FII'!$A$2:$N$404,12,0),"-")</f>
        <v>2013</v>
      </c>
      <c r="O191" s="54">
        <f>IFERROR(VLOOKUP(B191,'STATUS INVEST FII'!$A$2:$N$404,7,0),0)</f>
        <v>12973.26</v>
      </c>
    </row>
    <row r="192" spans="2:15" x14ac:dyDescent="0.25">
      <c r="B192" s="126" t="s">
        <v>121</v>
      </c>
      <c r="C192" s="9">
        <f>IFERROR(VLOOKUP(B192,'STATUS INVEST FII'!$A$2:$N$404,2,0),0)</f>
        <v>71.95</v>
      </c>
      <c r="D192" s="10">
        <f>IFERROR(VLOOKUP(B192,'STATUS INVEST FII'!$A$2:$N$404,4,0)/100,0)</f>
        <v>2.0799999999999999E-2</v>
      </c>
      <c r="E192" s="11">
        <f>IFERROR(VLOOKUP(B192,'STATUS INVEST FII'!$A$2:$N$404,6,0),0)</f>
        <v>0.69</v>
      </c>
      <c r="F192" s="12">
        <f>IFERROR(VLOOKUP(B192,'STATUS INVEST FII'!$A$2:$N$404,8,0)/100,0)</f>
        <v>1.61E-2</v>
      </c>
      <c r="G192" s="13">
        <f>IFERROR(VLOOKUP(B192,'STATUS INVEST FII'!$A$2:$N$404,9,0)/100,0)</f>
        <v>-8.6E-3</v>
      </c>
      <c r="H192" s="13">
        <f>IFERROR(VLOOKUP(B192,'STATUS INVEST FII'!$A$2:$N$404,10,0)/100,0)</f>
        <v>-2.3599999999999999E-2</v>
      </c>
      <c r="I192" s="20">
        <f>IFERROR(VLOOKUP(B192,'STATUS INVEST FII'!$A$2:$N$404,11,0),0)</f>
        <v>104802120.90000001</v>
      </c>
      <c r="J192" s="45" t="str">
        <f>IFERROR(VLOOKUP(B192,'ATIVOS-GESTÃO'!$A$1:$C$329,2),"-")</f>
        <v>MONO</v>
      </c>
      <c r="K192" s="45" t="str">
        <f>IFERROR(VLOOKUP(B192,'ATIVOS-GESTÃO'!$A$1:$C$329,3),"-")</f>
        <v>MULTI</v>
      </c>
      <c r="L192" s="20" t="str">
        <f>IFERROR(VLOOKUP(B192,'STATUS INVEST FII'!$A$2:$N$404,13,0),"-")</f>
        <v>Passiva</v>
      </c>
      <c r="M192" s="20" t="str">
        <f>IFERROR(VLOOKUP(B192,'DATA-COM'!A:B,2,FALSE),"-")</f>
        <v xml:space="preserve">Último </v>
      </c>
      <c r="N192" s="51">
        <f>IFERROR(VLOOKUP(B192,'STATUS INVEST FII'!$A$2:$N$404,12,0),"-")</f>
        <v>1864</v>
      </c>
      <c r="O192" s="54">
        <f>IFERROR(VLOOKUP(B192,'STATUS INVEST FII'!$A$2:$N$404,7,0),0)</f>
        <v>11933.15</v>
      </c>
    </row>
    <row r="193" spans="2:15" ht="15.75" thickBot="1" x14ac:dyDescent="0.3">
      <c r="B193" s="133" t="s">
        <v>50</v>
      </c>
      <c r="C193" s="46">
        <f>IFERROR(VLOOKUP(B193,'STATUS INVEST FII'!$A$2:$N$404,2,0),0)</f>
        <v>94</v>
      </c>
      <c r="D193" s="47">
        <f>IFERROR(VLOOKUP(B193,'STATUS INVEST FII'!$A$2:$N$404,4,0)/100,0)</f>
        <v>0.06</v>
      </c>
      <c r="E193" s="48">
        <f>IFERROR(VLOOKUP(B193,'STATUS INVEST FII'!$A$2:$N$404,6,0),0)</f>
        <v>0.92</v>
      </c>
      <c r="F193" s="49">
        <f>IFERROR(VLOOKUP(B193,'STATUS INVEST FII'!$A$2:$N$404,8,0)/100,0)</f>
        <v>1.1000000000000001E-2</v>
      </c>
      <c r="G193" s="50">
        <f>IFERROR(VLOOKUP(B193,'STATUS INVEST FII'!$A$2:$N$404,9,0)/100,0)</f>
        <v>-8.0399999999999985E-2</v>
      </c>
      <c r="H193" s="50">
        <f>IFERROR(VLOOKUP(B193,'STATUS INVEST FII'!$A$2:$N$404,10,0)/100,0)</f>
        <v>-3.7599999999999995E-2</v>
      </c>
      <c r="I193" s="38">
        <f>IFERROR(VLOOKUP(B193,'STATUS INVEST FII'!$A$2:$N$404,11,0),0)</f>
        <v>1899441860.0599999</v>
      </c>
      <c r="J193" s="45" t="str">
        <f>IFERROR(VLOOKUP(B193,'ATIVOS-GESTÃO'!$A$1:$C$329,2),"-")</f>
        <v>MULTI</v>
      </c>
      <c r="K193" s="45" t="str">
        <f>IFERROR(VLOOKUP(B193,'ATIVOS-GESTÃO'!$A$1:$C$329,3),"-")</f>
        <v>MULTI</v>
      </c>
      <c r="L193" s="38" t="str">
        <f>IFERROR(VLOOKUP(B193,'STATUS INVEST FII'!$A$2:$N$404,13,0),"-")</f>
        <v>Ativa</v>
      </c>
      <c r="M193" s="38" t="str">
        <f>IFERROR(VLOOKUP(B193,'DATA-COM'!A:B,2,FALSE),"-")</f>
        <v xml:space="preserve">Décimo Segundo </v>
      </c>
      <c r="N193" s="78">
        <f>IFERROR(VLOOKUP(B193,'STATUS INVEST FII'!$A$2:$N$404,12,0),"-")</f>
        <v>254916</v>
      </c>
      <c r="O193" s="79">
        <f>IFERROR(VLOOKUP(B193,'STATUS INVEST FII'!$A$2:$N$404,7,0),0)</f>
        <v>4005689.82</v>
      </c>
    </row>
    <row r="194" spans="2:15" s="203" customFormat="1" ht="15.75" thickBot="1" x14ac:dyDescent="0.3">
      <c r="B194" s="216" t="s">
        <v>4</v>
      </c>
      <c r="C194" s="217">
        <f>IFERROR(VLOOKUP(B194,'STATUS INVEST FII'!$A$2:$N$404,2,0),0)</f>
        <v>0</v>
      </c>
      <c r="D194" s="218">
        <f>IFERROR(VLOOKUP(B194,'STATUS INVEST FII'!$A$2:$N$404,4,0)/100,0)</f>
        <v>0</v>
      </c>
      <c r="E194" s="218">
        <f>IFERROR(VLOOKUP(B194,'STATUS INVEST FII'!$A$2:$N$404,6,0),0)</f>
        <v>0</v>
      </c>
      <c r="F194" s="218">
        <f>IFERROR(VLOOKUP(B194,'STATUS INVEST FII'!$A$2:$N$404,8,0)/100,0)</f>
        <v>0</v>
      </c>
      <c r="G194" s="218">
        <f>IFERROR(VLOOKUP(B194,'STATUS INVEST FII'!$A$2:$N$404,9,0)/100,0)</f>
        <v>0</v>
      </c>
      <c r="H194" s="218">
        <f>IFERROR(VLOOKUP(B194,'STATUS INVEST FII'!$A$2:$N$404,10,0)/100,0)</f>
        <v>0</v>
      </c>
      <c r="I194" s="218">
        <f>IFERROR(VLOOKUP(B194,'STATUS INVEST FII'!$A$2:$N$404,11,0),0)</f>
        <v>0</v>
      </c>
      <c r="J194" s="218" t="str">
        <f>IFERROR(VLOOKUP(B194,'ATIVOS-GESTÃO'!$A$1:$C$329,2),"-")</f>
        <v>MULTI</v>
      </c>
      <c r="K194" s="218" t="str">
        <f>IFERROR(VLOOKUP(B194,'ATIVOS-GESTÃO'!$A$1:$C$329,3),"-")</f>
        <v>MULTI</v>
      </c>
      <c r="L194" s="218" t="str">
        <f>IFERROR(VLOOKUP(B194,'STATUS INVEST FII'!$A$2:$N$404,13,0),"-")</f>
        <v>-</v>
      </c>
      <c r="M194" s="218" t="str">
        <f>IFERROR(VLOOKUP(B194,'DATA-COM'!A:B,2,FALSE),"-")</f>
        <v>-</v>
      </c>
      <c r="N194" s="218" t="str">
        <f>IFERROR(VLOOKUP(B194,'STATUS INVEST FII'!$A$2:$N$404,12,0),"-")</f>
        <v>-</v>
      </c>
      <c r="O194" s="219">
        <f>IFERROR(VLOOKUP(B194,'STATUS INVEST FII'!$A$2:$N$404,7,0),0)</f>
        <v>0</v>
      </c>
    </row>
    <row r="195" spans="2:15" x14ac:dyDescent="0.25">
      <c r="B195" s="126" t="s">
        <v>29</v>
      </c>
      <c r="C195" s="39">
        <f>IFERROR(VLOOKUP(B195,'STATUS INVEST FII'!$A$2:$N$404,2,0),0)</f>
        <v>115.75</v>
      </c>
      <c r="D195" s="40">
        <f>IFERROR(VLOOKUP(B195,'STATUS INVEST FII'!$A$2:$N$404,4,0)/100,0)</f>
        <v>6.6699999999999995E-2</v>
      </c>
      <c r="E195" s="41">
        <f>IFERROR(VLOOKUP(B195,'STATUS INVEST FII'!$A$2:$N$404,6,0),0)</f>
        <v>1.07</v>
      </c>
      <c r="F195" s="42">
        <f>IFERROR(VLOOKUP(B195,'STATUS INVEST FII'!$A$2:$N$404,8,0)/100,0)</f>
        <v>5.6100000000000004E-2</v>
      </c>
      <c r="G195" s="43">
        <f>IFERROR(VLOOKUP(B195,'STATUS INVEST FII'!$A$2:$N$404,9,0)/100,0)</f>
        <v>4.1799999999999997E-2</v>
      </c>
      <c r="H195" s="43">
        <f>IFERROR(VLOOKUP(B195,'STATUS INVEST FII'!$A$2:$N$404,10,0)/100,0)</f>
        <v>5.7000000000000002E-2</v>
      </c>
      <c r="I195" s="44">
        <f>IFERROR(VLOOKUP(B195,'STATUS INVEST FII'!$A$2:$N$404,11,0),0)</f>
        <v>642593457.01999998</v>
      </c>
      <c r="J195" s="45" t="str">
        <f>IFERROR(VLOOKUP(B195,'ATIVOS-GESTÃO'!$A$1:$C$329,2),"-")</f>
        <v>MULTI</v>
      </c>
      <c r="K195" s="45" t="str">
        <f>IFERROR(VLOOKUP(B195,'ATIVOS-GESTÃO'!$A$1:$C$329,3),"-")</f>
        <v>MULTI</v>
      </c>
      <c r="L195" s="44" t="str">
        <f>IFERROR(VLOOKUP(B195,'STATUS INVEST FII'!$A$2:$N$404,13,0),"-")</f>
        <v>Ativa</v>
      </c>
      <c r="M195" s="44" t="str">
        <f>IFERROR(VLOOKUP(B195,'DATA-COM'!A:B,2,FALSE),"-")</f>
        <v xml:space="preserve">Décimo Segundo </v>
      </c>
      <c r="N195" s="57">
        <f>IFERROR(VLOOKUP(B195,'STATUS INVEST FII'!$A$2:$N$404,12,0),"-")</f>
        <v>98441</v>
      </c>
      <c r="O195" s="58">
        <f>IFERROR(VLOOKUP(B195,'STATUS INVEST FII'!$A$2:$N$404,7,0),0)</f>
        <v>907058.38</v>
      </c>
    </row>
    <row r="196" spans="2:15" x14ac:dyDescent="0.25">
      <c r="B196" s="126" t="s">
        <v>127</v>
      </c>
      <c r="C196" s="9">
        <f>IFERROR(VLOOKUP(B196,'STATUS INVEST FII'!$A$2:$N$404,2,0),0)</f>
        <v>107.98</v>
      </c>
      <c r="D196" s="10">
        <f>IFERROR(VLOOKUP(B196,'STATUS INVEST FII'!$A$2:$N$404,4,0)/100,0)</f>
        <v>0.13849999999999998</v>
      </c>
      <c r="E196" s="11">
        <f>IFERROR(VLOOKUP(B196,'STATUS INVEST FII'!$A$2:$N$404,6,0),0)</f>
        <v>1.08</v>
      </c>
      <c r="F196" s="12">
        <f>IFERROR(VLOOKUP(B196,'STATUS INVEST FII'!$A$2:$N$404,8,0)/100,0)</f>
        <v>4.5899999999999996E-2</v>
      </c>
      <c r="G196" s="13">
        <f>IFERROR(VLOOKUP(B196,'STATUS INVEST FII'!$A$2:$N$404,9,0)/100,0)</f>
        <v>0</v>
      </c>
      <c r="H196" s="13">
        <f>IFERROR(VLOOKUP(B196,'STATUS INVEST FII'!$A$2:$N$404,10,0)/100,0)</f>
        <v>0</v>
      </c>
      <c r="I196" s="20">
        <f>IFERROR(VLOOKUP(B196,'STATUS INVEST FII'!$A$2:$N$404,11,0),0)</f>
        <v>287765894.45999998</v>
      </c>
      <c r="J196" s="45" t="str">
        <f>IFERROR(VLOOKUP(B196,'ATIVOS-GESTÃO'!$A$1:$C$329,2),"-")</f>
        <v>MULTI</v>
      </c>
      <c r="K196" s="45" t="str">
        <f>IFERROR(VLOOKUP(B196,'ATIVOS-GESTÃO'!$A$1:$C$329,3),"-")</f>
        <v>MULTI</v>
      </c>
      <c r="L196" s="20" t="str">
        <f>IFERROR(VLOOKUP(B196,'STATUS INVEST FII'!$A$2:$N$404,13,0),"-")</f>
        <v>Ativa</v>
      </c>
      <c r="M196" s="20" t="str">
        <f>IFERROR(VLOOKUP(B196,'DATA-COM'!A:B,2,FALSE),"-")</f>
        <v xml:space="preserve">Décimo </v>
      </c>
      <c r="N196" s="51">
        <f>IFERROR(VLOOKUP(B196,'STATUS INVEST FII'!$A$2:$N$404,12,0),"-")</f>
        <v>10203</v>
      </c>
      <c r="O196" s="54">
        <f>IFERROR(VLOOKUP(B196,'STATUS INVEST FII'!$A$2:$N$404,7,0),0)</f>
        <v>1526549.38</v>
      </c>
    </row>
    <row r="197" spans="2:15" x14ac:dyDescent="0.25">
      <c r="B197" s="126" t="s">
        <v>242</v>
      </c>
      <c r="C197" s="9">
        <f>IFERROR(VLOOKUP(B197,'STATUS INVEST FII'!$A$2:$N$404,2,0),0)</f>
        <v>83.01</v>
      </c>
      <c r="D197" s="10">
        <f>IFERROR(VLOOKUP(B197,'STATUS INVEST FII'!$A$2:$N$404,4,0)/100,0)</f>
        <v>7.3499999999999996E-2</v>
      </c>
      <c r="E197" s="11">
        <f>IFERROR(VLOOKUP(B197,'STATUS INVEST FII'!$A$2:$N$404,6,0),0)</f>
        <v>0.85</v>
      </c>
      <c r="F197" s="12">
        <f>IFERROR(VLOOKUP(B197,'STATUS INVEST FII'!$A$2:$N$404,8,0)/100,0)</f>
        <v>1.6E-2</v>
      </c>
      <c r="G197" s="13">
        <f>IFERROR(VLOOKUP(B197,'STATUS INVEST FII'!$A$2:$N$404,9,0)/100,0)</f>
        <v>0</v>
      </c>
      <c r="H197" s="13">
        <f>IFERROR(VLOOKUP(B197,'STATUS INVEST FII'!$A$2:$N$404,10,0)/100,0)</f>
        <v>0</v>
      </c>
      <c r="I197" s="20">
        <f>IFERROR(VLOOKUP(B197,'STATUS INVEST FII'!$A$2:$N$404,11,0),0)</f>
        <v>225890090.43000001</v>
      </c>
      <c r="J197" s="45" t="str">
        <f>IFERROR(VLOOKUP(B197,'ATIVOS-GESTÃO'!$A$1:$C$329,2),"-")</f>
        <v>MULTI</v>
      </c>
      <c r="K197" s="45" t="str">
        <f>IFERROR(VLOOKUP(B197,'ATIVOS-GESTÃO'!$A$1:$C$329,3),"-")</f>
        <v>MULTI</v>
      </c>
      <c r="L197" s="20" t="str">
        <f>IFERROR(VLOOKUP(B197,'STATUS INVEST FII'!$A$2:$N$404,13,0),"-")</f>
        <v>Ativa</v>
      </c>
      <c r="M197" s="20" t="str">
        <f>IFERROR(VLOOKUP(B197,'DATA-COM'!A:B,2,FALSE),"-")</f>
        <v xml:space="preserve">Nono </v>
      </c>
      <c r="N197" s="51">
        <f>IFERROR(VLOOKUP(B197,'STATUS INVEST FII'!$A$2:$N$404,12,0),"-")</f>
        <v>306</v>
      </c>
      <c r="O197" s="54">
        <f>IFERROR(VLOOKUP(B197,'STATUS INVEST FII'!$A$2:$N$404,7,0),0)</f>
        <v>8500.6200000000008</v>
      </c>
    </row>
    <row r="198" spans="2:15" x14ac:dyDescent="0.25">
      <c r="B198" s="126" t="s">
        <v>328</v>
      </c>
      <c r="C198" s="9">
        <f>IFERROR(VLOOKUP(B198,'STATUS INVEST FII'!$A$2:$N$404,2,0),0)</f>
        <v>92.07</v>
      </c>
      <c r="D198" s="10">
        <f>IFERROR(VLOOKUP(B198,'STATUS INVEST FII'!$A$2:$N$404,4,0)/100,0)</f>
        <v>0.1114</v>
      </c>
      <c r="E198" s="11">
        <f>IFERROR(VLOOKUP(B198,'STATUS INVEST FII'!$A$2:$N$404,6,0),0)</f>
        <v>1</v>
      </c>
      <c r="F198" s="12">
        <f>IFERROR(VLOOKUP(B198,'STATUS INVEST FII'!$A$2:$N$404,8,0)/100,0)</f>
        <v>7.0999999999999995E-3</v>
      </c>
      <c r="G198" s="13">
        <f>IFERROR(VLOOKUP(B198,'STATUS INVEST FII'!$A$2:$N$404,9,0)/100,0)</f>
        <v>0</v>
      </c>
      <c r="H198" s="13">
        <f>IFERROR(VLOOKUP(B198,'STATUS INVEST FII'!$A$2:$N$404,10,0)/100,0)</f>
        <v>0</v>
      </c>
      <c r="I198" s="20">
        <f>IFERROR(VLOOKUP(B198,'STATUS INVEST FII'!$A$2:$N$404,11,0),0)</f>
        <v>356106253.36000001</v>
      </c>
      <c r="J198" s="45" t="str">
        <f>IFERROR(VLOOKUP(B198,'ATIVOS-GESTÃO'!$A$1:$C$329,2),"-")</f>
        <v>MONO</v>
      </c>
      <c r="K198" s="45" t="str">
        <f>IFERROR(VLOOKUP(B198,'ATIVOS-GESTÃO'!$A$1:$C$329,3),"-")</f>
        <v>MONO</v>
      </c>
      <c r="L198" s="20" t="str">
        <f>IFERROR(VLOOKUP(B198,'STATUS INVEST FII'!$A$2:$N$404,13,0),"-")</f>
        <v>Ativa</v>
      </c>
      <c r="M198" s="20" t="str">
        <f>IFERROR(VLOOKUP(B198,'DATA-COM'!A:B,2,FALSE),"-")</f>
        <v xml:space="preserve">Quinto </v>
      </c>
      <c r="N198" s="51">
        <f>IFERROR(VLOOKUP(B198,'STATUS INVEST FII'!$A$2:$N$404,12,0),"-")</f>
        <v>5411</v>
      </c>
      <c r="O198" s="54">
        <f>IFERROR(VLOOKUP(B198,'STATUS INVEST FII'!$A$2:$N$404,7,0),0)</f>
        <v>755097.03</v>
      </c>
    </row>
    <row r="199" spans="2:15" x14ac:dyDescent="0.25">
      <c r="B199" s="126" t="s">
        <v>251</v>
      </c>
      <c r="C199" s="9">
        <f>IFERROR(VLOOKUP(B199,'STATUS INVEST FII'!$A$2:$N$404,2,0),0)</f>
        <v>107</v>
      </c>
      <c r="D199" s="10">
        <f>IFERROR(VLOOKUP(B199,'STATUS INVEST FII'!$A$2:$N$404,4,0)/100,0)</f>
        <v>8.9800000000000005E-2</v>
      </c>
      <c r="E199" s="11">
        <f>IFERROR(VLOOKUP(B199,'STATUS INVEST FII'!$A$2:$N$404,6,0),0)</f>
        <v>0.99</v>
      </c>
      <c r="F199" s="12">
        <f>IFERROR(VLOOKUP(B199,'STATUS INVEST FII'!$A$2:$N$404,8,0)/100,0)</f>
        <v>8.0000000000000004E-4</v>
      </c>
      <c r="G199" s="13">
        <f>IFERROR(VLOOKUP(B199,'STATUS INVEST FII'!$A$2:$N$404,9,0)/100,0)</f>
        <v>0</v>
      </c>
      <c r="H199" s="13">
        <f>IFERROR(VLOOKUP(B199,'STATUS INVEST FII'!$A$2:$N$404,10,0)/100,0)</f>
        <v>0</v>
      </c>
      <c r="I199" s="20">
        <f>IFERROR(VLOOKUP(B199,'STATUS INVEST FII'!$A$2:$N$404,11,0),0)</f>
        <v>146528261.25999999</v>
      </c>
      <c r="J199" s="45" t="str">
        <f>IFERROR(VLOOKUP(B199,'ATIVOS-GESTÃO'!$A$1:$C$329,2),"-")</f>
        <v>MONO</v>
      </c>
      <c r="K199" s="45" t="str">
        <f>IFERROR(VLOOKUP(B199,'ATIVOS-GESTÃO'!$A$1:$C$329,3),"-")</f>
        <v>MONO</v>
      </c>
      <c r="L199" s="20" t="str">
        <f>IFERROR(VLOOKUP(B199,'STATUS INVEST FII'!$A$2:$N$404,13,0),"-")</f>
        <v>Passiva</v>
      </c>
      <c r="M199" s="20" t="str">
        <f>IFERROR(VLOOKUP(B199,'DATA-COM'!A:B,2,FALSE),"-")</f>
        <v xml:space="preserve">Quinto </v>
      </c>
      <c r="N199" s="51">
        <f>IFERROR(VLOOKUP(B199,'STATUS INVEST FII'!$A$2:$N$404,12,0),"-")</f>
        <v>197</v>
      </c>
      <c r="O199" s="54">
        <f>IFERROR(VLOOKUP(B199,'STATUS INVEST FII'!$A$2:$N$404,7,0),0)</f>
        <v>19571.5</v>
      </c>
    </row>
    <row r="200" spans="2:15" x14ac:dyDescent="0.25">
      <c r="B200" s="126" t="s">
        <v>31</v>
      </c>
      <c r="C200" s="9">
        <f>IFERROR(VLOOKUP(B200,'STATUS INVEST FII'!$A$2:$N$404,2,0),0)</f>
        <v>100.2</v>
      </c>
      <c r="D200" s="10">
        <f>IFERROR(VLOOKUP(B200,'STATUS INVEST FII'!$A$2:$N$404,4,0)/100,0)</f>
        <v>6.8400000000000002E-2</v>
      </c>
      <c r="E200" s="11">
        <f>IFERROR(VLOOKUP(B200,'STATUS INVEST FII'!$A$2:$N$404,6,0),0)</f>
        <v>0.84</v>
      </c>
      <c r="F200" s="12">
        <f>IFERROR(VLOOKUP(B200,'STATUS INVEST FII'!$A$2:$N$404,8,0)/100,0)</f>
        <v>2.69E-2</v>
      </c>
      <c r="G200" s="13">
        <f>IFERROR(VLOOKUP(B200,'STATUS INVEST FII'!$A$2:$N$404,9,0)/100,0)</f>
        <v>0</v>
      </c>
      <c r="H200" s="13">
        <f>IFERROR(VLOOKUP(B200,'STATUS INVEST FII'!$A$2:$N$404,10,0)/100,0)</f>
        <v>0</v>
      </c>
      <c r="I200" s="20">
        <f>IFERROR(VLOOKUP(B200,'STATUS INVEST FII'!$A$2:$N$404,11,0),0)</f>
        <v>1754791262.49</v>
      </c>
      <c r="J200" s="45" t="str">
        <f>IFERROR(VLOOKUP(B200,'ATIVOS-GESTÃO'!$A$1:$C$329,2),"-")</f>
        <v>MULTI</v>
      </c>
      <c r="K200" s="45" t="str">
        <f>IFERROR(VLOOKUP(B200,'ATIVOS-GESTÃO'!$A$1:$C$329,3),"-")</f>
        <v>MULTI</v>
      </c>
      <c r="L200" s="20" t="str">
        <f>IFERROR(VLOOKUP(B200,'STATUS INVEST FII'!$A$2:$N$404,13,0),"-")</f>
        <v>Ativa</v>
      </c>
      <c r="M200" s="20" t="str">
        <f>IFERROR(VLOOKUP(B200,'DATA-COM'!A:B,2,FALSE),"-")</f>
        <v xml:space="preserve">Último </v>
      </c>
      <c r="N200" s="51">
        <f>IFERROR(VLOOKUP(B200,'STATUS INVEST FII'!$A$2:$N$404,12,0),"-")</f>
        <v>60457</v>
      </c>
      <c r="O200" s="54">
        <f>IFERROR(VLOOKUP(B200,'STATUS INVEST FII'!$A$2:$N$404,7,0),0)</f>
        <v>3494516.53</v>
      </c>
    </row>
    <row r="201" spans="2:15" x14ac:dyDescent="0.25">
      <c r="B201" s="126" t="s">
        <v>354</v>
      </c>
      <c r="C201" s="9">
        <f>IFERROR(VLOOKUP(B201,'STATUS INVEST FII'!$A$2:$N$404,2,0),0)</f>
        <v>150</v>
      </c>
      <c r="D201" s="10">
        <f>IFERROR(VLOOKUP(B201,'STATUS INVEST FII'!$A$2:$N$404,4,0)/100,0)</f>
        <v>8.1300000000000011E-2</v>
      </c>
      <c r="E201" s="11">
        <f>IFERROR(VLOOKUP(B201,'STATUS INVEST FII'!$A$2:$N$404,6,0),0)</f>
        <v>0.94</v>
      </c>
      <c r="F201" s="12">
        <f>IFERROR(VLOOKUP(B201,'STATUS INVEST FII'!$A$2:$N$404,8,0)/100,0)</f>
        <v>5.6000000000000008E-3</v>
      </c>
      <c r="G201" s="13">
        <f>IFERROR(VLOOKUP(B201,'STATUS INVEST FII'!$A$2:$N$404,9,0)/100,0)</f>
        <v>0</v>
      </c>
      <c r="H201" s="13">
        <f>IFERROR(VLOOKUP(B201,'STATUS INVEST FII'!$A$2:$N$404,10,0)/100,0)</f>
        <v>0</v>
      </c>
      <c r="I201" s="20">
        <f>IFERROR(VLOOKUP(B201,'STATUS INVEST FII'!$A$2:$N$404,11,0),0)</f>
        <v>270163925.60000002</v>
      </c>
      <c r="J201" s="45" t="str">
        <f>IFERROR(VLOOKUP(B201,'ATIVOS-GESTÃO'!$A$1:$C$329,2),"-")</f>
        <v>MULTI</v>
      </c>
      <c r="K201" s="45" t="str">
        <f>IFERROR(VLOOKUP(B201,'ATIVOS-GESTÃO'!$A$1:$C$329,3),"-")</f>
        <v>MONO</v>
      </c>
      <c r="L201" s="20" t="str">
        <f>IFERROR(VLOOKUP(B201,'STATUS INVEST FII'!$A$2:$N$404,13,0),"-")</f>
        <v>Passiva</v>
      </c>
      <c r="M201" s="20" t="str">
        <f>IFERROR(VLOOKUP(B201,'DATA-COM'!A:B,2,FALSE),"-")</f>
        <v xml:space="preserve">Oitavo </v>
      </c>
      <c r="N201" s="51">
        <f>IFERROR(VLOOKUP(B201,'STATUS INVEST FII'!$A$2:$N$404,12,0),"-")</f>
        <v>160</v>
      </c>
      <c r="O201" s="54">
        <f>IFERROR(VLOOKUP(B201,'STATUS INVEST FII'!$A$2:$N$404,7,0),0)</f>
        <v>47514.2</v>
      </c>
    </row>
    <row r="202" spans="2:15" x14ac:dyDescent="0.25">
      <c r="B202" s="126" t="s">
        <v>331</v>
      </c>
      <c r="C202" s="9">
        <f>IFERROR(VLOOKUP(B202,'STATUS INVEST FII'!$A$2:$N$404,2,0),0)</f>
        <v>95.11</v>
      </c>
      <c r="D202" s="10">
        <f>IFERROR(VLOOKUP(B202,'STATUS INVEST FII'!$A$2:$N$404,4,0)/100,0)</f>
        <v>7.2700000000000001E-2</v>
      </c>
      <c r="E202" s="11">
        <f>IFERROR(VLOOKUP(B202,'STATUS INVEST FII'!$A$2:$N$404,6,0),0)</f>
        <v>0.92</v>
      </c>
      <c r="F202" s="12">
        <f>IFERROR(VLOOKUP(B202,'STATUS INVEST FII'!$A$2:$N$404,8,0)/100,0)</f>
        <v>0.1081</v>
      </c>
      <c r="G202" s="13">
        <f>IFERROR(VLOOKUP(B202,'STATUS INVEST FII'!$A$2:$N$404,9,0)/100,0)</f>
        <v>0</v>
      </c>
      <c r="H202" s="13">
        <f>IFERROR(VLOOKUP(B202,'STATUS INVEST FII'!$A$2:$N$404,10,0)/100,0)</f>
        <v>0</v>
      </c>
      <c r="I202" s="20">
        <f>IFERROR(VLOOKUP(B202,'STATUS INVEST FII'!$A$2:$N$404,11,0),0)</f>
        <v>617128957.80999994</v>
      </c>
      <c r="J202" s="45" t="str">
        <f>IFERROR(VLOOKUP(B202,'ATIVOS-GESTÃO'!$A$1:$C$329,2),"-")</f>
        <v>MULTI</v>
      </c>
      <c r="K202" s="45" t="str">
        <f>IFERROR(VLOOKUP(B202,'ATIVOS-GESTÃO'!$A$1:$C$329,3),"-")</f>
        <v>MULTI</v>
      </c>
      <c r="L202" s="20" t="str">
        <f>IFERROR(VLOOKUP(B202,'STATUS INVEST FII'!$A$2:$N$404,13,0),"-")</f>
        <v>Ativa</v>
      </c>
      <c r="M202" s="20" t="str">
        <f>IFERROR(VLOOKUP(B202,'DATA-COM'!A:B,2,FALSE),"-")</f>
        <v xml:space="preserve">Décimo Terceiro </v>
      </c>
      <c r="N202" s="51">
        <f>IFERROR(VLOOKUP(B202,'STATUS INVEST FII'!$A$2:$N$404,12,0),"-")</f>
        <v>17184</v>
      </c>
      <c r="O202" s="54">
        <f>IFERROR(VLOOKUP(B202,'STATUS INVEST FII'!$A$2:$N$404,7,0),0)</f>
        <v>944764.44</v>
      </c>
    </row>
    <row r="203" spans="2:15" x14ac:dyDescent="0.25">
      <c r="B203" s="126" t="s">
        <v>32</v>
      </c>
      <c r="C203" s="9">
        <f>IFERROR(VLOOKUP(B203,'STATUS INVEST FII'!$A$2:$N$404,2,0),0)</f>
        <v>103.08</v>
      </c>
      <c r="D203" s="10">
        <f>IFERROR(VLOOKUP(B203,'STATUS INVEST FII'!$A$2:$N$404,4,0)/100,0)</f>
        <v>8.1300000000000011E-2</v>
      </c>
      <c r="E203" s="11">
        <f>IFERROR(VLOOKUP(B203,'STATUS INVEST FII'!$A$2:$N$404,6,0),0)</f>
        <v>1.04</v>
      </c>
      <c r="F203" s="12">
        <f>IFERROR(VLOOKUP(B203,'STATUS INVEST FII'!$A$2:$N$404,8,0)/100,0)</f>
        <v>1.37E-2</v>
      </c>
      <c r="G203" s="13">
        <f>IFERROR(VLOOKUP(B203,'STATUS INVEST FII'!$A$2:$N$404,9,0)/100,0)</f>
        <v>0.16219999999999998</v>
      </c>
      <c r="H203" s="13">
        <f>IFERROR(VLOOKUP(B203,'STATUS INVEST FII'!$A$2:$N$404,10,0)/100,0)</f>
        <v>2.7999999999999997E-2</v>
      </c>
      <c r="I203" s="20">
        <f>IFERROR(VLOOKUP(B203,'STATUS INVEST FII'!$A$2:$N$404,11,0),0)</f>
        <v>1508161155.3499999</v>
      </c>
      <c r="J203" s="45" t="str">
        <f>IFERROR(VLOOKUP(B203,'ATIVOS-GESTÃO'!$A$1:$C$329,2),"-")</f>
        <v>MULTI</v>
      </c>
      <c r="K203" s="45" t="str">
        <f>IFERROR(VLOOKUP(B203,'ATIVOS-GESTÃO'!$A$1:$C$329,3),"-")</f>
        <v>MULTI</v>
      </c>
      <c r="L203" s="20" t="str">
        <f>IFERROR(VLOOKUP(B203,'STATUS INVEST FII'!$A$2:$N$404,13,0),"-")</f>
        <v>Ativa</v>
      </c>
      <c r="M203" s="20" t="str">
        <f>IFERROR(VLOOKUP(B203,'DATA-COM'!A:B,2,FALSE),"-")</f>
        <v xml:space="preserve">Décimo </v>
      </c>
      <c r="N203" s="51">
        <f>IFERROR(VLOOKUP(B203,'STATUS INVEST FII'!$A$2:$N$404,12,0),"-")</f>
        <v>156522</v>
      </c>
      <c r="O203" s="54">
        <f>IFERROR(VLOOKUP(B203,'STATUS INVEST FII'!$A$2:$N$404,7,0),0)</f>
        <v>3940844.76</v>
      </c>
    </row>
    <row r="204" spans="2:15" x14ac:dyDescent="0.25">
      <c r="B204" s="126" t="s">
        <v>333</v>
      </c>
      <c r="C204" s="9">
        <f>IFERROR(VLOOKUP(B204,'STATUS INVEST FII'!$A$2:$N$404,2,0),0)</f>
        <v>0</v>
      </c>
      <c r="D204" s="10">
        <f>IFERROR(VLOOKUP(B204,'STATUS INVEST FII'!$A$2:$N$404,4,0)/100,0)</f>
        <v>0</v>
      </c>
      <c r="E204" s="11">
        <f>IFERROR(VLOOKUP(B204,'STATUS INVEST FII'!$A$2:$N$404,6,0),0)</f>
        <v>0</v>
      </c>
      <c r="F204" s="12">
        <f>IFERROR(VLOOKUP(B204,'STATUS INVEST FII'!$A$2:$N$404,8,0)/100,0)</f>
        <v>6.8000000000000005E-3</v>
      </c>
      <c r="G204" s="13">
        <f>IFERROR(VLOOKUP(B204,'STATUS INVEST FII'!$A$2:$N$404,9,0)/100,0)</f>
        <v>0</v>
      </c>
      <c r="H204" s="13">
        <f>IFERROR(VLOOKUP(B204,'STATUS INVEST FII'!$A$2:$N$404,10,0)/100,0)</f>
        <v>0</v>
      </c>
      <c r="I204" s="20">
        <f>IFERROR(VLOOKUP(B204,'STATUS INVEST FII'!$A$2:$N$404,11,0),0)</f>
        <v>103256976.12</v>
      </c>
      <c r="J204" s="45" t="str">
        <f>IFERROR(VLOOKUP(B204,'ATIVOS-GESTÃO'!$A$1:$C$329,2),"-")</f>
        <v>MONO</v>
      </c>
      <c r="K204" s="45" t="str">
        <f>IFERROR(VLOOKUP(B204,'ATIVOS-GESTÃO'!$A$1:$C$329,3),"-")</f>
        <v>MONO</v>
      </c>
      <c r="L204" s="20" t="str">
        <f>IFERROR(VLOOKUP(B204,'STATUS INVEST FII'!$A$2:$N$404,13,0),"-")</f>
        <v>Ativa</v>
      </c>
      <c r="M204" s="20" t="str">
        <f>IFERROR(VLOOKUP(B204,'DATA-COM'!A:B,2,FALSE),"-")</f>
        <v>-</v>
      </c>
      <c r="N204" s="51">
        <f>IFERROR(VLOOKUP(B204,'STATUS INVEST FII'!$A$2:$N$404,12,0),"-")</f>
        <v>52</v>
      </c>
      <c r="O204" s="54">
        <f>IFERROR(VLOOKUP(B204,'STATUS INVEST FII'!$A$2:$N$404,7,0),0)</f>
        <v>0</v>
      </c>
    </row>
    <row r="205" spans="2:15" x14ac:dyDescent="0.25">
      <c r="B205" s="126" t="s">
        <v>90</v>
      </c>
      <c r="C205" s="9">
        <f>IFERROR(VLOOKUP(B205,'STATUS INVEST FII'!$A$2:$N$404,2,0),0)</f>
        <v>290</v>
      </c>
      <c r="D205" s="10">
        <f>IFERROR(VLOOKUP(B205,'STATUS INVEST FII'!$A$2:$N$404,4,0)/100,0)</f>
        <v>6.2899999999999998E-2</v>
      </c>
      <c r="E205" s="11">
        <f>IFERROR(VLOOKUP(B205,'STATUS INVEST FII'!$A$2:$N$404,6,0),0)</f>
        <v>0.41</v>
      </c>
      <c r="F205" s="12">
        <f>IFERROR(VLOOKUP(B205,'STATUS INVEST FII'!$A$2:$N$404,8,0)/100,0)</f>
        <v>6.0000000000000001E-3</v>
      </c>
      <c r="G205" s="13">
        <f>IFERROR(VLOOKUP(B205,'STATUS INVEST FII'!$A$2:$N$404,9,0)/100,0)</f>
        <v>0.14990000000000001</v>
      </c>
      <c r="H205" s="13">
        <f>IFERROR(VLOOKUP(B205,'STATUS INVEST FII'!$A$2:$N$404,10,0)/100,0)</f>
        <v>-0.15920000000000001</v>
      </c>
      <c r="I205" s="20">
        <f>IFERROR(VLOOKUP(B205,'STATUS INVEST FII'!$A$2:$N$404,11,0),0)</f>
        <v>37047298.5</v>
      </c>
      <c r="J205" s="45" t="str">
        <f>IFERROR(VLOOKUP(B205,'ATIVOS-GESTÃO'!$A$1:$C$329,2),"-")</f>
        <v>MULTI</v>
      </c>
      <c r="K205" s="45" t="str">
        <f>IFERROR(VLOOKUP(B205,'ATIVOS-GESTÃO'!$A$1:$C$329,3),"-")</f>
        <v>MULTI</v>
      </c>
      <c r="L205" s="20" t="str">
        <f>IFERROR(VLOOKUP(B205,'STATUS INVEST FII'!$A$2:$N$404,13,0),"-")</f>
        <v>Passiva</v>
      </c>
      <c r="M205" s="20" t="str">
        <f>IFERROR(VLOOKUP(B205,'DATA-COM'!A:B,2,FALSE),"-")</f>
        <v xml:space="preserve">Último </v>
      </c>
      <c r="N205" s="51">
        <f>IFERROR(VLOOKUP(B205,'STATUS INVEST FII'!$A$2:$N$404,12,0),"-")</f>
        <v>664</v>
      </c>
      <c r="O205" s="54">
        <f>IFERROR(VLOOKUP(B205,'STATUS INVEST FII'!$A$2:$N$404,7,0),0)</f>
        <v>5039.46</v>
      </c>
    </row>
    <row r="206" spans="2:15" x14ac:dyDescent="0.25">
      <c r="B206" s="126" t="s">
        <v>33</v>
      </c>
      <c r="C206" s="9">
        <f>IFERROR(VLOOKUP(B206,'STATUS INVEST FII'!$A$2:$N$404,2,0),0)</f>
        <v>202.46</v>
      </c>
      <c r="D206" s="10">
        <f>IFERROR(VLOOKUP(B206,'STATUS INVEST FII'!$A$2:$N$404,4,0)/100,0)</f>
        <v>8.8699999999999987E-2</v>
      </c>
      <c r="E206" s="11">
        <f>IFERROR(VLOOKUP(B206,'STATUS INVEST FII'!$A$2:$N$404,6,0),0)</f>
        <v>0.64</v>
      </c>
      <c r="F206" s="12">
        <f>IFERROR(VLOOKUP(B206,'STATUS INVEST FII'!$A$2:$N$404,8,0)/100,0)</f>
        <v>1.54E-2</v>
      </c>
      <c r="G206" s="13">
        <f>IFERROR(VLOOKUP(B206,'STATUS INVEST FII'!$A$2:$N$404,9,0)/100,0)</f>
        <v>9.820000000000001E-2</v>
      </c>
      <c r="H206" s="13">
        <f>IFERROR(VLOOKUP(B206,'STATUS INVEST FII'!$A$2:$N$404,10,0)/100,0)</f>
        <v>8.77E-2</v>
      </c>
      <c r="I206" s="20">
        <f>IFERROR(VLOOKUP(B206,'STATUS INVEST FII'!$A$2:$N$404,11,0),0)</f>
        <v>119869423.17</v>
      </c>
      <c r="J206" s="45" t="str">
        <f>IFERROR(VLOOKUP(B206,'ATIVOS-GESTÃO'!$A$1:$C$329,2),"-")</f>
        <v>MULTI</v>
      </c>
      <c r="K206" s="45" t="str">
        <f>IFERROR(VLOOKUP(B206,'ATIVOS-GESTÃO'!$A$1:$C$329,3),"-")</f>
        <v>MULTI</v>
      </c>
      <c r="L206" s="20" t="str">
        <f>IFERROR(VLOOKUP(B206,'STATUS INVEST FII'!$A$2:$N$404,13,0),"-")</f>
        <v>Passiva</v>
      </c>
      <c r="M206" s="20" t="str">
        <f>IFERROR(VLOOKUP(B206,'DATA-COM'!A:B,2,FALSE),"-")</f>
        <v xml:space="preserve">Último </v>
      </c>
      <c r="N206" s="51">
        <f>IFERROR(VLOOKUP(B206,'STATUS INVEST FII'!$A$2:$N$404,12,0),"-")</f>
        <v>2590</v>
      </c>
      <c r="O206" s="54">
        <f>IFERROR(VLOOKUP(B206,'STATUS INVEST FII'!$A$2:$N$404,7,0),0)</f>
        <v>110612.03</v>
      </c>
    </row>
    <row r="207" spans="2:15" x14ac:dyDescent="0.25">
      <c r="B207" s="126" t="s">
        <v>143</v>
      </c>
      <c r="C207" s="9">
        <f>IFERROR(VLOOKUP(B207,'STATUS INVEST FII'!$A$2:$N$404,2,0),0)</f>
        <v>456.02</v>
      </c>
      <c r="D207" s="10">
        <f>IFERROR(VLOOKUP(B207,'STATUS INVEST FII'!$A$2:$N$404,4,0)/100,0)</f>
        <v>8.72E-2</v>
      </c>
      <c r="E207" s="11">
        <f>IFERROR(VLOOKUP(B207,'STATUS INVEST FII'!$A$2:$N$404,6,0),0)</f>
        <v>1</v>
      </c>
      <c r="F207" s="12">
        <f>IFERROR(VLOOKUP(B207,'STATUS INVEST FII'!$A$2:$N$404,8,0)/100,0)</f>
        <v>1.3300000000000001E-2</v>
      </c>
      <c r="G207" s="13">
        <f>IFERROR(VLOOKUP(B207,'STATUS INVEST FII'!$A$2:$N$404,9,0)/100,0)</f>
        <v>7.6399999999999996E-2</v>
      </c>
      <c r="H207" s="13">
        <f>IFERROR(VLOOKUP(B207,'STATUS INVEST FII'!$A$2:$N$404,10,0)/100,0)</f>
        <v>1.52E-2</v>
      </c>
      <c r="I207" s="20">
        <f>IFERROR(VLOOKUP(B207,'STATUS INVEST FII'!$A$2:$N$404,11,0),0)</f>
        <v>312904364.25999999</v>
      </c>
      <c r="J207" s="45" t="str">
        <f>IFERROR(VLOOKUP(B207,'ATIVOS-GESTÃO'!$A$1:$C$329,2),"-")</f>
        <v>MONO</v>
      </c>
      <c r="K207" s="45" t="str">
        <f>IFERROR(VLOOKUP(B207,'ATIVOS-GESTÃO'!$A$1:$C$329,3),"-")</f>
        <v>MULTI</v>
      </c>
      <c r="L207" s="20" t="str">
        <f>IFERROR(VLOOKUP(B207,'STATUS INVEST FII'!$A$2:$N$404,13,0),"-")</f>
        <v>Passiva</v>
      </c>
      <c r="M207" s="20" t="str">
        <f>IFERROR(VLOOKUP(B207,'DATA-COM'!A:B,2,FALSE),"-")</f>
        <v xml:space="preserve">Último </v>
      </c>
      <c r="N207" s="51">
        <f>IFERROR(VLOOKUP(B207,'STATUS INVEST FII'!$A$2:$N$404,12,0),"-")</f>
        <v>16743</v>
      </c>
      <c r="O207" s="54">
        <f>IFERROR(VLOOKUP(B207,'STATUS INVEST FII'!$A$2:$N$404,7,0),0)</f>
        <v>338454.41</v>
      </c>
    </row>
    <row r="208" spans="2:15" x14ac:dyDescent="0.25">
      <c r="B208" s="126" t="s">
        <v>91</v>
      </c>
      <c r="C208" s="9">
        <f>IFERROR(VLOOKUP(B208,'STATUS INVEST FII'!$A$2:$N$404,2,0),0)</f>
        <v>165</v>
      </c>
      <c r="D208" s="10">
        <f>IFERROR(VLOOKUP(B208,'STATUS INVEST FII'!$A$2:$N$404,4,0)/100,0)</f>
        <v>9.1700000000000004E-2</v>
      </c>
      <c r="E208" s="11">
        <f>IFERROR(VLOOKUP(B208,'STATUS INVEST FII'!$A$2:$N$404,6,0),0)</f>
        <v>0.82</v>
      </c>
      <c r="F208" s="12">
        <f>IFERROR(VLOOKUP(B208,'STATUS INVEST FII'!$A$2:$N$404,8,0)/100,0)</f>
        <v>2.87E-2</v>
      </c>
      <c r="G208" s="13">
        <f>IFERROR(VLOOKUP(B208,'STATUS INVEST FII'!$A$2:$N$404,9,0)/100,0)</f>
        <v>2.7000000000000001E-3</v>
      </c>
      <c r="H208" s="13">
        <f>IFERROR(VLOOKUP(B208,'STATUS INVEST FII'!$A$2:$N$404,10,0)/100,0)</f>
        <v>-3.8300000000000001E-2</v>
      </c>
      <c r="I208" s="20">
        <f>IFERROR(VLOOKUP(B208,'STATUS INVEST FII'!$A$2:$N$404,11,0),0)</f>
        <v>185831681.47</v>
      </c>
      <c r="J208" s="45" t="str">
        <f>IFERROR(VLOOKUP(B208,'ATIVOS-GESTÃO'!$A$1:$C$329,2),"-")</f>
        <v>MULTI</v>
      </c>
      <c r="K208" s="45" t="str">
        <f>IFERROR(VLOOKUP(B208,'ATIVOS-GESTÃO'!$A$1:$C$329,3),"-")</f>
        <v>MULTI</v>
      </c>
      <c r="L208" s="20" t="str">
        <f>IFERROR(VLOOKUP(B208,'STATUS INVEST FII'!$A$2:$N$404,13,0),"-")</f>
        <v>Passiva</v>
      </c>
      <c r="M208" s="20" t="str">
        <f>IFERROR(VLOOKUP(B208,'DATA-COM'!A:B,2,FALSE),"-")</f>
        <v xml:space="preserve">Último </v>
      </c>
      <c r="N208" s="51">
        <f>IFERROR(VLOOKUP(B208,'STATUS INVEST FII'!$A$2:$N$404,12,0),"-")</f>
        <v>8629</v>
      </c>
      <c r="O208" s="54">
        <f>IFERROR(VLOOKUP(B208,'STATUS INVEST FII'!$A$2:$N$404,7,0),0)</f>
        <v>124389.82</v>
      </c>
    </row>
    <row r="209" spans="2:15" x14ac:dyDescent="0.25">
      <c r="B209" s="126" t="s">
        <v>246</v>
      </c>
      <c r="C209" s="9">
        <f>IFERROR(VLOOKUP(B209,'STATUS INVEST FII'!$A$2:$N$404,2,0),0)</f>
        <v>0</v>
      </c>
      <c r="D209" s="10">
        <f>IFERROR(VLOOKUP(B209,'STATUS INVEST FII'!$A$2:$N$404,4,0)/100,0)</f>
        <v>0</v>
      </c>
      <c r="E209" s="11">
        <f>IFERROR(VLOOKUP(B209,'STATUS INVEST FII'!$A$2:$N$404,6,0),0)</f>
        <v>0</v>
      </c>
      <c r="F209" s="12">
        <f>IFERROR(VLOOKUP(B209,'STATUS INVEST FII'!$A$2:$N$404,8,0)/100,0)</f>
        <v>1.2199999999999999E-2</v>
      </c>
      <c r="G209" s="13">
        <f>IFERROR(VLOOKUP(B209,'STATUS INVEST FII'!$A$2:$N$404,9,0)/100,0)</f>
        <v>0</v>
      </c>
      <c r="H209" s="13">
        <f>IFERROR(VLOOKUP(B209,'STATUS INVEST FII'!$A$2:$N$404,10,0)/100,0)</f>
        <v>0</v>
      </c>
      <c r="I209" s="20">
        <f>IFERROR(VLOOKUP(B209,'STATUS INVEST FII'!$A$2:$N$404,11,0),0)</f>
        <v>43011291.619999997</v>
      </c>
      <c r="J209" s="45" t="str">
        <f>IFERROR(VLOOKUP(B209,'ATIVOS-GESTÃO'!$A$1:$C$329,2),"-")</f>
        <v>MONO</v>
      </c>
      <c r="K209" s="45" t="str">
        <f>IFERROR(VLOOKUP(B209,'ATIVOS-GESTÃO'!$A$1:$C$329,3),"-")</f>
        <v>MONO</v>
      </c>
      <c r="L209" s="20" t="str">
        <f>IFERROR(VLOOKUP(B209,'STATUS INVEST FII'!$A$2:$N$404,13,0),"-")</f>
        <v>Ativa</v>
      </c>
      <c r="M209" s="20" t="str">
        <f>IFERROR(VLOOKUP(B209,'DATA-COM'!A:B,2,FALSE),"-")</f>
        <v xml:space="preserve">Último </v>
      </c>
      <c r="N209" s="51">
        <f>IFERROR(VLOOKUP(B209,'STATUS INVEST FII'!$A$2:$N$404,12,0),"-")</f>
        <v>4</v>
      </c>
      <c r="O209" s="54">
        <f>IFERROR(VLOOKUP(B209,'STATUS INVEST FII'!$A$2:$N$404,7,0),0)</f>
        <v>0</v>
      </c>
    </row>
    <row r="210" spans="2:15" x14ac:dyDescent="0.25">
      <c r="B210" s="126" t="s">
        <v>317</v>
      </c>
      <c r="C210" s="9">
        <f>IFERROR(VLOOKUP(B210,'STATUS INVEST FII'!$A$2:$N$404,2,0),0)</f>
        <v>97.1</v>
      </c>
      <c r="D210" s="10">
        <f>IFERROR(VLOOKUP(B210,'STATUS INVEST FII'!$A$2:$N$404,4,0)/100,0)</f>
        <v>0.1038</v>
      </c>
      <c r="E210" s="11">
        <f>IFERROR(VLOOKUP(B210,'STATUS INVEST FII'!$A$2:$N$404,6,0),0)</f>
        <v>0.98</v>
      </c>
      <c r="F210" s="12">
        <f>IFERROR(VLOOKUP(B210,'STATUS INVEST FII'!$A$2:$N$404,8,0)/100,0)</f>
        <v>2.0000000000000001E-4</v>
      </c>
      <c r="G210" s="13">
        <f>IFERROR(VLOOKUP(B210,'STATUS INVEST FII'!$A$2:$N$404,9,0)/100,0)</f>
        <v>0</v>
      </c>
      <c r="H210" s="13">
        <f>IFERROR(VLOOKUP(B210,'STATUS INVEST FII'!$A$2:$N$404,10,0)/100,0)</f>
        <v>0</v>
      </c>
      <c r="I210" s="20">
        <f>IFERROR(VLOOKUP(B210,'STATUS INVEST FII'!$A$2:$N$404,11,0),0)</f>
        <v>558924528.85000002</v>
      </c>
      <c r="J210" s="45" t="str">
        <f>IFERROR(VLOOKUP(B210,'ATIVOS-GESTÃO'!$A$1:$C$329,2),"-")</f>
        <v>MULTI</v>
      </c>
      <c r="K210" s="45" t="str">
        <f>IFERROR(VLOOKUP(B210,'ATIVOS-GESTÃO'!$A$1:$C$329,3),"-")</f>
        <v>MULTI</v>
      </c>
      <c r="L210" s="20" t="str">
        <f>IFERROR(VLOOKUP(B210,'STATUS INVEST FII'!$A$2:$N$404,13,0),"-")</f>
        <v>Ativa</v>
      </c>
      <c r="M210" s="20" t="str">
        <f>IFERROR(VLOOKUP(B210,'DATA-COM'!A:B,2,FALSE),"-")</f>
        <v xml:space="preserve">Último </v>
      </c>
      <c r="N210" s="51">
        <f>IFERROR(VLOOKUP(B210,'STATUS INVEST FII'!$A$2:$N$404,12,0),"-")</f>
        <v>6245</v>
      </c>
      <c r="O210" s="54">
        <f>IFERROR(VLOOKUP(B210,'STATUS INVEST FII'!$A$2:$N$404,7,0),0)</f>
        <v>422071.09</v>
      </c>
    </row>
    <row r="211" spans="2:15" x14ac:dyDescent="0.25">
      <c r="B211" s="126" t="s">
        <v>34</v>
      </c>
      <c r="C211" s="9">
        <f>IFERROR(VLOOKUP(B211,'STATUS INVEST FII'!$A$2:$N$404,2,0),0)</f>
        <v>109.93</v>
      </c>
      <c r="D211" s="10">
        <f>IFERROR(VLOOKUP(B211,'STATUS INVEST FII'!$A$2:$N$404,4,0)/100,0)</f>
        <v>8.3499999999999991E-2</v>
      </c>
      <c r="E211" s="11">
        <f>IFERROR(VLOOKUP(B211,'STATUS INVEST FII'!$A$2:$N$404,6,0),0)</f>
        <v>0.84</v>
      </c>
      <c r="F211" s="12">
        <f>IFERROR(VLOOKUP(B211,'STATUS INVEST FII'!$A$2:$N$404,8,0)/100,0)</f>
        <v>2.2000000000000002E-2</v>
      </c>
      <c r="G211" s="13">
        <f>IFERROR(VLOOKUP(B211,'STATUS INVEST FII'!$A$2:$N$404,9,0)/100,0)</f>
        <v>5.28E-2</v>
      </c>
      <c r="H211" s="13">
        <f>IFERROR(VLOOKUP(B211,'STATUS INVEST FII'!$A$2:$N$404,10,0)/100,0)</f>
        <v>-4.4299999999999999E-2</v>
      </c>
      <c r="I211" s="20">
        <f>IFERROR(VLOOKUP(B211,'STATUS INVEST FII'!$A$2:$N$404,11,0),0)</f>
        <v>1024468739.64</v>
      </c>
      <c r="J211" s="45" t="str">
        <f>IFERROR(VLOOKUP(B211,'ATIVOS-GESTÃO'!$A$1:$C$329,2),"-")</f>
        <v>MULTI</v>
      </c>
      <c r="K211" s="45" t="str">
        <f>IFERROR(VLOOKUP(B211,'ATIVOS-GESTÃO'!$A$1:$C$329,3),"-")</f>
        <v>MULTI</v>
      </c>
      <c r="L211" s="20" t="str">
        <f>IFERROR(VLOOKUP(B211,'STATUS INVEST FII'!$A$2:$N$404,13,0),"-")</f>
        <v>Ativa</v>
      </c>
      <c r="M211" s="20" t="str">
        <f>IFERROR(VLOOKUP(B211,'DATA-COM'!A:B,2,FALSE),"-")</f>
        <v xml:space="preserve">primeiro </v>
      </c>
      <c r="N211" s="51">
        <f>IFERROR(VLOOKUP(B211,'STATUS INVEST FII'!$A$2:$N$404,12,0),"-")</f>
        <v>95077</v>
      </c>
      <c r="O211" s="54">
        <f>IFERROR(VLOOKUP(B211,'STATUS INVEST FII'!$A$2:$N$404,7,0),0)</f>
        <v>1333841.68</v>
      </c>
    </row>
    <row r="212" spans="2:15" x14ac:dyDescent="0.25">
      <c r="B212" s="126" t="s">
        <v>469</v>
      </c>
      <c r="C212" s="9">
        <f>IFERROR(VLOOKUP(B212,'STATUS INVEST FII'!$A$2:$N$404,2,0),0)</f>
        <v>102.5</v>
      </c>
      <c r="D212" s="10">
        <f>IFERROR(VLOOKUP(B212,'STATUS INVEST FII'!$A$2:$N$404,4,0)/100,0)</f>
        <v>3.4099999999999998E-2</v>
      </c>
      <c r="E212" s="11">
        <f>IFERROR(VLOOKUP(B212,'STATUS INVEST FII'!$A$2:$N$404,6,0),0)</f>
        <v>1.05</v>
      </c>
      <c r="F212" s="12">
        <f>IFERROR(VLOOKUP(B212,'STATUS INVEST FII'!$A$2:$N$404,8,0)/100,0)</f>
        <v>4.2800000000000005E-2</v>
      </c>
      <c r="G212" s="13">
        <f>IFERROR(VLOOKUP(B212,'STATUS INVEST FII'!$A$2:$N$404,9,0)/100,0)</f>
        <v>0</v>
      </c>
      <c r="H212" s="13">
        <f>IFERROR(VLOOKUP(B212,'STATUS INVEST FII'!$A$2:$N$404,10,0)/100,0)</f>
        <v>0</v>
      </c>
      <c r="I212" s="20">
        <f>IFERROR(VLOOKUP(B212,'STATUS INVEST FII'!$A$2:$N$404,11,0),0)</f>
        <v>702532554.17999995</v>
      </c>
      <c r="J212" s="45" t="str">
        <f>IFERROR(VLOOKUP(B212,'ATIVOS-GESTÃO'!$A$1:$C$329,2),"-")</f>
        <v>MULTI</v>
      </c>
      <c r="K212" s="45" t="str">
        <f>IFERROR(VLOOKUP(B212,'ATIVOS-GESTÃO'!$A$1:$C$329,3),"-")</f>
        <v>MULTI</v>
      </c>
      <c r="L212" s="20" t="str">
        <f>IFERROR(VLOOKUP(B212,'STATUS INVEST FII'!$A$2:$N$404,13,0),"-")</f>
        <v>Ativa</v>
      </c>
      <c r="M212" s="20" t="str">
        <f>IFERROR(VLOOKUP(B212,'DATA-COM'!A:B,2,FALSE),"-")</f>
        <v>-</v>
      </c>
      <c r="N212" s="51">
        <f>IFERROR(VLOOKUP(B212,'STATUS INVEST FII'!$A$2:$N$404,12,0),"-")</f>
        <v>74</v>
      </c>
      <c r="O212" s="54">
        <f>IFERROR(VLOOKUP(B212,'STATUS INVEST FII'!$A$2:$N$404,7,0),0)</f>
        <v>1021324.09</v>
      </c>
    </row>
    <row r="213" spans="2:15" x14ac:dyDescent="0.25">
      <c r="B213" s="126" t="s">
        <v>35</v>
      </c>
      <c r="C213" s="9">
        <f>IFERROR(VLOOKUP(B213,'STATUS INVEST FII'!$A$2:$N$404,2,0),0)</f>
        <v>167.08</v>
      </c>
      <c r="D213" s="10">
        <f>IFERROR(VLOOKUP(B213,'STATUS INVEST FII'!$A$2:$N$404,4,0)/100,0)</f>
        <v>8.3000000000000004E-2</v>
      </c>
      <c r="E213" s="11">
        <f>IFERROR(VLOOKUP(B213,'STATUS INVEST FII'!$A$2:$N$404,6,0),0)</f>
        <v>1.1399999999999999</v>
      </c>
      <c r="F213" s="12">
        <f>IFERROR(VLOOKUP(B213,'STATUS INVEST FII'!$A$2:$N$404,8,0)/100,0)</f>
        <v>8.0700000000000008E-2</v>
      </c>
      <c r="G213" s="13">
        <f>IFERROR(VLOOKUP(B213,'STATUS INVEST FII'!$A$2:$N$404,9,0)/100,0)</f>
        <v>0.14929999999999999</v>
      </c>
      <c r="H213" s="13">
        <f>IFERROR(VLOOKUP(B213,'STATUS INVEST FII'!$A$2:$N$404,10,0)/100,0)</f>
        <v>3.73E-2</v>
      </c>
      <c r="I213" s="20">
        <f>IFERROR(VLOOKUP(B213,'STATUS INVEST FII'!$A$2:$N$404,11,0),0)</f>
        <v>3139602936.75</v>
      </c>
      <c r="J213" s="45" t="str">
        <f>IFERROR(VLOOKUP(B213,'ATIVOS-GESTÃO'!$A$1:$C$329,2),"-")</f>
        <v>MULTI</v>
      </c>
      <c r="K213" s="45" t="str">
        <f>IFERROR(VLOOKUP(B213,'ATIVOS-GESTÃO'!$A$1:$C$329,3),"-")</f>
        <v>MULTI</v>
      </c>
      <c r="L213" s="20" t="str">
        <f>IFERROR(VLOOKUP(B213,'STATUS INVEST FII'!$A$2:$N$404,13,0),"-")</f>
        <v>Ativa</v>
      </c>
      <c r="M213" s="20" t="str">
        <f>IFERROR(VLOOKUP(B213,'DATA-COM'!A:B,2,FALSE),"-")</f>
        <v xml:space="preserve">Último </v>
      </c>
      <c r="N213" s="51">
        <f>IFERROR(VLOOKUP(B213,'STATUS INVEST FII'!$A$2:$N$404,12,0),"-")</f>
        <v>302314</v>
      </c>
      <c r="O213" s="54">
        <f>IFERROR(VLOOKUP(B213,'STATUS INVEST FII'!$A$2:$N$404,7,0),0)</f>
        <v>4889998.59</v>
      </c>
    </row>
    <row r="214" spans="2:15" x14ac:dyDescent="0.25">
      <c r="B214" s="126" t="s">
        <v>93</v>
      </c>
      <c r="C214" s="9">
        <f>IFERROR(VLOOKUP(B214,'STATUS INVEST FII'!$A$2:$N$404,2,0),0)</f>
        <v>92.5</v>
      </c>
      <c r="D214" s="10">
        <f>IFERROR(VLOOKUP(B214,'STATUS INVEST FII'!$A$2:$N$404,4,0)/100,0)</f>
        <v>8.1699999999999995E-2</v>
      </c>
      <c r="E214" s="11">
        <f>IFERROR(VLOOKUP(B214,'STATUS INVEST FII'!$A$2:$N$404,6,0),0)</f>
        <v>0.82</v>
      </c>
      <c r="F214" s="12">
        <f>IFERROR(VLOOKUP(B214,'STATUS INVEST FII'!$A$2:$N$404,8,0)/100,0)</f>
        <v>1.09E-2</v>
      </c>
      <c r="G214" s="13">
        <f>IFERROR(VLOOKUP(B214,'STATUS INVEST FII'!$A$2:$N$404,9,0)/100,0)</f>
        <v>0</v>
      </c>
      <c r="H214" s="13">
        <f>IFERROR(VLOOKUP(B214,'STATUS INVEST FII'!$A$2:$N$404,10,0)/100,0)</f>
        <v>0</v>
      </c>
      <c r="I214" s="20">
        <f>IFERROR(VLOOKUP(B214,'STATUS INVEST FII'!$A$2:$N$404,11,0),0)</f>
        <v>478616998.38999999</v>
      </c>
      <c r="J214" s="45" t="str">
        <f>IFERROR(VLOOKUP(B214,'ATIVOS-GESTÃO'!$A$1:$C$329,2),"-")</f>
        <v>MONO</v>
      </c>
      <c r="K214" s="45" t="str">
        <f>IFERROR(VLOOKUP(B214,'ATIVOS-GESTÃO'!$A$1:$C$329,3),"-")</f>
        <v>MULTI</v>
      </c>
      <c r="L214" s="20" t="str">
        <f>IFERROR(VLOOKUP(B214,'STATUS INVEST FII'!$A$2:$N$404,13,0),"-")</f>
        <v>Ativa</v>
      </c>
      <c r="M214" s="20" t="str">
        <f>IFERROR(VLOOKUP(B214,'DATA-COM'!A:B,2,FALSE),"-")</f>
        <v xml:space="preserve">Último </v>
      </c>
      <c r="N214" s="51">
        <f>IFERROR(VLOOKUP(B214,'STATUS INVEST FII'!$A$2:$N$404,12,0),"-")</f>
        <v>4015</v>
      </c>
      <c r="O214" s="54">
        <f>IFERROR(VLOOKUP(B214,'STATUS INVEST FII'!$A$2:$N$404,7,0),0)</f>
        <v>126995.24</v>
      </c>
    </row>
    <row r="215" spans="2:15" x14ac:dyDescent="0.25">
      <c r="B215" s="126" t="s">
        <v>313</v>
      </c>
      <c r="C215" s="9">
        <f>IFERROR(VLOOKUP(B215,'STATUS INVEST FII'!$A$2:$N$404,2,0),0)</f>
        <v>87.5</v>
      </c>
      <c r="D215" s="10">
        <f>IFERROR(VLOOKUP(B215,'STATUS INVEST FII'!$A$2:$N$404,4,0)/100,0)</f>
        <v>7.8700000000000006E-2</v>
      </c>
      <c r="E215" s="11">
        <f>IFERROR(VLOOKUP(B215,'STATUS INVEST FII'!$A$2:$N$404,6,0),0)</f>
        <v>0.8</v>
      </c>
      <c r="F215" s="12">
        <f>IFERROR(VLOOKUP(B215,'STATUS INVEST FII'!$A$2:$N$404,8,0)/100,0)</f>
        <v>4.4000000000000004E-2</v>
      </c>
      <c r="G215" s="13">
        <f>IFERROR(VLOOKUP(B215,'STATUS INVEST FII'!$A$2:$N$404,9,0)/100,0)</f>
        <v>0</v>
      </c>
      <c r="H215" s="13">
        <f>IFERROR(VLOOKUP(B215,'STATUS INVEST FII'!$A$2:$N$404,10,0)/100,0)</f>
        <v>0</v>
      </c>
      <c r="I215" s="20">
        <f>IFERROR(VLOOKUP(B215,'STATUS INVEST FII'!$A$2:$N$404,11,0),0)</f>
        <v>1405986303.1199999</v>
      </c>
      <c r="J215" s="45" t="str">
        <f>IFERROR(VLOOKUP(B215,'ATIVOS-GESTÃO'!$A$1:$C$329,2),"-")</f>
        <v>MULTI</v>
      </c>
      <c r="K215" s="45" t="str">
        <f>IFERROR(VLOOKUP(B215,'ATIVOS-GESTÃO'!$A$1:$C$329,3),"-")</f>
        <v>MULTI</v>
      </c>
      <c r="L215" s="20" t="str">
        <f>IFERROR(VLOOKUP(B215,'STATUS INVEST FII'!$A$2:$N$404,13,0),"-")</f>
        <v>Ativa</v>
      </c>
      <c r="M215" s="20" t="str">
        <f>IFERROR(VLOOKUP(B215,'DATA-COM'!A:B,2,FALSE),"-")</f>
        <v xml:space="preserve">Último </v>
      </c>
      <c r="N215" s="51">
        <f>IFERROR(VLOOKUP(B215,'STATUS INVEST FII'!$A$2:$N$404,12,0),"-")</f>
        <v>18251</v>
      </c>
      <c r="O215" s="54">
        <f>IFERROR(VLOOKUP(B215,'STATUS INVEST FII'!$A$2:$N$404,7,0),0)</f>
        <v>805577.38</v>
      </c>
    </row>
    <row r="216" spans="2:15" x14ac:dyDescent="0.25">
      <c r="B216" s="126" t="s">
        <v>94</v>
      </c>
      <c r="C216" s="9">
        <f>IFERROR(VLOOKUP(B216,'STATUS INVEST FII'!$A$2:$N$404,2,0),0)</f>
        <v>80.5</v>
      </c>
      <c r="D216" s="10">
        <f>IFERROR(VLOOKUP(B216,'STATUS INVEST FII'!$A$2:$N$404,4,0)/100,0)</f>
        <v>8.2500000000000004E-2</v>
      </c>
      <c r="E216" s="11">
        <f>IFERROR(VLOOKUP(B216,'STATUS INVEST FII'!$A$2:$N$404,6,0),0)</f>
        <v>0.79</v>
      </c>
      <c r="F216" s="12">
        <f>IFERROR(VLOOKUP(B216,'STATUS INVEST FII'!$A$2:$N$404,8,0)/100,0)</f>
        <v>7.4000000000000003E-3</v>
      </c>
      <c r="G216" s="13">
        <f>IFERROR(VLOOKUP(B216,'STATUS INVEST FII'!$A$2:$N$404,9,0)/100,0)</f>
        <v>0</v>
      </c>
      <c r="H216" s="13">
        <f>IFERROR(VLOOKUP(B216,'STATUS INVEST FII'!$A$2:$N$404,10,0)/100,0)</f>
        <v>0</v>
      </c>
      <c r="I216" s="20">
        <f>IFERROR(VLOOKUP(B216,'STATUS INVEST FII'!$A$2:$N$404,11,0),0)</f>
        <v>278887088.13</v>
      </c>
      <c r="J216" s="45" t="str">
        <f>IFERROR(VLOOKUP(B216,'ATIVOS-GESTÃO'!$A$1:$C$329,2),"-")</f>
        <v>MULTI</v>
      </c>
      <c r="K216" s="45" t="str">
        <f>IFERROR(VLOOKUP(B216,'ATIVOS-GESTÃO'!$A$1:$C$329,3),"-")</f>
        <v>MULTI</v>
      </c>
      <c r="L216" s="20" t="str">
        <f>IFERROR(VLOOKUP(B216,'STATUS INVEST FII'!$A$2:$N$404,13,0),"-")</f>
        <v>Ativa</v>
      </c>
      <c r="M216" s="20" t="str">
        <f>IFERROR(VLOOKUP(B216,'DATA-COM'!A:B,2,FALSE),"-")</f>
        <v xml:space="preserve">Último </v>
      </c>
      <c r="N216" s="51">
        <f>IFERROR(VLOOKUP(B216,'STATUS INVEST FII'!$A$2:$N$404,12,0),"-")</f>
        <v>9904</v>
      </c>
      <c r="O216" s="54">
        <f>IFERROR(VLOOKUP(B216,'STATUS INVEST FII'!$A$2:$N$404,7,0),0)</f>
        <v>82254.179999999993</v>
      </c>
    </row>
    <row r="217" spans="2:15" x14ac:dyDescent="0.25">
      <c r="B217" s="126" t="s">
        <v>36</v>
      </c>
      <c r="C217" s="9">
        <f>IFERROR(VLOOKUP(B217,'STATUS INVEST FII'!$A$2:$N$404,2,0),0)</f>
        <v>101.23</v>
      </c>
      <c r="D217" s="10">
        <f>IFERROR(VLOOKUP(B217,'STATUS INVEST FII'!$A$2:$N$404,4,0)/100,0)</f>
        <v>7.1900000000000006E-2</v>
      </c>
      <c r="E217" s="11">
        <f>IFERROR(VLOOKUP(B217,'STATUS INVEST FII'!$A$2:$N$404,6,0),0)</f>
        <v>0.89</v>
      </c>
      <c r="F217" s="12">
        <f>IFERROR(VLOOKUP(B217,'STATUS INVEST FII'!$A$2:$N$404,8,0)/100,0)</f>
        <v>4.1500000000000002E-2</v>
      </c>
      <c r="G217" s="13">
        <f>IFERROR(VLOOKUP(B217,'STATUS INVEST FII'!$A$2:$N$404,9,0)/100,0)</f>
        <v>-1.24E-2</v>
      </c>
      <c r="H217" s="13">
        <f>IFERROR(VLOOKUP(B217,'STATUS INVEST FII'!$A$2:$N$404,10,0)/100,0)</f>
        <v>-1.6299999999999999E-2</v>
      </c>
      <c r="I217" s="20">
        <f>IFERROR(VLOOKUP(B217,'STATUS INVEST FII'!$A$2:$N$404,11,0),0)</f>
        <v>1351511613.6400001</v>
      </c>
      <c r="J217" s="45" t="str">
        <f>IFERROR(VLOOKUP(B217,'ATIVOS-GESTÃO'!$A$1:$C$329,2),"-")</f>
        <v>MULTI</v>
      </c>
      <c r="K217" s="45" t="str">
        <f>IFERROR(VLOOKUP(B217,'ATIVOS-GESTÃO'!$A$1:$C$329,3),"-")</f>
        <v>MULTI</v>
      </c>
      <c r="L217" s="20" t="str">
        <f>IFERROR(VLOOKUP(B217,'STATUS INVEST FII'!$A$2:$N$404,13,0),"-")</f>
        <v>Ativa</v>
      </c>
      <c r="M217" s="20" t="str">
        <f>IFERROR(VLOOKUP(B217,'DATA-COM'!A:B,2,FALSE),"-")</f>
        <v xml:space="preserve">Último </v>
      </c>
      <c r="N217" s="51">
        <f>IFERROR(VLOOKUP(B217,'STATUS INVEST FII'!$A$2:$N$404,12,0),"-")</f>
        <v>43240</v>
      </c>
      <c r="O217" s="54">
        <f>IFERROR(VLOOKUP(B217,'STATUS INVEST FII'!$A$2:$N$404,7,0),0)</f>
        <v>2353857.44</v>
      </c>
    </row>
    <row r="218" spans="2:15" x14ac:dyDescent="0.25">
      <c r="B218" s="126" t="s">
        <v>342</v>
      </c>
      <c r="C218" s="9">
        <f>IFERROR(VLOOKUP(B218,'STATUS INVEST FII'!$A$2:$N$404,2,0),0)</f>
        <v>51.59</v>
      </c>
      <c r="D218" s="10">
        <f>IFERROR(VLOOKUP(B218,'STATUS INVEST FII'!$A$2:$N$404,4,0)/100,0)</f>
        <v>8.0600000000000005E-2</v>
      </c>
      <c r="E218" s="11">
        <f>IFERROR(VLOOKUP(B218,'STATUS INVEST FII'!$A$2:$N$404,6,0),0)</f>
        <v>0.54</v>
      </c>
      <c r="F218" s="12">
        <f>IFERROR(VLOOKUP(B218,'STATUS INVEST FII'!$A$2:$N$404,8,0)/100,0)</f>
        <v>3.4000000000000002E-3</v>
      </c>
      <c r="G218" s="13">
        <f>IFERROR(VLOOKUP(B218,'STATUS INVEST FII'!$A$2:$N$404,9,0)/100,0)</f>
        <v>0</v>
      </c>
      <c r="H218" s="13">
        <f>IFERROR(VLOOKUP(B218,'STATUS INVEST FII'!$A$2:$N$404,10,0)/100,0)</f>
        <v>0</v>
      </c>
      <c r="I218" s="20">
        <f>IFERROR(VLOOKUP(B218,'STATUS INVEST FII'!$A$2:$N$404,11,0),0)</f>
        <v>111873871.51000001</v>
      </c>
      <c r="J218" s="45" t="str">
        <f>IFERROR(VLOOKUP(B218,'ATIVOS-GESTÃO'!$A$1:$C$329,2),"-")</f>
        <v>-</v>
      </c>
      <c r="K218" s="45" t="str">
        <f>IFERROR(VLOOKUP(B218,'ATIVOS-GESTÃO'!$A$1:$C$329,3),"-")</f>
        <v>-</v>
      </c>
      <c r="L218" s="20" t="str">
        <f>IFERROR(VLOOKUP(B218,'STATUS INVEST FII'!$A$2:$N$404,13,0),"-")</f>
        <v>Ativa</v>
      </c>
      <c r="M218" s="20" t="str">
        <f>IFERROR(VLOOKUP(B218,'DATA-COM'!A:B,2,FALSE),"-")</f>
        <v xml:space="preserve">Quinto </v>
      </c>
      <c r="N218" s="51">
        <f>IFERROR(VLOOKUP(B218,'STATUS INVEST FII'!$A$2:$N$404,12,0),"-")</f>
        <v>1188</v>
      </c>
      <c r="O218" s="54">
        <f>IFERROR(VLOOKUP(B218,'STATUS INVEST FII'!$A$2:$N$404,7,0),0)</f>
        <v>182184.41</v>
      </c>
    </row>
    <row r="219" spans="2:15" x14ac:dyDescent="0.25">
      <c r="B219" s="126" t="s">
        <v>164</v>
      </c>
      <c r="C219" s="9">
        <f>IFERROR(VLOOKUP(B219,'STATUS INVEST FII'!$A$2:$N$404,2,0),0)</f>
        <v>100.04</v>
      </c>
      <c r="D219" s="10">
        <f>IFERROR(VLOOKUP(B219,'STATUS INVEST FII'!$A$2:$N$404,4,0)/100,0)</f>
        <v>0.10310000000000001</v>
      </c>
      <c r="E219" s="11">
        <f>IFERROR(VLOOKUP(B219,'STATUS INVEST FII'!$A$2:$N$404,6,0),0)</f>
        <v>0.88</v>
      </c>
      <c r="F219" s="12">
        <f>IFERROR(VLOOKUP(B219,'STATUS INVEST FII'!$A$2:$N$404,8,0)/100,0)</f>
        <v>3.6699999999999997E-2</v>
      </c>
      <c r="G219" s="13">
        <f>IFERROR(VLOOKUP(B219,'STATUS INVEST FII'!$A$2:$N$404,9,0)/100,0)</f>
        <v>0</v>
      </c>
      <c r="H219" s="13">
        <f>IFERROR(VLOOKUP(B219,'STATUS INVEST FII'!$A$2:$N$404,10,0)/100,0)</f>
        <v>0</v>
      </c>
      <c r="I219" s="20">
        <f>IFERROR(VLOOKUP(B219,'STATUS INVEST FII'!$A$2:$N$404,11,0),0)</f>
        <v>235407993.16</v>
      </c>
      <c r="J219" s="45" t="str">
        <f>IFERROR(VLOOKUP(B219,'ATIVOS-GESTÃO'!$A$1:$C$329,2),"-")</f>
        <v>MONO</v>
      </c>
      <c r="K219" s="45" t="str">
        <f>IFERROR(VLOOKUP(B219,'ATIVOS-GESTÃO'!$A$1:$C$329,3),"-")</f>
        <v>MULTI</v>
      </c>
      <c r="L219" s="20" t="str">
        <f>IFERROR(VLOOKUP(B219,'STATUS INVEST FII'!$A$2:$N$404,13,0),"-")</f>
        <v>Ativa</v>
      </c>
      <c r="M219" s="20" t="str">
        <f>IFERROR(VLOOKUP(B219,'DATA-COM'!A:B,2,FALSE),"-")</f>
        <v xml:space="preserve">Último </v>
      </c>
      <c r="N219" s="51">
        <f>IFERROR(VLOOKUP(B219,'STATUS INVEST FII'!$A$2:$N$404,12,0),"-")</f>
        <v>3264</v>
      </c>
      <c r="O219" s="54">
        <f>IFERROR(VLOOKUP(B219,'STATUS INVEST FII'!$A$2:$N$404,7,0),0)</f>
        <v>381809.41</v>
      </c>
    </row>
    <row r="220" spans="2:15" x14ac:dyDescent="0.25">
      <c r="B220" s="126" t="s">
        <v>103</v>
      </c>
      <c r="C220" s="9">
        <f>IFERROR(VLOOKUP(B220,'STATUS INVEST FII'!$A$2:$N$404,2,0),0)</f>
        <v>46.79</v>
      </c>
      <c r="D220" s="10">
        <f>IFERROR(VLOOKUP(B220,'STATUS INVEST FII'!$A$2:$N$404,4,0)/100,0)</f>
        <v>0.1207</v>
      </c>
      <c r="E220" s="11">
        <f>IFERROR(VLOOKUP(B220,'STATUS INVEST FII'!$A$2:$N$404,6,0),0)</f>
        <v>0.64</v>
      </c>
      <c r="F220" s="12">
        <f>IFERROR(VLOOKUP(B220,'STATUS INVEST FII'!$A$2:$N$404,8,0)/100,0)</f>
        <v>2.3599999999999999E-2</v>
      </c>
      <c r="G220" s="13">
        <f>IFERROR(VLOOKUP(B220,'STATUS INVEST FII'!$A$2:$N$404,9,0)/100,0)</f>
        <v>0</v>
      </c>
      <c r="H220" s="13">
        <f>IFERROR(VLOOKUP(B220,'STATUS INVEST FII'!$A$2:$N$404,10,0)/100,0)</f>
        <v>0</v>
      </c>
      <c r="I220" s="20">
        <f>IFERROR(VLOOKUP(B220,'STATUS INVEST FII'!$A$2:$N$404,11,0),0)</f>
        <v>183157219.55000001</v>
      </c>
      <c r="J220" s="45" t="str">
        <f>IFERROR(VLOOKUP(B220,'ATIVOS-GESTÃO'!$A$1:$C$329,2),"-")</f>
        <v>MULTI</v>
      </c>
      <c r="K220" s="45" t="str">
        <f>IFERROR(VLOOKUP(B220,'ATIVOS-GESTÃO'!$A$1:$C$329,3),"-")</f>
        <v>MONO</v>
      </c>
      <c r="L220" s="20" t="str">
        <f>IFERROR(VLOOKUP(B220,'STATUS INVEST FII'!$A$2:$N$404,13,0),"-")</f>
        <v>Ativa</v>
      </c>
      <c r="M220" s="20" t="str">
        <f>IFERROR(VLOOKUP(B220,'DATA-COM'!A:B,2,FALSE),"-")</f>
        <v xml:space="preserve">Décimo </v>
      </c>
      <c r="N220" s="51">
        <f>IFERROR(VLOOKUP(B220,'STATUS INVEST FII'!$A$2:$N$404,12,0),"-")</f>
        <v>6690</v>
      </c>
      <c r="O220" s="54">
        <f>IFERROR(VLOOKUP(B220,'STATUS INVEST FII'!$A$2:$N$404,7,0),0)</f>
        <v>188508.88</v>
      </c>
    </row>
    <row r="221" spans="2:15" x14ac:dyDescent="0.25">
      <c r="B221" s="126" t="s">
        <v>169</v>
      </c>
      <c r="C221" s="9">
        <f>IFERROR(VLOOKUP(B221,'STATUS INVEST FII'!$A$2:$N$404,2,0),0)</f>
        <v>76.92</v>
      </c>
      <c r="D221" s="10">
        <f>IFERROR(VLOOKUP(B221,'STATUS INVEST FII'!$A$2:$N$404,4,0)/100,0)</f>
        <v>8.8800000000000004E-2</v>
      </c>
      <c r="E221" s="11">
        <f>IFERROR(VLOOKUP(B221,'STATUS INVEST FII'!$A$2:$N$404,6,0),0)</f>
        <v>0.79</v>
      </c>
      <c r="F221" s="12">
        <f>IFERROR(VLOOKUP(B221,'STATUS INVEST FII'!$A$2:$N$404,8,0)/100,0)</f>
        <v>1.06E-2</v>
      </c>
      <c r="G221" s="13">
        <f>IFERROR(VLOOKUP(B221,'STATUS INVEST FII'!$A$2:$N$404,9,0)/100,0)</f>
        <v>0</v>
      </c>
      <c r="H221" s="13">
        <f>IFERROR(VLOOKUP(B221,'STATUS INVEST FII'!$A$2:$N$404,10,0)/100,0)</f>
        <v>0</v>
      </c>
      <c r="I221" s="20">
        <f>IFERROR(VLOOKUP(B221,'STATUS INVEST FII'!$A$2:$N$404,11,0),0)</f>
        <v>489325145.50999999</v>
      </c>
      <c r="J221" s="45" t="str">
        <f>IFERROR(VLOOKUP(B221,'ATIVOS-GESTÃO'!$A$1:$C$329,2),"-")</f>
        <v>MULTI</v>
      </c>
      <c r="K221" s="45" t="str">
        <f>IFERROR(VLOOKUP(B221,'ATIVOS-GESTÃO'!$A$1:$C$329,3),"-")</f>
        <v>MULTI</v>
      </c>
      <c r="L221" s="20" t="str">
        <f>IFERROR(VLOOKUP(B221,'STATUS INVEST FII'!$A$2:$N$404,13,0),"-")</f>
        <v>Ativa</v>
      </c>
      <c r="M221" s="20" t="str">
        <f>IFERROR(VLOOKUP(B221,'DATA-COM'!A:B,2,FALSE),"-")</f>
        <v xml:space="preserve">Último </v>
      </c>
      <c r="N221" s="51">
        <f>IFERROR(VLOOKUP(B221,'STATUS INVEST FII'!$A$2:$N$404,12,0),"-")</f>
        <v>15454</v>
      </c>
      <c r="O221" s="54">
        <f>IFERROR(VLOOKUP(B221,'STATUS INVEST FII'!$A$2:$N$404,7,0),0)</f>
        <v>1146742.74</v>
      </c>
    </row>
    <row r="222" spans="2:15" x14ac:dyDescent="0.25">
      <c r="B222" s="126" t="s">
        <v>218</v>
      </c>
      <c r="C222" s="9">
        <f>IFERROR(VLOOKUP(B222,'STATUS INVEST FII'!$A$2:$N$404,2,0),0)</f>
        <v>926.98</v>
      </c>
      <c r="D222" s="10">
        <f>IFERROR(VLOOKUP(B222,'STATUS INVEST FII'!$A$2:$N$404,4,0)/100,0)</f>
        <v>6.7599999999999993E-2</v>
      </c>
      <c r="E222" s="11">
        <f>IFERROR(VLOOKUP(B222,'STATUS INVEST FII'!$A$2:$N$404,6,0),0)</f>
        <v>0.59</v>
      </c>
      <c r="F222" s="12">
        <f>IFERROR(VLOOKUP(B222,'STATUS INVEST FII'!$A$2:$N$404,8,0)/100,0)</f>
        <v>3.9399999999999998E-2</v>
      </c>
      <c r="G222" s="13">
        <f>IFERROR(VLOOKUP(B222,'STATUS INVEST FII'!$A$2:$N$404,9,0)/100,0)</f>
        <v>0</v>
      </c>
      <c r="H222" s="13">
        <f>IFERROR(VLOOKUP(B222,'STATUS INVEST FII'!$A$2:$N$404,10,0)/100,0)</f>
        <v>0</v>
      </c>
      <c r="I222" s="20">
        <f>IFERROR(VLOOKUP(B222,'STATUS INVEST FII'!$A$2:$N$404,11,0),0)</f>
        <v>4937917235.8299999</v>
      </c>
      <c r="J222" s="45" t="str">
        <f>IFERROR(VLOOKUP(B222,'ATIVOS-GESTÃO'!$A$1:$C$329,2),"-")</f>
        <v>MULTI</v>
      </c>
      <c r="K222" s="45" t="str">
        <f>IFERROR(VLOOKUP(B222,'ATIVOS-GESTÃO'!$A$1:$C$329,3),"-")</f>
        <v>MULTI</v>
      </c>
      <c r="L222" s="20" t="str">
        <f>IFERROR(VLOOKUP(B222,'STATUS INVEST FII'!$A$2:$N$404,13,0),"-")</f>
        <v>Ativa</v>
      </c>
      <c r="M222" s="20" t="str">
        <f>IFERROR(VLOOKUP(B222,'DATA-COM'!A:B,2,FALSE),"-")</f>
        <v xml:space="preserve">Décimo Quinto </v>
      </c>
      <c r="N222" s="51">
        <f>IFERROR(VLOOKUP(B222,'STATUS INVEST FII'!$A$2:$N$404,12,0),"-")</f>
        <v>2</v>
      </c>
      <c r="O222" s="54">
        <f>IFERROR(VLOOKUP(B222,'STATUS INVEST FII'!$A$2:$N$404,7,0),0)</f>
        <v>0</v>
      </c>
    </row>
    <row r="223" spans="2:15" x14ac:dyDescent="0.25">
      <c r="B223" s="126" t="s">
        <v>370</v>
      </c>
      <c r="C223" s="9">
        <f>IFERROR(VLOOKUP(B223,'STATUS INVEST FII'!$A$2:$N$404,2,0),0)</f>
        <v>74.260000000000005</v>
      </c>
      <c r="D223" s="10">
        <f>IFERROR(VLOOKUP(B223,'STATUS INVEST FII'!$A$2:$N$404,4,0)/100,0)</f>
        <v>9.8699999999999996E-2</v>
      </c>
      <c r="E223" s="11">
        <f>IFERROR(VLOOKUP(B223,'STATUS INVEST FII'!$A$2:$N$404,6,0),0)</f>
        <v>0.73</v>
      </c>
      <c r="F223" s="12">
        <f>IFERROR(VLOOKUP(B223,'STATUS INVEST FII'!$A$2:$N$404,8,0)/100,0)</f>
        <v>0.04</v>
      </c>
      <c r="G223" s="13">
        <f>IFERROR(VLOOKUP(B223,'STATUS INVEST FII'!$A$2:$N$404,9,0)/100,0)</f>
        <v>0</v>
      </c>
      <c r="H223" s="13">
        <f>IFERROR(VLOOKUP(B223,'STATUS INVEST FII'!$A$2:$N$404,10,0)/100,0)</f>
        <v>0</v>
      </c>
      <c r="I223" s="20">
        <f>IFERROR(VLOOKUP(B223,'STATUS INVEST FII'!$A$2:$N$404,11,0),0)</f>
        <v>75206560.900000006</v>
      </c>
      <c r="J223" s="45" t="str">
        <f>IFERROR(VLOOKUP(B223,'ATIVOS-GESTÃO'!$A$1:$C$329,2),"-")</f>
        <v>MONO</v>
      </c>
      <c r="K223" s="45" t="str">
        <f>IFERROR(VLOOKUP(B223,'ATIVOS-GESTÃO'!$A$1:$C$329,3),"-")</f>
        <v>MULTI</v>
      </c>
      <c r="L223" s="20" t="str">
        <f>IFERROR(VLOOKUP(B223,'STATUS INVEST FII'!$A$2:$N$404,13,0),"-")</f>
        <v>Ativa</v>
      </c>
      <c r="M223" s="20" t="str">
        <f>IFERROR(VLOOKUP(B223,'DATA-COM'!A:B,2,FALSE),"-")</f>
        <v xml:space="preserve">Último </v>
      </c>
      <c r="N223" s="51">
        <f>IFERROR(VLOOKUP(B223,'STATUS INVEST FII'!$A$2:$N$404,12,0),"-")</f>
        <v>2079</v>
      </c>
      <c r="O223" s="54">
        <f>IFERROR(VLOOKUP(B223,'STATUS INVEST FII'!$A$2:$N$404,7,0),0)</f>
        <v>55003.47</v>
      </c>
    </row>
    <row r="224" spans="2:15" x14ac:dyDescent="0.25">
      <c r="B224" s="126" t="s">
        <v>95</v>
      </c>
      <c r="C224" s="9">
        <f>IFERROR(VLOOKUP(B224,'STATUS INVEST FII'!$A$2:$N$404,2,0),0)</f>
        <v>56.16</v>
      </c>
      <c r="D224" s="10">
        <f>IFERROR(VLOOKUP(B224,'STATUS INVEST FII'!$A$2:$N$404,4,0)/100,0)</f>
        <v>7.8799999999999995E-2</v>
      </c>
      <c r="E224" s="11">
        <f>IFERROR(VLOOKUP(B224,'STATUS INVEST FII'!$A$2:$N$404,6,0),0)</f>
        <v>0.99</v>
      </c>
      <c r="F224" s="12">
        <f>IFERROR(VLOOKUP(B224,'STATUS INVEST FII'!$A$2:$N$404,8,0)/100,0)</f>
        <v>4.0000000000000001E-3</v>
      </c>
      <c r="G224" s="13">
        <f>IFERROR(VLOOKUP(B224,'STATUS INVEST FII'!$A$2:$N$404,9,0)/100,0)</f>
        <v>0</v>
      </c>
      <c r="H224" s="13">
        <f>IFERROR(VLOOKUP(B224,'STATUS INVEST FII'!$A$2:$N$404,10,0)/100,0)</f>
        <v>0</v>
      </c>
      <c r="I224" s="20">
        <f>IFERROR(VLOOKUP(B224,'STATUS INVEST FII'!$A$2:$N$404,11,0),0)</f>
        <v>795612068.73000002</v>
      </c>
      <c r="J224" s="45" t="str">
        <f>IFERROR(VLOOKUP(B224,'ATIVOS-GESTÃO'!$A$1:$C$329,2),"-")</f>
        <v>MONO</v>
      </c>
      <c r="K224" s="45" t="str">
        <f>IFERROR(VLOOKUP(B224,'ATIVOS-GESTÃO'!$A$1:$C$329,3),"-")</f>
        <v>MONO</v>
      </c>
      <c r="L224" s="20" t="str">
        <f>IFERROR(VLOOKUP(B224,'STATUS INVEST FII'!$A$2:$N$404,13,0),"-")</f>
        <v>Ativa</v>
      </c>
      <c r="M224" s="20" t="str">
        <f>IFERROR(VLOOKUP(B224,'DATA-COM'!A:B,2,FALSE),"-")</f>
        <v xml:space="preserve">Último </v>
      </c>
      <c r="N224" s="51">
        <f>IFERROR(VLOOKUP(B224,'STATUS INVEST FII'!$A$2:$N$404,12,0),"-")</f>
        <v>436</v>
      </c>
      <c r="O224" s="54">
        <f>IFERROR(VLOOKUP(B224,'STATUS INVEST FII'!$A$2:$N$404,7,0),0)</f>
        <v>24627</v>
      </c>
    </row>
    <row r="225" spans="2:15" x14ac:dyDescent="0.25">
      <c r="B225" s="126" t="s">
        <v>352</v>
      </c>
      <c r="C225" s="9">
        <f>IFERROR(VLOOKUP(B225,'STATUS INVEST FII'!$A$2:$N$404,2,0),0)</f>
        <v>87.13</v>
      </c>
      <c r="D225" s="10">
        <f>IFERROR(VLOOKUP(B225,'STATUS INVEST FII'!$A$2:$N$404,4,0)/100,0)</f>
        <v>8.3599999999999994E-2</v>
      </c>
      <c r="E225" s="11">
        <f>IFERROR(VLOOKUP(B225,'STATUS INVEST FII'!$A$2:$N$404,6,0),0)</f>
        <v>0.85</v>
      </c>
      <c r="F225" s="12">
        <f>IFERROR(VLOOKUP(B225,'STATUS INVEST FII'!$A$2:$N$404,8,0)/100,0)</f>
        <v>1.3600000000000001E-2</v>
      </c>
      <c r="G225" s="13">
        <f>IFERROR(VLOOKUP(B225,'STATUS INVEST FII'!$A$2:$N$404,9,0)/100,0)</f>
        <v>0</v>
      </c>
      <c r="H225" s="13">
        <f>IFERROR(VLOOKUP(B225,'STATUS INVEST FII'!$A$2:$N$404,10,0)/100,0)</f>
        <v>0</v>
      </c>
      <c r="I225" s="20">
        <f>IFERROR(VLOOKUP(B225,'STATUS INVEST FII'!$A$2:$N$404,11,0),0)</f>
        <v>65767433.359999999</v>
      </c>
      <c r="J225" s="45" t="str">
        <f>IFERROR(VLOOKUP(B225,'ATIVOS-GESTÃO'!$A$1:$C$329,2),"-")</f>
        <v>-</v>
      </c>
      <c r="K225" s="45" t="str">
        <f>IFERROR(VLOOKUP(B225,'ATIVOS-GESTÃO'!$A$1:$C$329,3),"-")</f>
        <v>-</v>
      </c>
      <c r="L225" s="20" t="str">
        <f>IFERROR(VLOOKUP(B225,'STATUS INVEST FII'!$A$2:$N$404,13,0),"-")</f>
        <v>Ativa</v>
      </c>
      <c r="M225" s="20" t="str">
        <f>IFERROR(VLOOKUP(B225,'DATA-COM'!A:B,2,FALSE),"-")</f>
        <v xml:space="preserve">primeiro </v>
      </c>
      <c r="N225" s="51">
        <f>IFERROR(VLOOKUP(B225,'STATUS INVEST FII'!$A$2:$N$404,12,0),"-")</f>
        <v>124</v>
      </c>
      <c r="O225" s="54">
        <f>IFERROR(VLOOKUP(B225,'STATUS INVEST FII'!$A$2:$N$404,7,0),0)</f>
        <v>538733.30000000005</v>
      </c>
    </row>
    <row r="226" spans="2:15" x14ac:dyDescent="0.25">
      <c r="B226" s="126" t="s">
        <v>96</v>
      </c>
      <c r="C226" s="9">
        <f>IFERROR(VLOOKUP(B226,'STATUS INVEST FII'!$A$2:$N$404,2,0),0)</f>
        <v>83.64</v>
      </c>
      <c r="D226" s="10">
        <f>IFERROR(VLOOKUP(B226,'STATUS INVEST FII'!$A$2:$N$404,4,0)/100,0)</f>
        <v>0.10060000000000001</v>
      </c>
      <c r="E226" s="11">
        <f>IFERROR(VLOOKUP(B226,'STATUS INVEST FII'!$A$2:$N$404,6,0),0)</f>
        <v>0.78</v>
      </c>
      <c r="F226" s="12">
        <f>IFERROR(VLOOKUP(B226,'STATUS INVEST FII'!$A$2:$N$404,8,0)/100,0)</f>
        <v>3.8699999999999998E-2</v>
      </c>
      <c r="G226" s="13">
        <f>IFERROR(VLOOKUP(B226,'STATUS INVEST FII'!$A$2:$N$404,9,0)/100,0)</f>
        <v>0</v>
      </c>
      <c r="H226" s="13">
        <f>IFERROR(VLOOKUP(B226,'STATUS INVEST FII'!$A$2:$N$404,10,0)/100,0)</f>
        <v>0</v>
      </c>
      <c r="I226" s="20">
        <f>IFERROR(VLOOKUP(B226,'STATUS INVEST FII'!$A$2:$N$404,11,0),0)</f>
        <v>718503950.55999994</v>
      </c>
      <c r="J226" s="45" t="str">
        <f>IFERROR(VLOOKUP(B226,'ATIVOS-GESTÃO'!$A$1:$C$329,2),"-")</f>
        <v>MULTI</v>
      </c>
      <c r="K226" s="45" t="str">
        <f>IFERROR(VLOOKUP(B226,'ATIVOS-GESTÃO'!$A$1:$C$329,3),"-")</f>
        <v>MULTI</v>
      </c>
      <c r="L226" s="20" t="str">
        <f>IFERROR(VLOOKUP(B226,'STATUS INVEST FII'!$A$2:$N$404,13,0),"-")</f>
        <v>Ativa</v>
      </c>
      <c r="M226" s="20" t="str">
        <f>IFERROR(VLOOKUP(B226,'DATA-COM'!A:B,2,FALSE),"-")</f>
        <v xml:space="preserve">Quinto </v>
      </c>
      <c r="N226" s="51">
        <f>IFERROR(VLOOKUP(B226,'STATUS INVEST FII'!$A$2:$N$404,12,0),"-")</f>
        <v>7787</v>
      </c>
      <c r="O226" s="54">
        <f>IFERROR(VLOOKUP(B226,'STATUS INVEST FII'!$A$2:$N$404,7,0),0)</f>
        <v>1039725.62</v>
      </c>
    </row>
    <row r="227" spans="2:15" x14ac:dyDescent="0.25">
      <c r="B227" s="126" t="s">
        <v>304</v>
      </c>
      <c r="C227" s="9">
        <f>IFERROR(VLOOKUP(B227,'STATUS INVEST FII'!$A$2:$N$404,2,0),0)</f>
        <v>79.510000000000005</v>
      </c>
      <c r="D227" s="10">
        <f>IFERROR(VLOOKUP(B227,'STATUS INVEST FII'!$A$2:$N$404,4,0)/100,0)</f>
        <v>0.115</v>
      </c>
      <c r="E227" s="11">
        <f>IFERROR(VLOOKUP(B227,'STATUS INVEST FII'!$A$2:$N$404,6,0),0)</f>
        <v>0.65</v>
      </c>
      <c r="F227" s="12">
        <f>IFERROR(VLOOKUP(B227,'STATUS INVEST FII'!$A$2:$N$404,8,0)/100,0)</f>
        <v>1.24E-2</v>
      </c>
      <c r="G227" s="13">
        <f>IFERROR(VLOOKUP(B227,'STATUS INVEST FII'!$A$2:$N$404,9,0)/100,0)</f>
        <v>0</v>
      </c>
      <c r="H227" s="13">
        <f>IFERROR(VLOOKUP(B227,'STATUS INVEST FII'!$A$2:$N$404,10,0)/100,0)</f>
        <v>0</v>
      </c>
      <c r="I227" s="20">
        <f>IFERROR(VLOOKUP(B227,'STATUS INVEST FII'!$A$2:$N$404,11,0),0)</f>
        <v>162368820.58000001</v>
      </c>
      <c r="J227" s="45" t="str">
        <f>IFERROR(VLOOKUP(B227,'ATIVOS-GESTÃO'!$A$1:$C$329,2),"-")</f>
        <v>MULTI</v>
      </c>
      <c r="K227" s="45" t="str">
        <f>IFERROR(VLOOKUP(B227,'ATIVOS-GESTÃO'!$A$1:$C$329,3),"-")</f>
        <v>MULTI</v>
      </c>
      <c r="L227" s="20" t="str">
        <f>IFERROR(VLOOKUP(B227,'STATUS INVEST FII'!$A$2:$N$404,13,0),"-")</f>
        <v>Ativa</v>
      </c>
      <c r="M227" s="20" t="str">
        <f>IFERROR(VLOOKUP(B227,'DATA-COM'!A:B,2,FALSE),"-")</f>
        <v xml:space="preserve">Quinto </v>
      </c>
      <c r="N227" s="51">
        <f>IFERROR(VLOOKUP(B227,'STATUS INVEST FII'!$A$2:$N$404,12,0),"-")</f>
        <v>4888</v>
      </c>
      <c r="O227" s="54">
        <f>IFERROR(VLOOKUP(B227,'STATUS INVEST FII'!$A$2:$N$404,7,0),0)</f>
        <v>201608.85</v>
      </c>
    </row>
    <row r="228" spans="2:15" x14ac:dyDescent="0.25">
      <c r="B228" s="126" t="s">
        <v>344</v>
      </c>
      <c r="C228" s="9">
        <f>IFERROR(VLOOKUP(B228,'STATUS INVEST FII'!$A$2:$N$404,2,0),0)</f>
        <v>0</v>
      </c>
      <c r="D228" s="10">
        <f>IFERROR(VLOOKUP(B228,'STATUS INVEST FII'!$A$2:$N$404,4,0)/100,0)</f>
        <v>0</v>
      </c>
      <c r="E228" s="11">
        <f>IFERROR(VLOOKUP(B228,'STATUS INVEST FII'!$A$2:$N$404,6,0),0)</f>
        <v>0</v>
      </c>
      <c r="F228" s="12">
        <f>IFERROR(VLOOKUP(B228,'STATUS INVEST FII'!$A$2:$N$404,8,0)/100,0)</f>
        <v>1.3512999999999999</v>
      </c>
      <c r="G228" s="13">
        <f>IFERROR(VLOOKUP(B228,'STATUS INVEST FII'!$A$2:$N$404,9,0)/100,0)</f>
        <v>0</v>
      </c>
      <c r="H228" s="13">
        <f>IFERROR(VLOOKUP(B228,'STATUS INVEST FII'!$A$2:$N$404,10,0)/100,0)</f>
        <v>0</v>
      </c>
      <c r="I228" s="20">
        <f>IFERROR(VLOOKUP(B228,'STATUS INVEST FII'!$A$2:$N$404,11,0),0)</f>
        <v>33368196.710000001</v>
      </c>
      <c r="J228" s="45" t="str">
        <f>IFERROR(VLOOKUP(B228,'ATIVOS-GESTÃO'!$A$1:$C$329,2),"-")</f>
        <v>MONO</v>
      </c>
      <c r="K228" s="45" t="str">
        <f>IFERROR(VLOOKUP(B228,'ATIVOS-GESTÃO'!$A$1:$C$329,3),"-")</f>
        <v>-</v>
      </c>
      <c r="L228" s="20" t="str">
        <f>IFERROR(VLOOKUP(B228,'STATUS INVEST FII'!$A$2:$N$404,13,0),"-")</f>
        <v>Ativa</v>
      </c>
      <c r="M228" s="20" t="str">
        <f>IFERROR(VLOOKUP(B228,'DATA-COM'!A:B,2,FALSE),"-")</f>
        <v>-</v>
      </c>
      <c r="N228" s="51">
        <f>IFERROR(VLOOKUP(B228,'STATUS INVEST FII'!$A$2:$N$404,12,0),"-")</f>
        <v>2</v>
      </c>
      <c r="O228" s="54">
        <f>IFERROR(VLOOKUP(B228,'STATUS INVEST FII'!$A$2:$N$404,7,0),0)</f>
        <v>0</v>
      </c>
    </row>
    <row r="229" spans="2:15" x14ac:dyDescent="0.25">
      <c r="B229" s="126" t="s">
        <v>37</v>
      </c>
      <c r="C229" s="9">
        <f>IFERROR(VLOOKUP(B229,'STATUS INVEST FII'!$A$2:$N$404,2,0),0)</f>
        <v>86.09</v>
      </c>
      <c r="D229" s="10">
        <f>IFERROR(VLOOKUP(B229,'STATUS INVEST FII'!$A$2:$N$404,4,0)/100,0)</f>
        <v>9.1999999999999998E-2</v>
      </c>
      <c r="E229" s="11">
        <f>IFERROR(VLOOKUP(B229,'STATUS INVEST FII'!$A$2:$N$404,6,0),0)</f>
        <v>0.89</v>
      </c>
      <c r="F229" s="12">
        <f>IFERROR(VLOOKUP(B229,'STATUS INVEST FII'!$A$2:$N$404,8,0)/100,0)</f>
        <v>2.5399999999999999E-2</v>
      </c>
      <c r="G229" s="13">
        <f>IFERROR(VLOOKUP(B229,'STATUS INVEST FII'!$A$2:$N$404,9,0)/100,0)</f>
        <v>2.6499999999999999E-2</v>
      </c>
      <c r="H229" s="13">
        <f>IFERROR(VLOOKUP(B229,'STATUS INVEST FII'!$A$2:$N$404,10,0)/100,0)</f>
        <v>-6.93E-2</v>
      </c>
      <c r="I229" s="20">
        <f>IFERROR(VLOOKUP(B229,'STATUS INVEST FII'!$A$2:$N$404,11,0),0)</f>
        <v>623504014.5</v>
      </c>
      <c r="J229" s="45" t="str">
        <f>IFERROR(VLOOKUP(B229,'ATIVOS-GESTÃO'!$A$1:$C$329,2),"-")</f>
        <v>MULTI</v>
      </c>
      <c r="K229" s="45" t="str">
        <f>IFERROR(VLOOKUP(B229,'ATIVOS-GESTÃO'!$A$1:$C$329,3),"-")</f>
        <v>MULTI</v>
      </c>
      <c r="L229" s="20" t="str">
        <f>IFERROR(VLOOKUP(B229,'STATUS INVEST FII'!$A$2:$N$404,13,0),"-")</f>
        <v>Ativa</v>
      </c>
      <c r="M229" s="20" t="str">
        <f>IFERROR(VLOOKUP(B229,'DATA-COM'!A:B,2,FALSE),"-")</f>
        <v xml:space="preserve">Último </v>
      </c>
      <c r="N229" s="51">
        <f>IFERROR(VLOOKUP(B229,'STATUS INVEST FII'!$A$2:$N$404,12,0),"-")</f>
        <v>52429</v>
      </c>
      <c r="O229" s="54">
        <f>IFERROR(VLOOKUP(B229,'STATUS INVEST FII'!$A$2:$N$404,7,0),0)</f>
        <v>1368666.62</v>
      </c>
    </row>
    <row r="230" spans="2:15" x14ac:dyDescent="0.25">
      <c r="B230" s="126" t="s">
        <v>343</v>
      </c>
      <c r="C230" s="9">
        <f>IFERROR(VLOOKUP(B230,'STATUS INVEST FII'!$A$2:$N$404,2,0),0)</f>
        <v>70.010000000000005</v>
      </c>
      <c r="D230" s="10">
        <f>IFERROR(VLOOKUP(B230,'STATUS INVEST FII'!$A$2:$N$404,4,0)/100,0)</f>
        <v>0.1134</v>
      </c>
      <c r="E230" s="11">
        <f>IFERROR(VLOOKUP(B230,'STATUS INVEST FII'!$A$2:$N$404,6,0),0)</f>
        <v>0.73</v>
      </c>
      <c r="F230" s="12">
        <f>IFERROR(VLOOKUP(B230,'STATUS INVEST FII'!$A$2:$N$404,8,0)/100,0)</f>
        <v>1.8600000000000002E-2</v>
      </c>
      <c r="G230" s="13">
        <f>IFERROR(VLOOKUP(B230,'STATUS INVEST FII'!$A$2:$N$404,9,0)/100,0)</f>
        <v>0</v>
      </c>
      <c r="H230" s="13">
        <f>IFERROR(VLOOKUP(B230,'STATUS INVEST FII'!$A$2:$N$404,10,0)/100,0)</f>
        <v>0</v>
      </c>
      <c r="I230" s="20">
        <f>IFERROR(VLOOKUP(B230,'STATUS INVEST FII'!$A$2:$N$404,11,0),0)</f>
        <v>154528684.13999999</v>
      </c>
      <c r="J230" s="45" t="str">
        <f>IFERROR(VLOOKUP(B230,'ATIVOS-GESTÃO'!$A$1:$C$329,2),"-")</f>
        <v>MULTI</v>
      </c>
      <c r="K230" s="45" t="str">
        <f>IFERROR(VLOOKUP(B230,'ATIVOS-GESTÃO'!$A$1:$C$329,3),"-")</f>
        <v>MULTI</v>
      </c>
      <c r="L230" s="20" t="str">
        <f>IFERROR(VLOOKUP(B230,'STATUS INVEST FII'!$A$2:$N$404,13,0),"-")</f>
        <v>Ativa</v>
      </c>
      <c r="M230" s="20" t="str">
        <f>IFERROR(VLOOKUP(B230,'DATA-COM'!A:B,2,FALSE),"-")</f>
        <v xml:space="preserve">Quinto </v>
      </c>
      <c r="N230" s="51">
        <f>IFERROR(VLOOKUP(B230,'STATUS INVEST FII'!$A$2:$N$404,12,0),"-")</f>
        <v>1772</v>
      </c>
      <c r="O230" s="54">
        <f>IFERROR(VLOOKUP(B230,'STATUS INVEST FII'!$A$2:$N$404,7,0),0)</f>
        <v>101774.06</v>
      </c>
    </row>
    <row r="231" spans="2:15" x14ac:dyDescent="0.25">
      <c r="B231" s="126" t="s">
        <v>373</v>
      </c>
      <c r="C231" s="9">
        <f>IFERROR(VLOOKUP(B231,'STATUS INVEST FII'!$A$2:$N$404,2,0),0)</f>
        <v>115</v>
      </c>
      <c r="D231" s="10">
        <f>IFERROR(VLOOKUP(B231,'STATUS INVEST FII'!$A$2:$N$404,4,0)/100,0)</f>
        <v>0</v>
      </c>
      <c r="E231" s="11">
        <f>IFERROR(VLOOKUP(B231,'STATUS INVEST FII'!$A$2:$N$404,6,0),0)</f>
        <v>1.1499999999999999</v>
      </c>
      <c r="F231" s="12">
        <f>IFERROR(VLOOKUP(B231,'STATUS INVEST FII'!$A$2:$N$404,8,0)/100,0)</f>
        <v>3.0999999999999999E-3</v>
      </c>
      <c r="G231" s="13">
        <f>IFERROR(VLOOKUP(B231,'STATUS INVEST FII'!$A$2:$N$404,9,0)/100,0)</f>
        <v>0</v>
      </c>
      <c r="H231" s="13">
        <f>IFERROR(VLOOKUP(B231,'STATUS INVEST FII'!$A$2:$N$404,10,0)/100,0)</f>
        <v>0</v>
      </c>
      <c r="I231" s="20">
        <f>IFERROR(VLOOKUP(B231,'STATUS INVEST FII'!$A$2:$N$404,11,0),0)</f>
        <v>790829699.83000004</v>
      </c>
      <c r="J231" s="45" t="str">
        <f>IFERROR(VLOOKUP(B231,'ATIVOS-GESTÃO'!$A$1:$C$329,2),"-")</f>
        <v>MONO</v>
      </c>
      <c r="K231" s="45" t="str">
        <f>IFERROR(VLOOKUP(B231,'ATIVOS-GESTÃO'!$A$1:$C$329,3),"-")</f>
        <v>-</v>
      </c>
      <c r="L231" s="20" t="str">
        <f>IFERROR(VLOOKUP(B231,'STATUS INVEST FII'!$A$2:$N$404,13,0),"-")</f>
        <v>Passiva</v>
      </c>
      <c r="M231" s="20" t="str">
        <f>IFERROR(VLOOKUP(B231,'DATA-COM'!A:B,2,FALSE),"-")</f>
        <v>-</v>
      </c>
      <c r="N231" s="51">
        <f>IFERROR(VLOOKUP(B231,'STATUS INVEST FII'!$A$2:$N$404,12,0),"-")</f>
        <v>125</v>
      </c>
      <c r="O231" s="54">
        <f>IFERROR(VLOOKUP(B231,'STATUS INVEST FII'!$A$2:$N$404,7,0),0)</f>
        <v>11960</v>
      </c>
    </row>
    <row r="232" spans="2:15" x14ac:dyDescent="0.25">
      <c r="B232" s="126" t="s">
        <v>210</v>
      </c>
      <c r="C232" s="9">
        <f>IFERROR(VLOOKUP(B232,'STATUS INVEST FII'!$A$2:$N$404,2,0),0)</f>
        <v>233.49</v>
      </c>
      <c r="D232" s="10">
        <f>IFERROR(VLOOKUP(B232,'STATUS INVEST FII'!$A$2:$N$404,4,0)/100,0)</f>
        <v>0.1232</v>
      </c>
      <c r="E232" s="11">
        <f>IFERROR(VLOOKUP(B232,'STATUS INVEST FII'!$A$2:$N$404,6,0),0)</f>
        <v>0.7</v>
      </c>
      <c r="F232" s="12">
        <f>IFERROR(VLOOKUP(B232,'STATUS INVEST FII'!$A$2:$N$404,8,0)/100,0)</f>
        <v>7.7100000000000002E-2</v>
      </c>
      <c r="G232" s="13">
        <f>IFERROR(VLOOKUP(B232,'STATUS INVEST FII'!$A$2:$N$404,9,0)/100,0)</f>
        <v>0.14219999999999999</v>
      </c>
      <c r="H232" s="13">
        <f>IFERROR(VLOOKUP(B232,'STATUS INVEST FII'!$A$2:$N$404,10,0)/100,0)</f>
        <v>0</v>
      </c>
      <c r="I232" s="20">
        <f>IFERROR(VLOOKUP(B232,'STATUS INVEST FII'!$A$2:$N$404,11,0),0)</f>
        <v>183942936.03999999</v>
      </c>
      <c r="J232" s="45" t="str">
        <f>IFERROR(VLOOKUP(B232,'ATIVOS-GESTÃO'!$A$1:$C$329,2),"-")</f>
        <v>MULTI</v>
      </c>
      <c r="K232" s="45" t="str">
        <f>IFERROR(VLOOKUP(B232,'ATIVOS-GESTÃO'!$A$1:$C$329,3),"-")</f>
        <v>-</v>
      </c>
      <c r="L232" s="20" t="str">
        <f>IFERROR(VLOOKUP(B232,'STATUS INVEST FII'!$A$2:$N$404,13,0),"-")</f>
        <v>Ativa</v>
      </c>
      <c r="M232" s="20" t="str">
        <f>IFERROR(VLOOKUP(B232,'DATA-COM'!A:B,2,FALSE),"-")</f>
        <v xml:space="preserve">Último </v>
      </c>
      <c r="N232" s="51">
        <f>IFERROR(VLOOKUP(B232,'STATUS INVEST FII'!$A$2:$N$404,12,0),"-")</f>
        <v>53</v>
      </c>
      <c r="O232" s="54">
        <f>IFERROR(VLOOKUP(B232,'STATUS INVEST FII'!$A$2:$N$404,7,0),0)</f>
        <v>0</v>
      </c>
    </row>
    <row r="233" spans="2:15" x14ac:dyDescent="0.25">
      <c r="B233" s="126" t="s">
        <v>38</v>
      </c>
      <c r="C233" s="9">
        <f>IFERROR(VLOOKUP(B233,'STATUS INVEST FII'!$A$2:$N$404,2,0),0)</f>
        <v>100.49</v>
      </c>
      <c r="D233" s="10">
        <f>IFERROR(VLOOKUP(B233,'STATUS INVEST FII'!$A$2:$N$404,4,0)/100,0)</f>
        <v>7.3099999999999998E-2</v>
      </c>
      <c r="E233" s="11">
        <f>IFERROR(VLOOKUP(B233,'STATUS INVEST FII'!$A$2:$N$404,6,0),0)</f>
        <v>0.87</v>
      </c>
      <c r="F233" s="12">
        <f>IFERROR(VLOOKUP(B233,'STATUS INVEST FII'!$A$2:$N$404,8,0)/100,0)</f>
        <v>1.34E-2</v>
      </c>
      <c r="G233" s="13">
        <f>IFERROR(VLOOKUP(B233,'STATUS INVEST FII'!$A$2:$N$404,9,0)/100,0)</f>
        <v>-6.25E-2</v>
      </c>
      <c r="H233" s="13">
        <f>IFERROR(VLOOKUP(B233,'STATUS INVEST FII'!$A$2:$N$404,10,0)/100,0)</f>
        <v>0</v>
      </c>
      <c r="I233" s="20">
        <f>IFERROR(VLOOKUP(B233,'STATUS INVEST FII'!$A$2:$N$404,11,0),0)</f>
        <v>1708649934.5999999</v>
      </c>
      <c r="J233" s="45" t="str">
        <f>IFERROR(VLOOKUP(B233,'ATIVOS-GESTÃO'!$A$1:$C$329,2),"-")</f>
        <v>MULTI</v>
      </c>
      <c r="K233" s="45" t="str">
        <f>IFERROR(VLOOKUP(B233,'ATIVOS-GESTÃO'!$A$1:$C$329,3),"-")</f>
        <v>MULTI</v>
      </c>
      <c r="L233" s="20" t="str">
        <f>IFERROR(VLOOKUP(B233,'STATUS INVEST FII'!$A$2:$N$404,13,0),"-")</f>
        <v>Ativa</v>
      </c>
      <c r="M233" s="20" t="str">
        <f>IFERROR(VLOOKUP(B233,'DATA-COM'!A:B,2,FALSE),"-")</f>
        <v xml:space="preserve">Último </v>
      </c>
      <c r="N233" s="51">
        <f>IFERROR(VLOOKUP(B233,'STATUS INVEST FII'!$A$2:$N$404,12,0),"-")</f>
        <v>147006</v>
      </c>
      <c r="O233" s="54">
        <f>IFERROR(VLOOKUP(B233,'STATUS INVEST FII'!$A$2:$N$404,7,0),0)</f>
        <v>3976930.76</v>
      </c>
    </row>
    <row r="234" spans="2:15" x14ac:dyDescent="0.25">
      <c r="B234" s="126" t="s">
        <v>97</v>
      </c>
      <c r="C234" s="9">
        <f>IFERROR(VLOOKUP(B234,'STATUS INVEST FII'!$A$2:$N$404,2,0),0)</f>
        <v>90</v>
      </c>
      <c r="D234" s="10">
        <f>IFERROR(VLOOKUP(B234,'STATUS INVEST FII'!$A$2:$N$404,4,0)/100,0)</f>
        <v>0.10099999999999999</v>
      </c>
      <c r="E234" s="11">
        <f>IFERROR(VLOOKUP(B234,'STATUS INVEST FII'!$A$2:$N$404,6,0),0)</f>
        <v>0.87</v>
      </c>
      <c r="F234" s="12">
        <f>IFERROR(VLOOKUP(B234,'STATUS INVEST FII'!$A$2:$N$404,8,0)/100,0)</f>
        <v>2.3199999999999998E-2</v>
      </c>
      <c r="G234" s="13">
        <f>IFERROR(VLOOKUP(B234,'STATUS INVEST FII'!$A$2:$N$404,9,0)/100,0)</f>
        <v>-2.0799999999999999E-2</v>
      </c>
      <c r="H234" s="13">
        <f>IFERROR(VLOOKUP(B234,'STATUS INVEST FII'!$A$2:$N$404,10,0)/100,0)</f>
        <v>-3.7599999999999995E-2</v>
      </c>
      <c r="I234" s="20">
        <f>IFERROR(VLOOKUP(B234,'STATUS INVEST FII'!$A$2:$N$404,11,0),0)</f>
        <v>218430325.94</v>
      </c>
      <c r="J234" s="45" t="str">
        <f>IFERROR(VLOOKUP(B234,'ATIVOS-GESTÃO'!$A$1:$C$329,2),"-")</f>
        <v>MONO</v>
      </c>
      <c r="K234" s="45" t="str">
        <f>IFERROR(VLOOKUP(B234,'ATIVOS-GESTÃO'!$A$1:$C$329,3),"-")</f>
        <v>MONO</v>
      </c>
      <c r="L234" s="20" t="str">
        <f>IFERROR(VLOOKUP(B234,'STATUS INVEST FII'!$A$2:$N$404,13,0),"-")</f>
        <v>Ativa</v>
      </c>
      <c r="M234" s="20" t="str">
        <f>IFERROR(VLOOKUP(B234,'DATA-COM'!A:B,2,FALSE),"-")</f>
        <v xml:space="preserve">Último </v>
      </c>
      <c r="N234" s="51">
        <f>IFERROR(VLOOKUP(B234,'STATUS INVEST FII'!$A$2:$N$404,12,0),"-")</f>
        <v>6068</v>
      </c>
      <c r="O234" s="54">
        <f>IFERROR(VLOOKUP(B234,'STATUS INVEST FII'!$A$2:$N$404,7,0),0)</f>
        <v>320187.18</v>
      </c>
    </row>
    <row r="235" spans="2:15" x14ac:dyDescent="0.25">
      <c r="B235" s="126" t="s">
        <v>194</v>
      </c>
      <c r="C235" s="9">
        <f>IFERROR(VLOOKUP(B235,'STATUS INVEST FII'!$A$2:$N$404,2,0),0)</f>
        <v>85.13</v>
      </c>
      <c r="D235" s="10">
        <f>IFERROR(VLOOKUP(B235,'STATUS INVEST FII'!$A$2:$N$404,4,0)/100,0)</f>
        <v>8.8200000000000001E-2</v>
      </c>
      <c r="E235" s="11">
        <f>IFERROR(VLOOKUP(B235,'STATUS INVEST FII'!$A$2:$N$404,6,0),0)</f>
        <v>0.78</v>
      </c>
      <c r="F235" s="12">
        <f>IFERROR(VLOOKUP(B235,'STATUS INVEST FII'!$A$2:$N$404,8,0)/100,0)</f>
        <v>5.5099999999999996E-2</v>
      </c>
      <c r="G235" s="13">
        <f>IFERROR(VLOOKUP(B235,'STATUS INVEST FII'!$A$2:$N$404,9,0)/100,0)</f>
        <v>-4.0199999999999993E-2</v>
      </c>
      <c r="H235" s="13">
        <f>IFERROR(VLOOKUP(B235,'STATUS INVEST FII'!$A$2:$N$404,10,0)/100,0)</f>
        <v>-0.1036</v>
      </c>
      <c r="I235" s="20">
        <f>IFERROR(VLOOKUP(B235,'STATUS INVEST FII'!$A$2:$N$404,11,0),0)</f>
        <v>784874389.67999995</v>
      </c>
      <c r="J235" s="45" t="str">
        <f>IFERROR(VLOOKUP(B235,'ATIVOS-GESTÃO'!$A$1:$C$329,2),"-")</f>
        <v>MULTI</v>
      </c>
      <c r="K235" s="45" t="str">
        <f>IFERROR(VLOOKUP(B235,'ATIVOS-GESTÃO'!$A$1:$C$329,3),"-")</f>
        <v>MULTI</v>
      </c>
      <c r="L235" s="20" t="str">
        <f>IFERROR(VLOOKUP(B235,'STATUS INVEST FII'!$A$2:$N$404,13,0),"-")</f>
        <v>Ativa</v>
      </c>
      <c r="M235" s="20" t="str">
        <f>IFERROR(VLOOKUP(B235,'DATA-COM'!A:B,2,FALSE),"-")</f>
        <v xml:space="preserve">Décimo </v>
      </c>
      <c r="N235" s="51">
        <f>IFERROR(VLOOKUP(B235,'STATUS INVEST FII'!$A$2:$N$404,12,0),"-")</f>
        <v>51617</v>
      </c>
      <c r="O235" s="54">
        <f>IFERROR(VLOOKUP(B235,'STATUS INVEST FII'!$A$2:$N$404,7,0),0)</f>
        <v>556929.91</v>
      </c>
    </row>
    <row r="236" spans="2:15" ht="15.75" thickBot="1" x14ac:dyDescent="0.3">
      <c r="B236" s="126" t="s">
        <v>39</v>
      </c>
      <c r="C236" s="46">
        <f>IFERROR(VLOOKUP(B236,'STATUS INVEST FII'!$A$2:$N$404,2,0),0)</f>
        <v>96.84</v>
      </c>
      <c r="D236" s="47">
        <f>IFERROR(VLOOKUP(B236,'STATUS INVEST FII'!$A$2:$N$404,4,0)/100,0)</f>
        <v>7.6100000000000001E-2</v>
      </c>
      <c r="E236" s="48">
        <f>IFERROR(VLOOKUP(B236,'STATUS INVEST FII'!$A$2:$N$404,6,0),0)</f>
        <v>0.89</v>
      </c>
      <c r="F236" s="49">
        <f>IFERROR(VLOOKUP(B236,'STATUS INVEST FII'!$A$2:$N$404,8,0)/100,0)</f>
        <v>3.6499999999999998E-2</v>
      </c>
      <c r="G236" s="50">
        <f>IFERROR(VLOOKUP(B236,'STATUS INVEST FII'!$A$2:$N$404,9,0)/100,0)</f>
        <v>-1.01E-2</v>
      </c>
      <c r="H236" s="50">
        <f>IFERROR(VLOOKUP(B236,'STATUS INVEST FII'!$A$2:$N$404,10,0)/100,0)</f>
        <v>-1.15E-2</v>
      </c>
      <c r="I236" s="38">
        <f>IFERROR(VLOOKUP(B236,'STATUS INVEST FII'!$A$2:$N$404,11,0),0)</f>
        <v>2977539295.4400001</v>
      </c>
      <c r="J236" s="45" t="str">
        <f>IFERROR(VLOOKUP(B236,'ATIVOS-GESTÃO'!$A$1:$C$329,2),"-")</f>
        <v>MULTI</v>
      </c>
      <c r="K236" s="45" t="str">
        <f>IFERROR(VLOOKUP(B236,'ATIVOS-GESTÃO'!$A$1:$C$329,3),"-")</f>
        <v>MULTI</v>
      </c>
      <c r="L236" s="38" t="str">
        <f>IFERROR(VLOOKUP(B236,'STATUS INVEST FII'!$A$2:$N$404,13,0),"-")</f>
        <v>Ativa</v>
      </c>
      <c r="M236" s="38" t="str">
        <f>IFERROR(VLOOKUP(B236,'DATA-COM'!A:B,2,FALSE),"-")</f>
        <v xml:space="preserve">Último </v>
      </c>
      <c r="N236" s="78">
        <f>IFERROR(VLOOKUP(B236,'STATUS INVEST FII'!$A$2:$N$404,12,0),"-")</f>
        <v>278468</v>
      </c>
      <c r="O236" s="79">
        <f>IFERROR(VLOOKUP(B236,'STATUS INVEST FII'!$A$2:$N$404,7,0),0)</f>
        <v>4241966.9400000004</v>
      </c>
    </row>
    <row r="237" spans="2:15" s="203" customFormat="1" ht="15.75" thickBot="1" x14ac:dyDescent="0.3">
      <c r="B237" s="216" t="s">
        <v>287</v>
      </c>
      <c r="C237" s="217">
        <f>IFERROR(VLOOKUP(B237,'STATUS INVEST FII'!$A$2:$N$404,2,0),0)</f>
        <v>0</v>
      </c>
      <c r="D237" s="218">
        <f>IFERROR(VLOOKUP(B237,'STATUS INVEST FII'!$A$2:$N$404,4,0)/100,0)</f>
        <v>0</v>
      </c>
      <c r="E237" s="218">
        <f>IFERROR(VLOOKUP(B237,'STATUS INVEST FII'!$A$2:$N$404,6,0),0)</f>
        <v>0</v>
      </c>
      <c r="F237" s="218">
        <f>IFERROR(VLOOKUP(B237,'STATUS INVEST FII'!$A$2:$N$404,8,0)/100,0)</f>
        <v>0</v>
      </c>
      <c r="G237" s="218">
        <f>IFERROR(VLOOKUP(B237,'STATUS INVEST FII'!$A$2:$N$404,9,0)/100,0)</f>
        <v>0</v>
      </c>
      <c r="H237" s="218">
        <f>IFERROR(VLOOKUP(B237,'STATUS INVEST FII'!$A$2:$N$404,10,0)/100,0)</f>
        <v>0</v>
      </c>
      <c r="I237" s="218">
        <f>IFERROR(VLOOKUP(B237,'STATUS INVEST FII'!$A$2:$N$404,11,0),0)</f>
        <v>0</v>
      </c>
      <c r="J237" s="218" t="str">
        <f>IFERROR(VLOOKUP(B237,'ATIVOS-GESTÃO'!$A$1:$C$329,2),"-")</f>
        <v>MULTI</v>
      </c>
      <c r="K237" s="218" t="str">
        <f>IFERROR(VLOOKUP(B237,'ATIVOS-GESTÃO'!$A$1:$C$329,3),"-")</f>
        <v>MULTI</v>
      </c>
      <c r="L237" s="218" t="str">
        <f>IFERROR(VLOOKUP(B237,'STATUS INVEST FII'!$A$2:$N$404,13,0),"-")</f>
        <v>-</v>
      </c>
      <c r="M237" s="218" t="str">
        <f>IFERROR(VLOOKUP(B237,'DATA-COM'!A:B,2,FALSE),"-")</f>
        <v>-</v>
      </c>
      <c r="N237" s="218" t="str">
        <f>IFERROR(VLOOKUP(B237,'STATUS INVEST FII'!$A$2:$N$404,12,0),"-")</f>
        <v>-</v>
      </c>
      <c r="O237" s="219">
        <f>IFERROR(VLOOKUP(B237,'STATUS INVEST FII'!$A$2:$N$404,7,0),0)</f>
        <v>0</v>
      </c>
    </row>
    <row r="238" spans="2:15" x14ac:dyDescent="0.25">
      <c r="B238" s="126" t="s">
        <v>358</v>
      </c>
      <c r="C238" s="39">
        <f>IFERROR(VLOOKUP(B238,'STATUS INVEST FII'!$A$2:$N$404,2,0),0)</f>
        <v>89.9</v>
      </c>
      <c r="D238" s="40">
        <f>IFERROR(VLOOKUP(B238,'STATUS INVEST FII'!$A$2:$N$404,4,0)/100,0)</f>
        <v>0.1012</v>
      </c>
      <c r="E238" s="41">
        <f>IFERROR(VLOOKUP(B238,'STATUS INVEST FII'!$A$2:$N$404,6,0),0)</f>
        <v>0.9</v>
      </c>
      <c r="F238" s="42">
        <f>IFERROR(VLOOKUP(B238,'STATUS INVEST FII'!$A$2:$N$404,8,0)/100,0)</f>
        <v>0.1002</v>
      </c>
      <c r="G238" s="43">
        <f>IFERROR(VLOOKUP(B238,'STATUS INVEST FII'!$A$2:$N$404,9,0)/100,0)</f>
        <v>0</v>
      </c>
      <c r="H238" s="43">
        <f>IFERROR(VLOOKUP(B238,'STATUS INVEST FII'!$A$2:$N$404,10,0)/100,0)</f>
        <v>0</v>
      </c>
      <c r="I238" s="44">
        <f>IFERROR(VLOOKUP(B238,'STATUS INVEST FII'!$A$2:$N$404,11,0),0)</f>
        <v>68972960.049999997</v>
      </c>
      <c r="J238" s="45" t="str">
        <f>IFERROR(VLOOKUP(B238,'ATIVOS-GESTÃO'!$A$1:$C$329,2),"-")</f>
        <v>MULTI</v>
      </c>
      <c r="K238" s="45" t="str">
        <f>IFERROR(VLOOKUP(B238,'ATIVOS-GESTÃO'!$A$1:$C$329,3),"-")</f>
        <v>-</v>
      </c>
      <c r="L238" s="44" t="str">
        <f>IFERROR(VLOOKUP(B238,'STATUS INVEST FII'!$A$2:$N$404,13,0),"-")</f>
        <v>Ativa</v>
      </c>
      <c r="M238" s="44" t="str">
        <f>IFERROR(VLOOKUP(B238,'DATA-COM'!A:B,2,FALSE),"-")</f>
        <v xml:space="preserve">Décimo </v>
      </c>
      <c r="N238" s="57">
        <f>IFERROR(VLOOKUP(B238,'STATUS INVEST FII'!$A$2:$N$404,12,0),"-")</f>
        <v>2536</v>
      </c>
      <c r="O238" s="58">
        <f>IFERROR(VLOOKUP(B238,'STATUS INVEST FII'!$A$2:$N$404,7,0),0)</f>
        <v>108441.5</v>
      </c>
    </row>
    <row r="239" spans="2:15" x14ac:dyDescent="0.25">
      <c r="B239" s="126" t="s">
        <v>320</v>
      </c>
      <c r="C239" s="9">
        <f>IFERROR(VLOOKUP(B239,'STATUS INVEST FII'!$A$2:$N$404,2,0),0)</f>
        <v>76.2</v>
      </c>
      <c r="D239" s="10">
        <f>IFERROR(VLOOKUP(B239,'STATUS INVEST FII'!$A$2:$N$404,4,0)/100,0)</f>
        <v>9.3100000000000002E-2</v>
      </c>
      <c r="E239" s="11">
        <f>IFERROR(VLOOKUP(B239,'STATUS INVEST FII'!$A$2:$N$404,6,0),0)</f>
        <v>0.89</v>
      </c>
      <c r="F239" s="12">
        <f>IFERROR(VLOOKUP(B239,'STATUS INVEST FII'!$A$2:$N$404,8,0)/100,0)</f>
        <v>1.26E-2</v>
      </c>
      <c r="G239" s="13">
        <f>IFERROR(VLOOKUP(B239,'STATUS INVEST FII'!$A$2:$N$404,9,0)/100,0)</f>
        <v>0</v>
      </c>
      <c r="H239" s="13">
        <f>IFERROR(VLOOKUP(B239,'STATUS INVEST FII'!$A$2:$N$404,10,0)/100,0)</f>
        <v>0</v>
      </c>
      <c r="I239" s="20">
        <f>IFERROR(VLOOKUP(B239,'STATUS INVEST FII'!$A$2:$N$404,11,0),0)</f>
        <v>346963853</v>
      </c>
      <c r="J239" s="24" t="str">
        <f>IFERROR(VLOOKUP(B239,'ATIVOS-GESTÃO'!$A$1:$C$329,2),"-")</f>
        <v>MULTI</v>
      </c>
      <c r="K239" s="24" t="str">
        <f>IFERROR(VLOOKUP(B239,'ATIVOS-GESTÃO'!$A$1:$C$329,3),"-")</f>
        <v>MONO</v>
      </c>
      <c r="L239" s="20" t="str">
        <f>IFERROR(VLOOKUP(B239,'STATUS INVEST FII'!$A$2:$N$404,13,0),"-")</f>
        <v>Passiva</v>
      </c>
      <c r="M239" s="20" t="str">
        <f>IFERROR(VLOOKUP(B239,'DATA-COM'!A:B,2,FALSE),"-")</f>
        <v xml:space="preserve">Último </v>
      </c>
      <c r="N239" s="51">
        <f>IFERROR(VLOOKUP(B239,'STATUS INVEST FII'!$A$2:$N$404,12,0),"-")</f>
        <v>4078</v>
      </c>
      <c r="O239" s="54">
        <f>IFERROR(VLOOKUP(B239,'STATUS INVEST FII'!$A$2:$N$404,7,0),0)</f>
        <v>134295.74</v>
      </c>
    </row>
    <row r="240" spans="2:15" x14ac:dyDescent="0.25">
      <c r="B240" s="126" t="s">
        <v>129</v>
      </c>
      <c r="C240" s="9">
        <f>IFERROR(VLOOKUP(B240,'STATUS INVEST FII'!$A$2:$N$404,2,0),0)</f>
        <v>69.5</v>
      </c>
      <c r="D240" s="10">
        <f>IFERROR(VLOOKUP(B240,'STATUS INVEST FII'!$A$2:$N$404,4,0)/100,0)</f>
        <v>8.7499999999999994E-2</v>
      </c>
      <c r="E240" s="11">
        <f>IFERROR(VLOOKUP(B240,'STATUS INVEST FII'!$A$2:$N$404,6,0),0)</f>
        <v>0.89</v>
      </c>
      <c r="F240" s="12">
        <f>IFERROR(VLOOKUP(B240,'STATUS INVEST FII'!$A$2:$N$404,8,0)/100,0)</f>
        <v>3.1400000000000004E-2</v>
      </c>
      <c r="G240" s="13">
        <f>IFERROR(VLOOKUP(B240,'STATUS INVEST FII'!$A$2:$N$404,9,0)/100,0)</f>
        <v>-1.9699999999999999E-2</v>
      </c>
      <c r="H240" s="13">
        <f>IFERROR(VLOOKUP(B240,'STATUS INVEST FII'!$A$2:$N$404,10,0)/100,0)</f>
        <v>-5.4100000000000002E-2</v>
      </c>
      <c r="I240" s="20">
        <f>IFERROR(VLOOKUP(B240,'STATUS INVEST FII'!$A$2:$N$404,11,0),0)</f>
        <v>1975752280.8800001</v>
      </c>
      <c r="J240" s="24" t="str">
        <f>IFERROR(VLOOKUP(B240,'ATIVOS-GESTÃO'!$A$1:$C$329,2),"-")</f>
        <v>-</v>
      </c>
      <c r="K240" s="24" t="str">
        <f>IFERROR(VLOOKUP(B240,'ATIVOS-GESTÃO'!$A$1:$C$329,3),"-")</f>
        <v>-</v>
      </c>
      <c r="L240" s="20" t="str">
        <f>IFERROR(VLOOKUP(B240,'STATUS INVEST FII'!$A$2:$N$404,13,0),"-")</f>
        <v>Ativa</v>
      </c>
      <c r="M240" s="20" t="str">
        <f>IFERROR(VLOOKUP(B240,'DATA-COM'!A:B,2,FALSE),"-")</f>
        <v xml:space="preserve">Quinto </v>
      </c>
      <c r="N240" s="51">
        <f>IFERROR(VLOOKUP(B240,'STATUS INVEST FII'!$A$2:$N$404,12,0),"-")</f>
        <v>291155</v>
      </c>
      <c r="O240" s="54">
        <f>IFERROR(VLOOKUP(B240,'STATUS INVEST FII'!$A$2:$N$404,7,0),0)</f>
        <v>3746106.88</v>
      </c>
    </row>
    <row r="241" spans="2:15" x14ac:dyDescent="0.25">
      <c r="B241" s="126" t="s">
        <v>130</v>
      </c>
      <c r="C241" s="9">
        <f>IFERROR(VLOOKUP(B241,'STATUS INVEST FII'!$A$2:$N$404,2,0),0)</f>
        <v>85.3</v>
      </c>
      <c r="D241" s="10">
        <f>IFERROR(VLOOKUP(B241,'STATUS INVEST FII'!$A$2:$N$404,4,0)/100,0)</f>
        <v>8.9900000000000008E-2</v>
      </c>
      <c r="E241" s="11">
        <f>IFERROR(VLOOKUP(B241,'STATUS INVEST FII'!$A$2:$N$404,6,0),0)</f>
        <v>0.82</v>
      </c>
      <c r="F241" s="12">
        <f>IFERROR(VLOOKUP(B241,'STATUS INVEST FII'!$A$2:$N$404,8,0)/100,0)</f>
        <v>1.5100000000000001E-2</v>
      </c>
      <c r="G241" s="13">
        <f>IFERROR(VLOOKUP(B241,'STATUS INVEST FII'!$A$2:$N$404,9,0)/100,0)</f>
        <v>-0.2</v>
      </c>
      <c r="H241" s="13">
        <f>IFERROR(VLOOKUP(B241,'STATUS INVEST FII'!$A$2:$N$404,10,0)/100,0)</f>
        <v>-6.9500000000000006E-2</v>
      </c>
      <c r="I241" s="20">
        <f>IFERROR(VLOOKUP(B241,'STATUS INVEST FII'!$A$2:$N$404,11,0),0)</f>
        <v>387748551.80000001</v>
      </c>
      <c r="J241" s="24" t="str">
        <f>IFERROR(VLOOKUP(B241,'ATIVOS-GESTÃO'!$A$1:$C$329,2),"-")</f>
        <v>-</v>
      </c>
      <c r="K241" s="24" t="str">
        <f>IFERROR(VLOOKUP(B241,'ATIVOS-GESTÃO'!$A$1:$C$329,3),"-")</f>
        <v>-</v>
      </c>
      <c r="L241" s="20" t="str">
        <f>IFERROR(VLOOKUP(B241,'STATUS INVEST FII'!$A$2:$N$404,13,0),"-")</f>
        <v>Ativa</v>
      </c>
      <c r="M241" s="20" t="str">
        <f>IFERROR(VLOOKUP(B241,'DATA-COM'!A:B,2,FALSE),"-")</f>
        <v xml:space="preserve">Último </v>
      </c>
      <c r="N241" s="51">
        <f>IFERROR(VLOOKUP(B241,'STATUS INVEST FII'!$A$2:$N$404,12,0),"-")</f>
        <v>14504</v>
      </c>
      <c r="O241" s="54">
        <f>IFERROR(VLOOKUP(B241,'STATUS INVEST FII'!$A$2:$N$404,7,0),0)</f>
        <v>277158</v>
      </c>
    </row>
    <row r="242" spans="2:15" x14ac:dyDescent="0.25">
      <c r="B242" s="126" t="s">
        <v>329</v>
      </c>
      <c r="C242" s="9">
        <f>IFERROR(VLOOKUP(B242,'STATUS INVEST FII'!$A$2:$N$404,2,0),0)</f>
        <v>7.65</v>
      </c>
      <c r="D242" s="10">
        <f>IFERROR(VLOOKUP(B242,'STATUS INVEST FII'!$A$2:$N$404,4,0)/100,0)</f>
        <v>0.10060000000000001</v>
      </c>
      <c r="E242" s="11">
        <f>IFERROR(VLOOKUP(B242,'STATUS INVEST FII'!$A$2:$N$404,6,0),0)</f>
        <v>0.91</v>
      </c>
      <c r="F242" s="12">
        <f>IFERROR(VLOOKUP(B242,'STATUS INVEST FII'!$A$2:$N$404,8,0)/100,0)</f>
        <v>3.8599999999999995E-2</v>
      </c>
      <c r="G242" s="13">
        <f>IFERROR(VLOOKUP(B242,'STATUS INVEST FII'!$A$2:$N$404,9,0)/100,0)</f>
        <v>0</v>
      </c>
      <c r="H242" s="13">
        <f>IFERROR(VLOOKUP(B242,'STATUS INVEST FII'!$A$2:$N$404,10,0)/100,0)</f>
        <v>0</v>
      </c>
      <c r="I242" s="20">
        <f>IFERROR(VLOOKUP(B242,'STATUS INVEST FII'!$A$2:$N$404,11,0),0)</f>
        <v>216266276.78999999</v>
      </c>
      <c r="J242" s="24" t="str">
        <f>IFERROR(VLOOKUP(B242,'ATIVOS-GESTÃO'!$A$1:$C$329,2),"-")</f>
        <v>MONO</v>
      </c>
      <c r="K242" s="24" t="str">
        <f>IFERROR(VLOOKUP(B242,'ATIVOS-GESTÃO'!$A$1:$C$329,3),"-")</f>
        <v>MULTI</v>
      </c>
      <c r="L242" s="20" t="str">
        <f>IFERROR(VLOOKUP(B242,'STATUS INVEST FII'!$A$2:$N$404,13,0),"-")</f>
        <v>Ativa</v>
      </c>
      <c r="M242" s="20" t="str">
        <f>IFERROR(VLOOKUP(B242,'DATA-COM'!A:B,2,FALSE),"-")</f>
        <v xml:space="preserve">Quarto </v>
      </c>
      <c r="N242" s="51">
        <f>IFERROR(VLOOKUP(B242,'STATUS INVEST FII'!$A$2:$N$404,12,0),"-")</f>
        <v>8348</v>
      </c>
      <c r="O242" s="54">
        <f>IFERROR(VLOOKUP(B242,'STATUS INVEST FII'!$A$2:$N$404,7,0),0)</f>
        <v>583877.53</v>
      </c>
    </row>
    <row r="243" spans="2:15" x14ac:dyDescent="0.25">
      <c r="B243" s="126" t="s">
        <v>132</v>
      </c>
      <c r="C243" s="9">
        <f>IFERROR(VLOOKUP(B243,'STATUS INVEST FII'!$A$2:$N$404,2,0),0)</f>
        <v>64.02</v>
      </c>
      <c r="D243" s="10">
        <f>IFERROR(VLOOKUP(B243,'STATUS INVEST FII'!$A$2:$N$404,4,0)/100,0)</f>
        <v>0.10779999999999999</v>
      </c>
      <c r="E243" s="11">
        <f>IFERROR(VLOOKUP(B243,'STATUS INVEST FII'!$A$2:$N$404,6,0),0)</f>
        <v>0.81</v>
      </c>
      <c r="F243" s="12">
        <f>IFERROR(VLOOKUP(B243,'STATUS INVEST FII'!$A$2:$N$404,8,0)/100,0)</f>
        <v>3.9599999999999996E-2</v>
      </c>
      <c r="G243" s="13">
        <f>IFERROR(VLOOKUP(B243,'STATUS INVEST FII'!$A$2:$N$404,9,0)/100,0)</f>
        <v>-8.9399999999999993E-2</v>
      </c>
      <c r="H243" s="13">
        <f>IFERROR(VLOOKUP(B243,'STATUS INVEST FII'!$A$2:$N$404,10,0)/100,0)</f>
        <v>-0.12710000000000002</v>
      </c>
      <c r="I243" s="20">
        <f>IFERROR(VLOOKUP(B243,'STATUS INVEST FII'!$A$2:$N$404,11,0),0)</f>
        <v>355694653.81</v>
      </c>
      <c r="J243" s="24" t="str">
        <f>IFERROR(VLOOKUP(B243,'ATIVOS-GESTÃO'!$A$1:$C$329,2),"-")</f>
        <v>-</v>
      </c>
      <c r="K243" s="24" t="str">
        <f>IFERROR(VLOOKUP(B243,'ATIVOS-GESTÃO'!$A$1:$C$329,3),"-")</f>
        <v>-</v>
      </c>
      <c r="L243" s="20" t="str">
        <f>IFERROR(VLOOKUP(B243,'STATUS INVEST FII'!$A$2:$N$404,13,0),"-")</f>
        <v>Ativa</v>
      </c>
      <c r="M243" s="20" t="str">
        <f>IFERROR(VLOOKUP(B243,'DATA-COM'!A:B,2,FALSE),"-")</f>
        <v xml:space="preserve">Último </v>
      </c>
      <c r="N243" s="51">
        <f>IFERROR(VLOOKUP(B243,'STATUS INVEST FII'!$A$2:$N$404,12,0),"-")</f>
        <v>20529</v>
      </c>
      <c r="O243" s="54">
        <f>IFERROR(VLOOKUP(B243,'STATUS INVEST FII'!$A$2:$N$404,7,0),0)</f>
        <v>435273.35</v>
      </c>
    </row>
    <row r="244" spans="2:15" x14ac:dyDescent="0.25">
      <c r="B244" s="126" t="s">
        <v>136</v>
      </c>
      <c r="C244" s="9">
        <f>IFERROR(VLOOKUP(B244,'STATUS INVEST FII'!$A$2:$N$404,2,0),0)</f>
        <v>71.33</v>
      </c>
      <c r="D244" s="10">
        <f>IFERROR(VLOOKUP(B244,'STATUS INVEST FII'!$A$2:$N$404,4,0)/100,0)</f>
        <v>0.1186</v>
      </c>
      <c r="E244" s="11">
        <f>IFERROR(VLOOKUP(B244,'STATUS INVEST FII'!$A$2:$N$404,6,0),0)</f>
        <v>0.92</v>
      </c>
      <c r="F244" s="12">
        <f>IFERROR(VLOOKUP(B244,'STATUS INVEST FII'!$A$2:$N$404,8,0)/100,0)</f>
        <v>6.8999999999999999E-3</v>
      </c>
      <c r="G244" s="13">
        <f>IFERROR(VLOOKUP(B244,'STATUS INVEST FII'!$A$2:$N$404,9,0)/100,0)</f>
        <v>0</v>
      </c>
      <c r="H244" s="13">
        <f>IFERROR(VLOOKUP(B244,'STATUS INVEST FII'!$A$2:$N$404,10,0)/100,0)</f>
        <v>0</v>
      </c>
      <c r="I244" s="20">
        <f>IFERROR(VLOOKUP(B244,'STATUS INVEST FII'!$A$2:$N$404,11,0),0)</f>
        <v>424751758.00999999</v>
      </c>
      <c r="J244" s="24" t="str">
        <f>IFERROR(VLOOKUP(B244,'ATIVOS-GESTÃO'!$A$1:$C$329,2),"-")</f>
        <v>-</v>
      </c>
      <c r="K244" s="24" t="str">
        <f>IFERROR(VLOOKUP(B244,'ATIVOS-GESTÃO'!$A$1:$C$329,3),"-")</f>
        <v>-</v>
      </c>
      <c r="L244" s="20" t="str">
        <f>IFERROR(VLOOKUP(B244,'STATUS INVEST FII'!$A$2:$N$404,13,0),"-")</f>
        <v>Ativa</v>
      </c>
      <c r="M244" s="20" t="str">
        <f>IFERROR(VLOOKUP(B244,'DATA-COM'!A:B,2,FALSE),"-")</f>
        <v xml:space="preserve">Sexto </v>
      </c>
      <c r="N244" s="51">
        <f>IFERROR(VLOOKUP(B244,'STATUS INVEST FII'!$A$2:$N$404,12,0),"-")</f>
        <v>13799</v>
      </c>
      <c r="O244" s="54">
        <f>IFERROR(VLOOKUP(B244,'STATUS INVEST FII'!$A$2:$N$404,7,0),0)</f>
        <v>958636.56</v>
      </c>
    </row>
    <row r="245" spans="2:15" x14ac:dyDescent="0.25">
      <c r="B245" s="126" t="s">
        <v>140</v>
      </c>
      <c r="C245" s="9">
        <f>IFERROR(VLOOKUP(B245,'STATUS INVEST FII'!$A$2:$N$404,2,0),0)</f>
        <v>67</v>
      </c>
      <c r="D245" s="10">
        <f>IFERROR(VLOOKUP(B245,'STATUS INVEST FII'!$A$2:$N$404,4,0)/100,0)</f>
        <v>9.2100000000000015E-2</v>
      </c>
      <c r="E245" s="11">
        <f>IFERROR(VLOOKUP(B245,'STATUS INVEST FII'!$A$2:$N$404,6,0),0)</f>
        <v>0.77</v>
      </c>
      <c r="F245" s="12">
        <f>IFERROR(VLOOKUP(B245,'STATUS INVEST FII'!$A$2:$N$404,8,0)/100,0)</f>
        <v>3.0600000000000002E-2</v>
      </c>
      <c r="G245" s="13">
        <f>IFERROR(VLOOKUP(B245,'STATUS INVEST FII'!$A$2:$N$404,9,0)/100,0)</f>
        <v>-0.23649999999999999</v>
      </c>
      <c r="H245" s="13">
        <f>IFERROR(VLOOKUP(B245,'STATUS INVEST FII'!$A$2:$N$404,10,0)/100,0)</f>
        <v>-0.59970000000000001</v>
      </c>
      <c r="I245" s="20">
        <f>IFERROR(VLOOKUP(B245,'STATUS INVEST FII'!$A$2:$N$404,11,0),0)</f>
        <v>133592138.40000001</v>
      </c>
      <c r="J245" s="24" t="str">
        <f>IFERROR(VLOOKUP(B245,'ATIVOS-GESTÃO'!$A$1:$C$329,2),"-")</f>
        <v>-</v>
      </c>
      <c r="K245" s="24" t="str">
        <f>IFERROR(VLOOKUP(B245,'ATIVOS-GESTÃO'!$A$1:$C$329,3),"-")</f>
        <v>-</v>
      </c>
      <c r="L245" s="20" t="str">
        <f>IFERROR(VLOOKUP(B245,'STATUS INVEST FII'!$A$2:$N$404,13,0),"-")</f>
        <v>Ativa</v>
      </c>
      <c r="M245" s="20" t="str">
        <f>IFERROR(VLOOKUP(B245,'DATA-COM'!A:B,2,FALSE),"-")</f>
        <v xml:space="preserve">primeiro </v>
      </c>
      <c r="N245" s="51">
        <f>IFERROR(VLOOKUP(B245,'STATUS INVEST FII'!$A$2:$N$404,12,0),"-")</f>
        <v>2833</v>
      </c>
      <c r="O245" s="54">
        <f>IFERROR(VLOOKUP(B245,'STATUS INVEST FII'!$A$2:$N$404,7,0),0)</f>
        <v>23293.56</v>
      </c>
    </row>
    <row r="246" spans="2:15" x14ac:dyDescent="0.25">
      <c r="B246" s="126" t="s">
        <v>448</v>
      </c>
      <c r="C246" s="9">
        <f>IFERROR(VLOOKUP(B246,'STATUS INVEST FII'!$A$2:$N$404,2,0),0)</f>
        <v>80.819999999999993</v>
      </c>
      <c r="D246" s="10">
        <f>IFERROR(VLOOKUP(B246,'STATUS INVEST FII'!$A$2:$N$404,4,0)/100,0)</f>
        <v>5.3899999999999997E-2</v>
      </c>
      <c r="E246" s="11">
        <f>IFERROR(VLOOKUP(B246,'STATUS INVEST FII'!$A$2:$N$404,6,0),0)</f>
        <v>0.88</v>
      </c>
      <c r="F246" s="12">
        <f>IFERROR(VLOOKUP(B246,'STATUS INVEST FII'!$A$2:$N$404,8,0)/100,0)</f>
        <v>0.12470000000000001</v>
      </c>
      <c r="G246" s="13">
        <f>IFERROR(VLOOKUP(B246,'STATUS INVEST FII'!$A$2:$N$404,9,0)/100,0)</f>
        <v>0</v>
      </c>
      <c r="H246" s="13">
        <f>IFERROR(VLOOKUP(B246,'STATUS INVEST FII'!$A$2:$N$404,10,0)/100,0)</f>
        <v>0</v>
      </c>
      <c r="I246" s="20">
        <f>IFERROR(VLOOKUP(B246,'STATUS INVEST FII'!$A$2:$N$404,11,0),0)</f>
        <v>101203645.63</v>
      </c>
      <c r="J246" s="24" t="str">
        <f>IFERROR(VLOOKUP(B246,'ATIVOS-GESTÃO'!$A$1:$C$329,2),"-")</f>
        <v>MULTI</v>
      </c>
      <c r="K246" s="24" t="str">
        <f>IFERROR(VLOOKUP(B246,'ATIVOS-GESTÃO'!$A$1:$C$329,3),"-")</f>
        <v>-</v>
      </c>
      <c r="L246" s="20" t="str">
        <f>IFERROR(VLOOKUP(B246,'STATUS INVEST FII'!$A$2:$N$404,13,0),"-")</f>
        <v>Ativa</v>
      </c>
      <c r="M246" s="20" t="str">
        <f>IFERROR(VLOOKUP(B246,'DATA-COM'!A:B,2,FALSE),"-")</f>
        <v xml:space="preserve">Quinto </v>
      </c>
      <c r="N246" s="51">
        <f>IFERROR(VLOOKUP(B246,'STATUS INVEST FII'!$A$2:$N$404,12,0),"-")</f>
        <v>216</v>
      </c>
      <c r="O246" s="54">
        <f>IFERROR(VLOOKUP(B246,'STATUS INVEST FII'!$A$2:$N$404,7,0),0)</f>
        <v>24387</v>
      </c>
    </row>
    <row r="247" spans="2:15" x14ac:dyDescent="0.25">
      <c r="B247" s="126" t="s">
        <v>145</v>
      </c>
      <c r="C247" s="9">
        <f>IFERROR(VLOOKUP(B247,'STATUS INVEST FII'!$A$2:$N$404,2,0),0)</f>
        <v>77</v>
      </c>
      <c r="D247" s="10">
        <f>IFERROR(VLOOKUP(B247,'STATUS INVEST FII'!$A$2:$N$404,4,0)/100,0)</f>
        <v>0.1215</v>
      </c>
      <c r="E247" s="11">
        <f>IFERROR(VLOOKUP(B247,'STATUS INVEST FII'!$A$2:$N$404,6,0),0)</f>
        <v>0.84</v>
      </c>
      <c r="F247" s="12">
        <f>IFERROR(VLOOKUP(B247,'STATUS INVEST FII'!$A$2:$N$404,8,0)/100,0)</f>
        <v>1.43E-2</v>
      </c>
      <c r="G247" s="13">
        <f>IFERROR(VLOOKUP(B247,'STATUS INVEST FII'!$A$2:$N$404,9,0)/100,0)</f>
        <v>0</v>
      </c>
      <c r="H247" s="13">
        <f>IFERROR(VLOOKUP(B247,'STATUS INVEST FII'!$A$2:$N$404,10,0)/100,0)</f>
        <v>0</v>
      </c>
      <c r="I247" s="20">
        <f>IFERROR(VLOOKUP(B247,'STATUS INVEST FII'!$A$2:$N$404,11,0),0)</f>
        <v>30849715.41</v>
      </c>
      <c r="J247" s="24" t="str">
        <f>IFERROR(VLOOKUP(B247,'ATIVOS-GESTÃO'!$A$1:$C$329,2),"-")</f>
        <v>-</v>
      </c>
      <c r="K247" s="24" t="str">
        <f>IFERROR(VLOOKUP(B247,'ATIVOS-GESTÃO'!$A$1:$C$329,3),"-")</f>
        <v>-</v>
      </c>
      <c r="L247" s="20" t="str">
        <f>IFERROR(VLOOKUP(B247,'STATUS INVEST FII'!$A$2:$N$404,13,0),"-")</f>
        <v>Ativa</v>
      </c>
      <c r="M247" s="20" t="str">
        <f>IFERROR(VLOOKUP(B247,'DATA-COM'!A:B,2,FALSE),"-")</f>
        <v xml:space="preserve">Nono </v>
      </c>
      <c r="N247" s="51">
        <f>IFERROR(VLOOKUP(B247,'STATUS INVEST FII'!$A$2:$N$404,12,0),"-")</f>
        <v>1855</v>
      </c>
      <c r="O247" s="54">
        <f>IFERROR(VLOOKUP(B247,'STATUS INVEST FII'!$A$2:$N$404,7,0),0)</f>
        <v>85952.26</v>
      </c>
    </row>
    <row r="248" spans="2:15" x14ac:dyDescent="0.25">
      <c r="B248" s="126" t="s">
        <v>148</v>
      </c>
      <c r="C248" s="9">
        <f>IFERROR(VLOOKUP(B248,'STATUS INVEST FII'!$A$2:$N$404,2,0),0)</f>
        <v>76.42</v>
      </c>
      <c r="D248" s="10">
        <f>IFERROR(VLOOKUP(B248,'STATUS INVEST FII'!$A$2:$N$404,4,0)/100,0)</f>
        <v>9.3200000000000005E-2</v>
      </c>
      <c r="E248" s="11">
        <f>IFERROR(VLOOKUP(B248,'STATUS INVEST FII'!$A$2:$N$404,6,0),0)</f>
        <v>0.9</v>
      </c>
      <c r="F248" s="12">
        <f>IFERROR(VLOOKUP(B248,'STATUS INVEST FII'!$A$2:$N$404,8,0)/100,0)</f>
        <v>1.0500000000000001E-2</v>
      </c>
      <c r="G248" s="13">
        <f>IFERROR(VLOOKUP(B248,'STATUS INVEST FII'!$A$2:$N$404,9,0)/100,0)</f>
        <v>-0.1411</v>
      </c>
      <c r="H248" s="13">
        <f>IFERROR(VLOOKUP(B248,'STATUS INVEST FII'!$A$2:$N$404,10,0)/100,0)</f>
        <v>-7.9100000000000004E-2</v>
      </c>
      <c r="I248" s="20">
        <f>IFERROR(VLOOKUP(B248,'STATUS INVEST FII'!$A$2:$N$404,11,0),0)</f>
        <v>1946949756.21</v>
      </c>
      <c r="J248" s="24" t="str">
        <f>IFERROR(VLOOKUP(B248,'ATIVOS-GESTÃO'!$A$1:$C$329,2),"-")</f>
        <v>-</v>
      </c>
      <c r="K248" s="24" t="str">
        <f>IFERROR(VLOOKUP(B248,'ATIVOS-GESTÃO'!$A$1:$C$329,3),"-")</f>
        <v>-</v>
      </c>
      <c r="L248" s="20" t="str">
        <f>IFERROR(VLOOKUP(B248,'STATUS INVEST FII'!$A$2:$N$404,13,0),"-")</f>
        <v>Ativa</v>
      </c>
      <c r="M248" s="20" t="str">
        <f>IFERROR(VLOOKUP(B248,'DATA-COM'!A:B,2,FALSE),"-")</f>
        <v xml:space="preserve">Último </v>
      </c>
      <c r="N248" s="51">
        <f>IFERROR(VLOOKUP(B248,'STATUS INVEST FII'!$A$2:$N$404,12,0),"-")</f>
        <v>64786</v>
      </c>
      <c r="O248" s="54">
        <f>IFERROR(VLOOKUP(B248,'STATUS INVEST FII'!$A$2:$N$404,7,0),0)</f>
        <v>1611659.94</v>
      </c>
    </row>
    <row r="249" spans="2:15" x14ac:dyDescent="0.25">
      <c r="B249" s="126" t="s">
        <v>150</v>
      </c>
      <c r="C249" s="9">
        <f>IFERROR(VLOOKUP(B249,'STATUS INVEST FII'!$A$2:$N$404,2,0),0)</f>
        <v>71.25</v>
      </c>
      <c r="D249" s="10">
        <f>IFERROR(VLOOKUP(B249,'STATUS INVEST FII'!$A$2:$N$404,4,0)/100,0)</f>
        <v>0.09</v>
      </c>
      <c r="E249" s="11">
        <f>IFERROR(VLOOKUP(B249,'STATUS INVEST FII'!$A$2:$N$404,6,0),0)</f>
        <v>0.79</v>
      </c>
      <c r="F249" s="12">
        <f>IFERROR(VLOOKUP(B249,'STATUS INVEST FII'!$A$2:$N$404,8,0)/100,0)</f>
        <v>5.7800000000000004E-2</v>
      </c>
      <c r="G249" s="13">
        <f>IFERROR(VLOOKUP(B249,'STATUS INVEST FII'!$A$2:$N$404,9,0)/100,0)</f>
        <v>0</v>
      </c>
      <c r="H249" s="13">
        <f>IFERROR(VLOOKUP(B249,'STATUS INVEST FII'!$A$2:$N$404,10,0)/100,0)</f>
        <v>0</v>
      </c>
      <c r="I249" s="20">
        <f>IFERROR(VLOOKUP(B249,'STATUS INVEST FII'!$A$2:$N$404,11,0),0)</f>
        <v>256769477.40000001</v>
      </c>
      <c r="J249" s="24" t="str">
        <f>IFERROR(VLOOKUP(B249,'ATIVOS-GESTÃO'!$A$1:$C$329,2),"-")</f>
        <v>-</v>
      </c>
      <c r="K249" s="24" t="str">
        <f>IFERROR(VLOOKUP(B249,'ATIVOS-GESTÃO'!$A$1:$C$329,3),"-")</f>
        <v>-</v>
      </c>
      <c r="L249" s="20" t="str">
        <f>IFERROR(VLOOKUP(B249,'STATUS INVEST FII'!$A$2:$N$404,13,0),"-")</f>
        <v>Ativa</v>
      </c>
      <c r="M249" s="20" t="str">
        <f>IFERROR(VLOOKUP(B249,'DATA-COM'!A:B,2,FALSE),"-")</f>
        <v xml:space="preserve">Último </v>
      </c>
      <c r="N249" s="51">
        <f>IFERROR(VLOOKUP(B249,'STATUS INVEST FII'!$A$2:$N$404,12,0),"-")</f>
        <v>9174</v>
      </c>
      <c r="O249" s="54">
        <f>IFERROR(VLOOKUP(B249,'STATUS INVEST FII'!$A$2:$N$404,7,0),0)</f>
        <v>399139.71</v>
      </c>
    </row>
    <row r="250" spans="2:15" x14ac:dyDescent="0.25">
      <c r="B250" s="126" t="s">
        <v>152</v>
      </c>
      <c r="C250" s="9">
        <f>IFERROR(VLOOKUP(B250,'STATUS INVEST FII'!$A$2:$N$404,2,0),0)</f>
        <v>58.43</v>
      </c>
      <c r="D250" s="10">
        <f>IFERROR(VLOOKUP(B250,'STATUS INVEST FII'!$A$2:$N$404,4,0)/100,0)</f>
        <v>9.8900000000000002E-2</v>
      </c>
      <c r="E250" s="11">
        <f>IFERROR(VLOOKUP(B250,'STATUS INVEST FII'!$A$2:$N$404,6,0),0)</f>
        <v>0.78</v>
      </c>
      <c r="F250" s="12">
        <f>IFERROR(VLOOKUP(B250,'STATUS INVEST FII'!$A$2:$N$404,8,0)/100,0)</f>
        <v>2.2400000000000003E-2</v>
      </c>
      <c r="G250" s="13">
        <f>IFERROR(VLOOKUP(B250,'STATUS INVEST FII'!$A$2:$N$404,9,0)/100,0)</f>
        <v>0</v>
      </c>
      <c r="H250" s="13">
        <f>IFERROR(VLOOKUP(B250,'STATUS INVEST FII'!$A$2:$N$404,10,0)/100,0)</f>
        <v>0</v>
      </c>
      <c r="I250" s="20">
        <f>IFERROR(VLOOKUP(B250,'STATUS INVEST FII'!$A$2:$N$404,11,0),0)</f>
        <v>49324397.960000001</v>
      </c>
      <c r="J250" s="24" t="str">
        <f>IFERROR(VLOOKUP(B250,'ATIVOS-GESTÃO'!$A$1:$C$329,2),"-")</f>
        <v>-</v>
      </c>
      <c r="K250" s="24" t="str">
        <f>IFERROR(VLOOKUP(B250,'ATIVOS-GESTÃO'!$A$1:$C$329,3),"-")</f>
        <v>-</v>
      </c>
      <c r="L250" s="20" t="str">
        <f>IFERROR(VLOOKUP(B250,'STATUS INVEST FII'!$A$2:$N$404,13,0),"-")</f>
        <v>Ativa</v>
      </c>
      <c r="M250" s="20" t="str">
        <f>IFERROR(VLOOKUP(B250,'DATA-COM'!A:B,2,FALSE),"-")</f>
        <v xml:space="preserve">Sétimo </v>
      </c>
      <c r="N250" s="51">
        <f>IFERROR(VLOOKUP(B250,'STATUS INVEST FII'!$A$2:$N$404,12,0),"-")</f>
        <v>4736</v>
      </c>
      <c r="O250" s="54">
        <f>IFERROR(VLOOKUP(B250,'STATUS INVEST FII'!$A$2:$N$404,7,0),0)</f>
        <v>127046.97</v>
      </c>
    </row>
    <row r="251" spans="2:15" x14ac:dyDescent="0.25">
      <c r="B251" s="126" t="s">
        <v>364</v>
      </c>
      <c r="C251" s="9">
        <f>IFERROR(VLOOKUP(B251,'STATUS INVEST FII'!$A$2:$N$404,2,0),0)</f>
        <v>0</v>
      </c>
      <c r="D251" s="10">
        <f>IFERROR(VLOOKUP(B251,'STATUS INVEST FII'!$A$2:$N$404,4,0)/100,0)</f>
        <v>0</v>
      </c>
      <c r="E251" s="11">
        <f>IFERROR(VLOOKUP(B251,'STATUS INVEST FII'!$A$2:$N$404,6,0),0)</f>
        <v>0</v>
      </c>
      <c r="F251" s="12">
        <f>IFERROR(VLOOKUP(B251,'STATUS INVEST FII'!$A$2:$N$404,8,0)/100,0)</f>
        <v>0</v>
      </c>
      <c r="G251" s="13">
        <f>IFERROR(VLOOKUP(B251,'STATUS INVEST FII'!$A$2:$N$404,9,0)/100,0)</f>
        <v>0</v>
      </c>
      <c r="H251" s="13">
        <f>IFERROR(VLOOKUP(B251,'STATUS INVEST FII'!$A$2:$N$404,10,0)/100,0)</f>
        <v>0</v>
      </c>
      <c r="I251" s="20">
        <f>IFERROR(VLOOKUP(B251,'STATUS INVEST FII'!$A$2:$N$404,11,0),0)</f>
        <v>0</v>
      </c>
      <c r="J251" s="24" t="str">
        <f>IFERROR(VLOOKUP(B251,'ATIVOS-GESTÃO'!$A$1:$C$329,2),"-")</f>
        <v>-</v>
      </c>
      <c r="K251" s="24" t="str">
        <f>IFERROR(VLOOKUP(B251,'ATIVOS-GESTÃO'!$A$1:$C$329,3),"-")</f>
        <v>-</v>
      </c>
      <c r="L251" s="20" t="str">
        <f>IFERROR(VLOOKUP(B251,'STATUS INVEST FII'!$A$2:$N$404,13,0),"-")</f>
        <v>-</v>
      </c>
      <c r="M251" s="20" t="str">
        <f>IFERROR(VLOOKUP(B251,'DATA-COM'!A:B,2,FALSE),"-")</f>
        <v xml:space="preserve">Último </v>
      </c>
      <c r="N251" s="51" t="str">
        <f>IFERROR(VLOOKUP(B251,'STATUS INVEST FII'!$A$2:$N$404,12,0),"-")</f>
        <v>-</v>
      </c>
      <c r="O251" s="54">
        <f>IFERROR(VLOOKUP(B251,'STATUS INVEST FII'!$A$2:$N$404,7,0),0)</f>
        <v>0</v>
      </c>
    </row>
    <row r="252" spans="2:15" x14ac:dyDescent="0.25">
      <c r="B252" s="126" t="s">
        <v>269</v>
      </c>
      <c r="C252" s="9">
        <f>IFERROR(VLOOKUP(B252,'STATUS INVEST FII'!$A$2:$N$404,2,0),0)</f>
        <v>0</v>
      </c>
      <c r="D252" s="10">
        <f>IFERROR(VLOOKUP(B252,'STATUS INVEST FII'!$A$2:$N$404,4,0)/100,0)</f>
        <v>0</v>
      </c>
      <c r="E252" s="11">
        <f>IFERROR(VLOOKUP(B252,'STATUS INVEST FII'!$A$2:$N$404,6,0),0)</f>
        <v>0</v>
      </c>
      <c r="F252" s="12">
        <f>IFERROR(VLOOKUP(B252,'STATUS INVEST FII'!$A$2:$N$404,8,0)/100,0)</f>
        <v>0</v>
      </c>
      <c r="G252" s="13">
        <f>IFERROR(VLOOKUP(B252,'STATUS INVEST FII'!$A$2:$N$404,9,0)/100,0)</f>
        <v>0</v>
      </c>
      <c r="H252" s="13">
        <f>IFERROR(VLOOKUP(B252,'STATUS INVEST FII'!$A$2:$N$404,10,0)/100,0)</f>
        <v>0</v>
      </c>
      <c r="I252" s="20">
        <f>IFERROR(VLOOKUP(B252,'STATUS INVEST FII'!$A$2:$N$404,11,0),0)</f>
        <v>0</v>
      </c>
      <c r="J252" s="24" t="str">
        <f>IFERROR(VLOOKUP(B252,'ATIVOS-GESTÃO'!$A$1:$C$329,2),"-")</f>
        <v>-</v>
      </c>
      <c r="K252" s="24" t="str">
        <f>IFERROR(VLOOKUP(B252,'ATIVOS-GESTÃO'!$A$1:$C$329,3),"-")</f>
        <v>-</v>
      </c>
      <c r="L252" s="20" t="str">
        <f>IFERROR(VLOOKUP(B252,'STATUS INVEST FII'!$A$2:$N$404,13,0),"-")</f>
        <v>-</v>
      </c>
      <c r="M252" s="20" t="str">
        <f>IFERROR(VLOOKUP(B252,'DATA-COM'!A:B,2,FALSE),"-")</f>
        <v xml:space="preserve">Último </v>
      </c>
      <c r="N252" s="51" t="str">
        <f>IFERROR(VLOOKUP(B252,'STATUS INVEST FII'!$A$2:$N$404,12,0),"-")</f>
        <v>-</v>
      </c>
      <c r="O252" s="54">
        <f>IFERROR(VLOOKUP(B252,'STATUS INVEST FII'!$A$2:$N$404,7,0),0)</f>
        <v>0</v>
      </c>
    </row>
    <row r="253" spans="2:15" x14ac:dyDescent="0.25">
      <c r="B253" s="126" t="s">
        <v>434</v>
      </c>
      <c r="C253" s="9">
        <f>IFERROR(VLOOKUP(B253,'STATUS INVEST FII'!$A$2:$N$404,2,0),0)</f>
        <v>84.9</v>
      </c>
      <c r="D253" s="10">
        <f>IFERROR(VLOOKUP(B253,'STATUS INVEST FII'!$A$2:$N$404,4,0)/100,0)</f>
        <v>2.7300000000000001E-2</v>
      </c>
      <c r="E253" s="11">
        <f>IFERROR(VLOOKUP(B253,'STATUS INVEST FII'!$A$2:$N$404,6,0),0)</f>
        <v>0.87</v>
      </c>
      <c r="F253" s="12">
        <f>IFERROR(VLOOKUP(B253,'STATUS INVEST FII'!$A$2:$N$404,8,0)/100,0)</f>
        <v>0.32669999999999999</v>
      </c>
      <c r="G253" s="13">
        <f>IFERROR(VLOOKUP(B253,'STATUS INVEST FII'!$A$2:$N$404,9,0)/100,0)</f>
        <v>0</v>
      </c>
      <c r="H253" s="13">
        <f>IFERROR(VLOOKUP(B253,'STATUS INVEST FII'!$A$2:$N$404,10,0)/100,0)</f>
        <v>0</v>
      </c>
      <c r="I253" s="20">
        <f>IFERROR(VLOOKUP(B253,'STATUS INVEST FII'!$A$2:$N$404,11,0),0)</f>
        <v>153405785.47</v>
      </c>
      <c r="J253" s="24" t="str">
        <f>IFERROR(VLOOKUP(B253,'ATIVOS-GESTÃO'!$A$1:$C$329,2),"-")</f>
        <v>-</v>
      </c>
      <c r="K253" s="24" t="str">
        <f>IFERROR(VLOOKUP(B253,'ATIVOS-GESTÃO'!$A$1:$C$329,3),"-")</f>
        <v>-</v>
      </c>
      <c r="L253" s="20" t="str">
        <f>IFERROR(VLOOKUP(B253,'STATUS INVEST FII'!$A$2:$N$404,13,0),"-")</f>
        <v>Ativa</v>
      </c>
      <c r="M253" s="20" t="str">
        <f>IFERROR(VLOOKUP(B253,'DATA-COM'!A:B,2,FALSE),"-")</f>
        <v>-</v>
      </c>
      <c r="N253" s="51">
        <f>IFERROR(VLOOKUP(B253,'STATUS INVEST FII'!$A$2:$N$404,12,0),"-")</f>
        <v>1768</v>
      </c>
      <c r="O253" s="54">
        <f>IFERROR(VLOOKUP(B253,'STATUS INVEST FII'!$A$2:$N$404,7,0),0)</f>
        <v>61809.38</v>
      </c>
    </row>
    <row r="254" spans="2:15" x14ac:dyDescent="0.25">
      <c r="B254" s="126" t="s">
        <v>155</v>
      </c>
      <c r="C254" s="9">
        <f>IFERROR(VLOOKUP(B254,'STATUS INVEST FII'!$A$2:$N$404,2,0),0)</f>
        <v>78.17</v>
      </c>
      <c r="D254" s="10">
        <f>IFERROR(VLOOKUP(B254,'STATUS INVEST FII'!$A$2:$N$404,4,0)/100,0)</f>
        <v>9.1400000000000009E-2</v>
      </c>
      <c r="E254" s="11">
        <f>IFERROR(VLOOKUP(B254,'STATUS INVEST FII'!$A$2:$N$404,6,0),0)</f>
        <v>0.83</v>
      </c>
      <c r="F254" s="12">
        <f>IFERROR(VLOOKUP(B254,'STATUS INVEST FII'!$A$2:$N$404,8,0)/100,0)</f>
        <v>1.06E-2</v>
      </c>
      <c r="G254" s="13">
        <f>IFERROR(VLOOKUP(B254,'STATUS INVEST FII'!$A$2:$N$404,9,0)/100,0)</f>
        <v>2.6200000000000001E-2</v>
      </c>
      <c r="H254" s="13">
        <f>IFERROR(VLOOKUP(B254,'STATUS INVEST FII'!$A$2:$N$404,10,0)/100,0)</f>
        <v>-7.8799999999999995E-2</v>
      </c>
      <c r="I254" s="20">
        <f>IFERROR(VLOOKUP(B254,'STATUS INVEST FII'!$A$2:$N$404,11,0),0)</f>
        <v>425739199.80000001</v>
      </c>
      <c r="J254" s="24" t="str">
        <f>IFERROR(VLOOKUP(B254,'ATIVOS-GESTÃO'!$A$1:$C$329,2),"-")</f>
        <v>-</v>
      </c>
      <c r="K254" s="24" t="str">
        <f>IFERROR(VLOOKUP(B254,'ATIVOS-GESTÃO'!$A$1:$C$329,3),"-")</f>
        <v>-</v>
      </c>
      <c r="L254" s="20" t="str">
        <f>IFERROR(VLOOKUP(B254,'STATUS INVEST FII'!$A$2:$N$404,13,0),"-")</f>
        <v>Ativa</v>
      </c>
      <c r="M254" s="20" t="str">
        <f>IFERROR(VLOOKUP(B254,'DATA-COM'!A:B,2,FALSE),"-")</f>
        <v xml:space="preserve">Último </v>
      </c>
      <c r="N254" s="51">
        <f>IFERROR(VLOOKUP(B254,'STATUS INVEST FII'!$A$2:$N$404,12,0),"-")</f>
        <v>8085</v>
      </c>
      <c r="O254" s="54">
        <f>IFERROR(VLOOKUP(B254,'STATUS INVEST FII'!$A$2:$N$404,7,0),0)</f>
        <v>522532.06</v>
      </c>
    </row>
    <row r="255" spans="2:15" x14ac:dyDescent="0.25">
      <c r="B255" s="126" t="s">
        <v>312</v>
      </c>
      <c r="C255" s="9">
        <f>IFERROR(VLOOKUP(B255,'STATUS INVEST FII'!$A$2:$N$404,2,0),0)</f>
        <v>7.78</v>
      </c>
      <c r="D255" s="10">
        <f>IFERROR(VLOOKUP(B255,'STATUS INVEST FII'!$A$2:$N$404,4,0)/100,0)</f>
        <v>0.10220000000000001</v>
      </c>
      <c r="E255" s="11">
        <f>IFERROR(VLOOKUP(B255,'STATUS INVEST FII'!$A$2:$N$404,6,0),0)</f>
        <v>0.83</v>
      </c>
      <c r="F255" s="12">
        <f>IFERROR(VLOOKUP(B255,'STATUS INVEST FII'!$A$2:$N$404,8,0)/100,0)</f>
        <v>6.2199999999999998E-2</v>
      </c>
      <c r="G255" s="13">
        <f>IFERROR(VLOOKUP(B255,'STATUS INVEST FII'!$A$2:$N$404,9,0)/100,0)</f>
        <v>0</v>
      </c>
      <c r="H255" s="13">
        <f>IFERROR(VLOOKUP(B255,'STATUS INVEST FII'!$A$2:$N$404,10,0)/100,0)</f>
        <v>0</v>
      </c>
      <c r="I255" s="20">
        <f>IFERROR(VLOOKUP(B255,'STATUS INVEST FII'!$A$2:$N$404,11,0),0)</f>
        <v>412682158.61000001</v>
      </c>
      <c r="J255" s="24" t="str">
        <f>IFERROR(VLOOKUP(B255,'ATIVOS-GESTÃO'!$A$1:$C$329,2),"-")</f>
        <v>-</v>
      </c>
      <c r="K255" s="24" t="str">
        <f>IFERROR(VLOOKUP(B255,'ATIVOS-GESTÃO'!$A$1:$C$329,3),"-")</f>
        <v>-</v>
      </c>
      <c r="L255" s="20" t="str">
        <f>IFERROR(VLOOKUP(B255,'STATUS INVEST FII'!$A$2:$N$404,13,0),"-")</f>
        <v>Ativa</v>
      </c>
      <c r="M255" s="20" t="str">
        <f>IFERROR(VLOOKUP(B255,'DATA-COM'!A:B,2,FALSE),"-")</f>
        <v xml:space="preserve">Último </v>
      </c>
      <c r="N255" s="51">
        <f>IFERROR(VLOOKUP(B255,'STATUS INVEST FII'!$A$2:$N$404,12,0),"-")</f>
        <v>53564</v>
      </c>
      <c r="O255" s="54">
        <f>IFERROR(VLOOKUP(B255,'STATUS INVEST FII'!$A$2:$N$404,7,0),0)</f>
        <v>975503.21</v>
      </c>
    </row>
    <row r="256" spans="2:15" x14ac:dyDescent="0.25">
      <c r="B256" s="126" t="s">
        <v>442</v>
      </c>
      <c r="C256" s="9">
        <f>IFERROR(VLOOKUP(B256,'STATUS INVEST FII'!$A$2:$N$404,2,0),0)</f>
        <v>98.68</v>
      </c>
      <c r="D256" s="10">
        <f>IFERROR(VLOOKUP(B256,'STATUS INVEST FII'!$A$2:$N$404,4,0)/100,0)</f>
        <v>4.6500000000000007E-2</v>
      </c>
      <c r="E256" s="11">
        <f>IFERROR(VLOOKUP(B256,'STATUS INVEST FII'!$A$2:$N$404,6,0),0)</f>
        <v>1.01</v>
      </c>
      <c r="F256" s="12">
        <f>IFERROR(VLOOKUP(B256,'STATUS INVEST FII'!$A$2:$N$404,8,0)/100,0)</f>
        <v>0.15560000000000002</v>
      </c>
      <c r="G256" s="13">
        <f>IFERROR(VLOOKUP(B256,'STATUS INVEST FII'!$A$2:$N$404,9,0)/100,0)</f>
        <v>0</v>
      </c>
      <c r="H256" s="13">
        <f>IFERROR(VLOOKUP(B256,'STATUS INVEST FII'!$A$2:$N$404,10,0)/100,0)</f>
        <v>0</v>
      </c>
      <c r="I256" s="20">
        <f>IFERROR(VLOOKUP(B256,'STATUS INVEST FII'!$A$2:$N$404,11,0),0)</f>
        <v>33908738.450000003</v>
      </c>
      <c r="J256" s="24" t="str">
        <f>IFERROR(VLOOKUP(B256,'ATIVOS-GESTÃO'!$A$1:$C$329,2),"-")</f>
        <v>-</v>
      </c>
      <c r="K256" s="24" t="str">
        <f>IFERROR(VLOOKUP(B256,'ATIVOS-GESTÃO'!$A$1:$C$329,3),"-")</f>
        <v>-</v>
      </c>
      <c r="L256" s="20" t="str">
        <f>IFERROR(VLOOKUP(B256,'STATUS INVEST FII'!$A$2:$N$404,13,0),"-")</f>
        <v>Ativa</v>
      </c>
      <c r="M256" s="20" t="str">
        <f>IFERROR(VLOOKUP(B256,'DATA-COM'!A:B,2,FALSE),"-")</f>
        <v>-</v>
      </c>
      <c r="N256" s="51">
        <f>IFERROR(VLOOKUP(B256,'STATUS INVEST FII'!$A$2:$N$404,12,0),"-")</f>
        <v>218</v>
      </c>
      <c r="O256" s="54">
        <f>IFERROR(VLOOKUP(B256,'STATUS INVEST FII'!$A$2:$N$404,7,0),0)</f>
        <v>31470.41</v>
      </c>
    </row>
    <row r="257" spans="2:15" x14ac:dyDescent="0.25">
      <c r="B257" s="126" t="s">
        <v>451</v>
      </c>
      <c r="C257" s="9">
        <f>IFERROR(VLOOKUP(B257,'STATUS INVEST FII'!$A$2:$N$404,2,0),0)</f>
        <v>10.01</v>
      </c>
      <c r="D257" s="10">
        <f>IFERROR(VLOOKUP(B257,'STATUS INVEST FII'!$A$2:$N$404,4,0)/100,0)</f>
        <v>7.4900000000000008E-2</v>
      </c>
      <c r="E257" s="11">
        <f>IFERROR(VLOOKUP(B257,'STATUS INVEST FII'!$A$2:$N$404,6,0),0)</f>
        <v>0.98</v>
      </c>
      <c r="F257" s="12">
        <f>IFERROR(VLOOKUP(B257,'STATUS INVEST FII'!$A$2:$N$404,8,0)/100,0)</f>
        <v>1.38E-2</v>
      </c>
      <c r="G257" s="13">
        <f>IFERROR(VLOOKUP(B257,'STATUS INVEST FII'!$A$2:$N$404,9,0)/100,0)</f>
        <v>0</v>
      </c>
      <c r="H257" s="13">
        <f>IFERROR(VLOOKUP(B257,'STATUS INVEST FII'!$A$2:$N$404,10,0)/100,0)</f>
        <v>0</v>
      </c>
      <c r="I257" s="20">
        <f>IFERROR(VLOOKUP(B257,'STATUS INVEST FII'!$A$2:$N$404,11,0),0)</f>
        <v>84959465.620000005</v>
      </c>
      <c r="J257" s="24" t="str">
        <f>IFERROR(VLOOKUP(B257,'ATIVOS-GESTÃO'!$A$1:$C$329,2),"-")</f>
        <v>-</v>
      </c>
      <c r="K257" s="24" t="str">
        <f>IFERROR(VLOOKUP(B257,'ATIVOS-GESTÃO'!$A$1:$C$329,3),"-")</f>
        <v>-</v>
      </c>
      <c r="L257" s="20" t="str">
        <f>IFERROR(VLOOKUP(B257,'STATUS INVEST FII'!$A$2:$N$404,13,0),"-")</f>
        <v>Ativa</v>
      </c>
      <c r="M257" s="20" t="str">
        <f>IFERROR(VLOOKUP(B257,'DATA-COM'!A:B,2,FALSE),"-")</f>
        <v xml:space="preserve">Oitavo </v>
      </c>
      <c r="N257" s="51">
        <f>IFERROR(VLOOKUP(B257,'STATUS INVEST FII'!$A$2:$N$404,12,0),"-")</f>
        <v>3436</v>
      </c>
      <c r="O257" s="54">
        <f>IFERROR(VLOOKUP(B257,'STATUS INVEST FII'!$A$2:$N$404,7,0),0)</f>
        <v>422407.71</v>
      </c>
    </row>
    <row r="258" spans="2:15" x14ac:dyDescent="0.25">
      <c r="B258" s="126" t="s">
        <v>161</v>
      </c>
      <c r="C258" s="9">
        <f>IFERROR(VLOOKUP(B258,'STATUS INVEST FII'!$A$2:$N$404,2,0),0)</f>
        <v>74.98</v>
      </c>
      <c r="D258" s="10">
        <f>IFERROR(VLOOKUP(B258,'STATUS INVEST FII'!$A$2:$N$404,4,0)/100,0)</f>
        <v>0.12240000000000001</v>
      </c>
      <c r="E258" s="11">
        <f>IFERROR(VLOOKUP(B258,'STATUS INVEST FII'!$A$2:$N$404,6,0),0)</f>
        <v>0.9</v>
      </c>
      <c r="F258" s="12">
        <f>IFERROR(VLOOKUP(B258,'STATUS INVEST FII'!$A$2:$N$404,8,0)/100,0)</f>
        <v>6.4000000000000001E-2</v>
      </c>
      <c r="G258" s="13">
        <f>IFERROR(VLOOKUP(B258,'STATUS INVEST FII'!$A$2:$N$404,9,0)/100,0)</f>
        <v>0</v>
      </c>
      <c r="H258" s="13">
        <f>IFERROR(VLOOKUP(B258,'STATUS INVEST FII'!$A$2:$N$404,10,0)/100,0)</f>
        <v>0</v>
      </c>
      <c r="I258" s="20">
        <f>IFERROR(VLOOKUP(B258,'STATUS INVEST FII'!$A$2:$N$404,11,0),0)</f>
        <v>25160753.050000001</v>
      </c>
      <c r="J258" s="24" t="str">
        <f>IFERROR(VLOOKUP(B258,'ATIVOS-GESTÃO'!$A$1:$C$329,2),"-")</f>
        <v>-</v>
      </c>
      <c r="K258" s="24" t="str">
        <f>IFERROR(VLOOKUP(B258,'ATIVOS-GESTÃO'!$A$1:$C$329,3),"-")</f>
        <v>-</v>
      </c>
      <c r="L258" s="20" t="str">
        <f>IFERROR(VLOOKUP(B258,'STATUS INVEST FII'!$A$2:$N$404,13,0),"-")</f>
        <v>Ativa</v>
      </c>
      <c r="M258" s="20" t="str">
        <f>IFERROR(VLOOKUP(B258,'DATA-COM'!A:B,2,FALSE),"-")</f>
        <v xml:space="preserve">Último </v>
      </c>
      <c r="N258" s="51">
        <f>IFERROR(VLOOKUP(B258,'STATUS INVEST FII'!$A$2:$N$404,12,0),"-")</f>
        <v>3789</v>
      </c>
      <c r="O258" s="54">
        <f>IFERROR(VLOOKUP(B258,'STATUS INVEST FII'!$A$2:$N$404,7,0),0)</f>
        <v>41496.559999999998</v>
      </c>
    </row>
    <row r="259" spans="2:15" x14ac:dyDescent="0.25">
      <c r="B259" s="126" t="s">
        <v>162</v>
      </c>
      <c r="C259" s="9">
        <f>IFERROR(VLOOKUP(B259,'STATUS INVEST FII'!$A$2:$N$404,2,0),0)</f>
        <v>61.24</v>
      </c>
      <c r="D259" s="10">
        <f>IFERROR(VLOOKUP(B259,'STATUS INVEST FII'!$A$2:$N$404,4,0)/100,0)</f>
        <v>0.1079</v>
      </c>
      <c r="E259" s="11">
        <f>IFERROR(VLOOKUP(B259,'STATUS INVEST FII'!$A$2:$N$404,6,0),0)</f>
        <v>0.79</v>
      </c>
      <c r="F259" s="12">
        <f>IFERROR(VLOOKUP(B259,'STATUS INVEST FII'!$A$2:$N$404,8,0)/100,0)</f>
        <v>8.6500000000000007E-2</v>
      </c>
      <c r="G259" s="13">
        <f>IFERROR(VLOOKUP(B259,'STATUS INVEST FII'!$A$2:$N$404,9,0)/100,0)</f>
        <v>-9.8900000000000002E-2</v>
      </c>
      <c r="H259" s="13">
        <f>IFERROR(VLOOKUP(B259,'STATUS INVEST FII'!$A$2:$N$404,10,0)/100,0)</f>
        <v>-0.12809999999999999</v>
      </c>
      <c r="I259" s="20">
        <f>IFERROR(VLOOKUP(B259,'STATUS INVEST FII'!$A$2:$N$404,11,0),0)</f>
        <v>705006354.13</v>
      </c>
      <c r="J259" s="24" t="str">
        <f>IFERROR(VLOOKUP(B259,'ATIVOS-GESTÃO'!$A$1:$C$329,2),"-")</f>
        <v>-</v>
      </c>
      <c r="K259" s="24" t="str">
        <f>IFERROR(VLOOKUP(B259,'ATIVOS-GESTÃO'!$A$1:$C$329,3),"-")</f>
        <v>-</v>
      </c>
      <c r="L259" s="20" t="str">
        <f>IFERROR(VLOOKUP(B259,'STATUS INVEST FII'!$A$2:$N$404,13,0),"-")</f>
        <v>Ativa</v>
      </c>
      <c r="M259" s="20" t="str">
        <f>IFERROR(VLOOKUP(B259,'DATA-COM'!A:B,2,FALSE),"-")</f>
        <v xml:space="preserve">Quinto </v>
      </c>
      <c r="N259" s="51">
        <f>IFERROR(VLOOKUP(B259,'STATUS INVEST FII'!$A$2:$N$404,12,0),"-")</f>
        <v>50102</v>
      </c>
      <c r="O259" s="54">
        <f>IFERROR(VLOOKUP(B259,'STATUS INVEST FII'!$A$2:$N$404,7,0),0)</f>
        <v>965333.24</v>
      </c>
    </row>
    <row r="260" spans="2:15" x14ac:dyDescent="0.25">
      <c r="B260" s="126" t="s">
        <v>163</v>
      </c>
      <c r="C260" s="9">
        <f>IFERROR(VLOOKUP(B260,'STATUS INVEST FII'!$A$2:$N$404,2,0),0)</f>
        <v>75.23</v>
      </c>
      <c r="D260" s="10">
        <f>IFERROR(VLOOKUP(B260,'STATUS INVEST FII'!$A$2:$N$404,4,0)/100,0)</f>
        <v>0.1032</v>
      </c>
      <c r="E260" s="11">
        <f>IFERROR(VLOOKUP(B260,'STATUS INVEST FII'!$A$2:$N$404,6,0),0)</f>
        <v>0.84</v>
      </c>
      <c r="F260" s="12">
        <f>IFERROR(VLOOKUP(B260,'STATUS INVEST FII'!$A$2:$N$404,8,0)/100,0)</f>
        <v>4.4800000000000006E-2</v>
      </c>
      <c r="G260" s="13">
        <f>IFERROR(VLOOKUP(B260,'STATUS INVEST FII'!$A$2:$N$404,9,0)/100,0)</f>
        <v>0</v>
      </c>
      <c r="H260" s="13">
        <f>IFERROR(VLOOKUP(B260,'STATUS INVEST FII'!$A$2:$N$404,10,0)/100,0)</f>
        <v>0</v>
      </c>
      <c r="I260" s="20">
        <f>IFERROR(VLOOKUP(B260,'STATUS INVEST FII'!$A$2:$N$404,11,0),0)</f>
        <v>207536642.13999999</v>
      </c>
      <c r="J260" s="24" t="str">
        <f>IFERROR(VLOOKUP(B260,'ATIVOS-GESTÃO'!$A$1:$C$329,2),"-")</f>
        <v>-</v>
      </c>
      <c r="K260" s="24" t="str">
        <f>IFERROR(VLOOKUP(B260,'ATIVOS-GESTÃO'!$A$1:$C$329,3),"-")</f>
        <v>-</v>
      </c>
      <c r="L260" s="20" t="str">
        <f>IFERROR(VLOOKUP(B260,'STATUS INVEST FII'!$A$2:$N$404,13,0),"-")</f>
        <v>Ativa</v>
      </c>
      <c r="M260" s="20" t="str">
        <f>IFERROR(VLOOKUP(B260,'DATA-COM'!A:B,2,FALSE),"-")</f>
        <v xml:space="preserve">Nono </v>
      </c>
      <c r="N260" s="51">
        <f>IFERROR(VLOOKUP(B260,'STATUS INVEST FII'!$A$2:$N$404,12,0),"-")</f>
        <v>12828</v>
      </c>
      <c r="O260" s="54">
        <f>IFERROR(VLOOKUP(B260,'STATUS INVEST FII'!$A$2:$N$404,7,0),0)</f>
        <v>606234.43999999994</v>
      </c>
    </row>
    <row r="261" spans="2:15" x14ac:dyDescent="0.25">
      <c r="B261" s="126" t="s">
        <v>327</v>
      </c>
      <c r="C261" s="9">
        <f>IFERROR(VLOOKUP(B261,'STATUS INVEST FII'!$A$2:$N$404,2,0),0)</f>
        <v>72.34</v>
      </c>
      <c r="D261" s="10">
        <f>IFERROR(VLOOKUP(B261,'STATUS INVEST FII'!$A$2:$N$404,4,0)/100,0)</f>
        <v>8.1699999999999995E-2</v>
      </c>
      <c r="E261" s="11">
        <f>IFERROR(VLOOKUP(B261,'STATUS INVEST FII'!$A$2:$N$404,6,0),0)</f>
        <v>0.79</v>
      </c>
      <c r="F261" s="12">
        <f>IFERROR(VLOOKUP(B261,'STATUS INVEST FII'!$A$2:$N$404,8,0)/100,0)</f>
        <v>0.1351</v>
      </c>
      <c r="G261" s="13">
        <f>IFERROR(VLOOKUP(B261,'STATUS INVEST FII'!$A$2:$N$404,9,0)/100,0)</f>
        <v>0</v>
      </c>
      <c r="H261" s="13">
        <f>IFERROR(VLOOKUP(B261,'STATUS INVEST FII'!$A$2:$N$404,10,0)/100,0)</f>
        <v>0</v>
      </c>
      <c r="I261" s="20">
        <f>IFERROR(VLOOKUP(B261,'STATUS INVEST FII'!$A$2:$N$404,11,0),0)</f>
        <v>95922268.239999995</v>
      </c>
      <c r="J261" s="24" t="str">
        <f>IFERROR(VLOOKUP(B261,'ATIVOS-GESTÃO'!$A$1:$C$329,2),"-")</f>
        <v>-</v>
      </c>
      <c r="K261" s="24" t="str">
        <f>IFERROR(VLOOKUP(B261,'ATIVOS-GESTÃO'!$A$1:$C$329,3),"-")</f>
        <v>-</v>
      </c>
      <c r="L261" s="20" t="str">
        <f>IFERROR(VLOOKUP(B261,'STATUS INVEST FII'!$A$2:$N$404,13,0),"-")</f>
        <v>Ativa</v>
      </c>
      <c r="M261" s="20" t="str">
        <f>IFERROR(VLOOKUP(B261,'DATA-COM'!A:B,2,FALSE),"-")</f>
        <v xml:space="preserve">Nono </v>
      </c>
      <c r="N261" s="51">
        <f>IFERROR(VLOOKUP(B261,'STATUS INVEST FII'!$A$2:$N$404,12,0),"-")</f>
        <v>1783</v>
      </c>
      <c r="O261" s="54">
        <f>IFERROR(VLOOKUP(B261,'STATUS INVEST FII'!$A$2:$N$404,7,0),0)</f>
        <v>131370.79</v>
      </c>
    </row>
    <row r="262" spans="2:15" x14ac:dyDescent="0.25">
      <c r="B262" s="126" t="s">
        <v>166</v>
      </c>
      <c r="C262" s="9">
        <f>IFERROR(VLOOKUP(B262,'STATUS INVEST FII'!$A$2:$N$404,2,0),0)</f>
        <v>63.74</v>
      </c>
      <c r="D262" s="10">
        <f>IFERROR(VLOOKUP(B262,'STATUS INVEST FII'!$A$2:$N$404,4,0)/100,0)</f>
        <v>0.1235</v>
      </c>
      <c r="E262" s="11">
        <f>IFERROR(VLOOKUP(B262,'STATUS INVEST FII'!$A$2:$N$404,6,0),0)</f>
        <v>0.8</v>
      </c>
      <c r="F262" s="12">
        <f>IFERROR(VLOOKUP(B262,'STATUS INVEST FII'!$A$2:$N$404,8,0)/100,0)</f>
        <v>4.5000000000000005E-3</v>
      </c>
      <c r="G262" s="13">
        <f>IFERROR(VLOOKUP(B262,'STATUS INVEST FII'!$A$2:$N$404,9,0)/100,0)</f>
        <v>0</v>
      </c>
      <c r="H262" s="13">
        <f>IFERROR(VLOOKUP(B262,'STATUS INVEST FII'!$A$2:$N$404,10,0)/100,0)</f>
        <v>0</v>
      </c>
      <c r="I262" s="20">
        <f>IFERROR(VLOOKUP(B262,'STATUS INVEST FII'!$A$2:$N$404,11,0),0)</f>
        <v>144582523.66999999</v>
      </c>
      <c r="J262" s="24" t="str">
        <f>IFERROR(VLOOKUP(B262,'ATIVOS-GESTÃO'!$A$1:$C$329,2),"-")</f>
        <v>-</v>
      </c>
      <c r="K262" s="24" t="str">
        <f>IFERROR(VLOOKUP(B262,'ATIVOS-GESTÃO'!$A$1:$C$329,3),"-")</f>
        <v>-</v>
      </c>
      <c r="L262" s="20" t="str">
        <f>IFERROR(VLOOKUP(B262,'STATUS INVEST FII'!$A$2:$N$404,13,0),"-")</f>
        <v>Ativa</v>
      </c>
      <c r="M262" s="20" t="str">
        <f>IFERROR(VLOOKUP(B262,'DATA-COM'!A:B,2,FALSE),"-")</f>
        <v xml:space="preserve">Décimo </v>
      </c>
      <c r="N262" s="51">
        <f>IFERROR(VLOOKUP(B262,'STATUS INVEST FII'!$A$2:$N$404,12,0),"-")</f>
        <v>8787</v>
      </c>
      <c r="O262" s="54">
        <f>IFERROR(VLOOKUP(B262,'STATUS INVEST FII'!$A$2:$N$404,7,0),0)</f>
        <v>204181.97</v>
      </c>
    </row>
    <row r="263" spans="2:15" x14ac:dyDescent="0.25">
      <c r="B263" s="126" t="s">
        <v>464</v>
      </c>
      <c r="C263" s="9">
        <f>IFERROR(VLOOKUP(B263,'STATUS INVEST FII'!$A$2:$N$404,2,0),0)</f>
        <v>86.12</v>
      </c>
      <c r="D263" s="10">
        <f>IFERROR(VLOOKUP(B263,'STATUS INVEST FII'!$A$2:$N$404,4,0)/100,0)</f>
        <v>8.9399999999999993E-2</v>
      </c>
      <c r="E263" s="11">
        <f>IFERROR(VLOOKUP(B263,'STATUS INVEST FII'!$A$2:$N$404,6,0),0)</f>
        <v>0.98</v>
      </c>
      <c r="F263" s="12">
        <f>IFERROR(VLOOKUP(B263,'STATUS INVEST FII'!$A$2:$N$404,8,0)/100,0)</f>
        <v>9.5999999999999992E-3</v>
      </c>
      <c r="G263" s="13">
        <f>IFERROR(VLOOKUP(B263,'STATUS INVEST FII'!$A$2:$N$404,9,0)/100,0)</f>
        <v>0</v>
      </c>
      <c r="H263" s="13">
        <f>IFERROR(VLOOKUP(B263,'STATUS INVEST FII'!$A$2:$N$404,10,0)/100,0)</f>
        <v>0</v>
      </c>
      <c r="I263" s="20">
        <f>IFERROR(VLOOKUP(B263,'STATUS INVEST FII'!$A$2:$N$404,11,0),0)</f>
        <v>13503706.619999999</v>
      </c>
      <c r="J263" s="45" t="str">
        <f>IFERROR(VLOOKUP(B263,'ATIVOS-GESTÃO'!$A$1:$C$329,2),"-")</f>
        <v>-</v>
      </c>
      <c r="K263" s="45" t="str">
        <f>IFERROR(VLOOKUP(B263,'ATIVOS-GESTÃO'!$A$1:$C$329,3),"-")</f>
        <v>-</v>
      </c>
      <c r="L263" s="20" t="str">
        <f>IFERROR(VLOOKUP(B263,'STATUS INVEST FII'!$A$2:$N$404,13,0),"-")</f>
        <v>Passiva</v>
      </c>
      <c r="M263" s="20" t="str">
        <f>IFERROR(VLOOKUP(B263,'DATA-COM'!A:B,2,FALSE),"-")</f>
        <v xml:space="preserve">Último </v>
      </c>
      <c r="N263" s="51">
        <f>IFERROR(VLOOKUP(B263,'STATUS INVEST FII'!$A$2:$N$404,12,0),"-")</f>
        <v>165</v>
      </c>
      <c r="O263" s="54">
        <f>IFERROR(VLOOKUP(B263,'STATUS INVEST FII'!$A$2:$N$404,7,0),0)</f>
        <v>3644.7</v>
      </c>
    </row>
    <row r="264" spans="2:15" x14ac:dyDescent="0.25">
      <c r="B264" s="126" t="s">
        <v>177</v>
      </c>
      <c r="C264" s="9">
        <f>IFERROR(VLOOKUP(B264,'STATUS INVEST FII'!$A$2:$N$404,2,0),0)</f>
        <v>53</v>
      </c>
      <c r="D264" s="10">
        <f>IFERROR(VLOOKUP(B264,'STATUS INVEST FII'!$A$2:$N$404,4,0)/100,0)</f>
        <v>0.1072</v>
      </c>
      <c r="E264" s="11">
        <f>IFERROR(VLOOKUP(B264,'STATUS INVEST FII'!$A$2:$N$404,6,0),0)</f>
        <v>0.8</v>
      </c>
      <c r="F264" s="12">
        <f>IFERROR(VLOOKUP(B264,'STATUS INVEST FII'!$A$2:$N$404,8,0)/100,0)</f>
        <v>1.7899999999999999E-2</v>
      </c>
      <c r="G264" s="13">
        <f>IFERROR(VLOOKUP(B264,'STATUS INVEST FII'!$A$2:$N$404,9,0)/100,0)</f>
        <v>-0.12539999999999998</v>
      </c>
      <c r="H264" s="13">
        <f>IFERROR(VLOOKUP(B264,'STATUS INVEST FII'!$A$2:$N$404,10,0)/100,0)</f>
        <v>0</v>
      </c>
      <c r="I264" s="20">
        <f>IFERROR(VLOOKUP(B264,'STATUS INVEST FII'!$A$2:$N$404,11,0),0)</f>
        <v>253219830.88</v>
      </c>
      <c r="J264" s="24" t="str">
        <f>IFERROR(VLOOKUP(B264,'ATIVOS-GESTÃO'!$A$1:$C$329,2),"-")</f>
        <v>-</v>
      </c>
      <c r="K264" s="24" t="str">
        <f>IFERROR(VLOOKUP(B264,'ATIVOS-GESTÃO'!$A$1:$C$329,3),"-")</f>
        <v>-</v>
      </c>
      <c r="L264" s="20" t="str">
        <f>IFERROR(VLOOKUP(B264,'STATUS INVEST FII'!$A$2:$N$404,13,0),"-")</f>
        <v>Ativa</v>
      </c>
      <c r="M264" s="20" t="str">
        <f>IFERROR(VLOOKUP(B264,'DATA-COM'!A:B,2,FALSE),"-")</f>
        <v xml:space="preserve">Último </v>
      </c>
      <c r="N264" s="51">
        <f>IFERROR(VLOOKUP(B264,'STATUS INVEST FII'!$A$2:$N$404,12,0),"-")</f>
        <v>22134</v>
      </c>
      <c r="O264" s="54">
        <f>IFERROR(VLOOKUP(B264,'STATUS INVEST FII'!$A$2:$N$404,7,0),0)</f>
        <v>355518.76</v>
      </c>
    </row>
    <row r="265" spans="2:15" x14ac:dyDescent="0.25">
      <c r="B265" s="126" t="s">
        <v>258</v>
      </c>
      <c r="C265" s="9">
        <f>IFERROR(VLOOKUP(B265,'STATUS INVEST FII'!$A$2:$N$404,2,0),0)</f>
        <v>100</v>
      </c>
      <c r="D265" s="10">
        <f>IFERROR(VLOOKUP(B265,'STATUS INVEST FII'!$A$2:$N$404,4,0)/100,0)</f>
        <v>2.8300000000000002E-2</v>
      </c>
      <c r="E265" s="11">
        <f>IFERROR(VLOOKUP(B265,'STATUS INVEST FII'!$A$2:$N$404,6,0),0)</f>
        <v>1.04</v>
      </c>
      <c r="F265" s="12">
        <f>IFERROR(VLOOKUP(B265,'STATUS INVEST FII'!$A$2:$N$404,8,0)/100,0)</f>
        <v>0.1772</v>
      </c>
      <c r="G265" s="13">
        <f>IFERROR(VLOOKUP(B265,'STATUS INVEST FII'!$A$2:$N$404,9,0)/100,0)</f>
        <v>0</v>
      </c>
      <c r="H265" s="13">
        <f>IFERROR(VLOOKUP(B265,'STATUS INVEST FII'!$A$2:$N$404,10,0)/100,0)</f>
        <v>0</v>
      </c>
      <c r="I265" s="20">
        <f>IFERROR(VLOOKUP(B265,'STATUS INVEST FII'!$A$2:$N$404,11,0),0)</f>
        <v>30981067.969999999</v>
      </c>
      <c r="J265" s="24" t="str">
        <f>IFERROR(VLOOKUP(B265,'ATIVOS-GESTÃO'!$A$1:$C$329,2),"-")</f>
        <v>-</v>
      </c>
      <c r="K265" s="24" t="str">
        <f>IFERROR(VLOOKUP(B265,'ATIVOS-GESTÃO'!$A$1:$C$329,3),"-")</f>
        <v>-</v>
      </c>
      <c r="L265" s="20" t="str">
        <f>IFERROR(VLOOKUP(B265,'STATUS INVEST FII'!$A$2:$N$404,13,0),"-")</f>
        <v>Ativa</v>
      </c>
      <c r="M265" s="20" t="str">
        <f>IFERROR(VLOOKUP(B265,'DATA-COM'!A:B,2,FALSE),"-")</f>
        <v xml:space="preserve">Nono </v>
      </c>
      <c r="N265" s="51">
        <f>IFERROR(VLOOKUP(B265,'STATUS INVEST FII'!$A$2:$N$404,12,0),"-")</f>
        <v>78</v>
      </c>
      <c r="O265" s="54">
        <f>IFERROR(VLOOKUP(B265,'STATUS INVEST FII'!$A$2:$N$404,7,0),0)</f>
        <v>1046.75</v>
      </c>
    </row>
    <row r="266" spans="2:15" x14ac:dyDescent="0.25">
      <c r="B266" s="126" t="s">
        <v>338</v>
      </c>
      <c r="C266" s="9">
        <f>IFERROR(VLOOKUP(B266,'STATUS INVEST FII'!$A$2:$N$404,2,0),0)</f>
        <v>89.98</v>
      </c>
      <c r="D266" s="10">
        <f>IFERROR(VLOOKUP(B266,'STATUS INVEST FII'!$A$2:$N$404,4,0)/100,0)</f>
        <v>0.1027</v>
      </c>
      <c r="E266" s="11">
        <f>IFERROR(VLOOKUP(B266,'STATUS INVEST FII'!$A$2:$N$404,6,0),0)</f>
        <v>1.02</v>
      </c>
      <c r="F266" s="12">
        <f>IFERROR(VLOOKUP(B266,'STATUS INVEST FII'!$A$2:$N$404,8,0)/100,0)</f>
        <v>2.3799999999999998E-2</v>
      </c>
      <c r="G266" s="13">
        <f>IFERROR(VLOOKUP(B266,'STATUS INVEST FII'!$A$2:$N$404,9,0)/100,0)</f>
        <v>0</v>
      </c>
      <c r="H266" s="13">
        <f>IFERROR(VLOOKUP(B266,'STATUS INVEST FII'!$A$2:$N$404,10,0)/100,0)</f>
        <v>0</v>
      </c>
      <c r="I266" s="20">
        <f>IFERROR(VLOOKUP(B266,'STATUS INVEST FII'!$A$2:$N$404,11,0),0)</f>
        <v>19208298.219999999</v>
      </c>
      <c r="J266" s="24" t="str">
        <f>IFERROR(VLOOKUP(B266,'ATIVOS-GESTÃO'!$A$1:$C$329,2),"-")</f>
        <v>MULTI</v>
      </c>
      <c r="K266" s="24" t="str">
        <f>IFERROR(VLOOKUP(B266,'ATIVOS-GESTÃO'!$A$1:$C$329,3),"-")</f>
        <v>MULTI</v>
      </c>
      <c r="L266" s="20" t="str">
        <f>IFERROR(VLOOKUP(B266,'STATUS INVEST FII'!$A$2:$N$404,13,0),"-")</f>
        <v>Ativa</v>
      </c>
      <c r="M266" s="20" t="str">
        <f>IFERROR(VLOOKUP(B266,'DATA-COM'!A:B,2,FALSE),"-")</f>
        <v xml:space="preserve">Décimo </v>
      </c>
      <c r="N266" s="51">
        <f>IFERROR(VLOOKUP(B266,'STATUS INVEST FII'!$A$2:$N$404,12,0),"-")</f>
        <v>486</v>
      </c>
      <c r="O266" s="54">
        <f>IFERROR(VLOOKUP(B266,'STATUS INVEST FII'!$A$2:$N$404,7,0),0)</f>
        <v>5790.25</v>
      </c>
    </row>
    <row r="267" spans="2:15" x14ac:dyDescent="0.25">
      <c r="B267" s="126" t="s">
        <v>183</v>
      </c>
      <c r="C267" s="9">
        <f>IFERROR(VLOOKUP(B267,'STATUS INVEST FII'!$A$2:$N$404,2,0),0)</f>
        <v>69.05</v>
      </c>
      <c r="D267" s="10">
        <f>IFERROR(VLOOKUP(B267,'STATUS INVEST FII'!$A$2:$N$404,4,0)/100,0)</f>
        <v>0.10869999999999999</v>
      </c>
      <c r="E267" s="11">
        <f>IFERROR(VLOOKUP(B267,'STATUS INVEST FII'!$A$2:$N$404,6,0),0)</f>
        <v>0.81</v>
      </c>
      <c r="F267" s="12">
        <f>IFERROR(VLOOKUP(B267,'STATUS INVEST FII'!$A$2:$N$404,8,0)/100,0)</f>
        <v>8.1000000000000013E-3</v>
      </c>
      <c r="G267" s="13">
        <f>IFERROR(VLOOKUP(B267,'STATUS INVEST FII'!$A$2:$N$404,9,0)/100,0)</f>
        <v>0</v>
      </c>
      <c r="H267" s="13">
        <f>IFERROR(VLOOKUP(B267,'STATUS INVEST FII'!$A$2:$N$404,10,0)/100,0)</f>
        <v>0</v>
      </c>
      <c r="I267" s="20">
        <f>IFERROR(VLOOKUP(B267,'STATUS INVEST FII'!$A$2:$N$404,11,0),0)</f>
        <v>93232405.030000001</v>
      </c>
      <c r="J267" s="24" t="str">
        <f>IFERROR(VLOOKUP(B267,'ATIVOS-GESTÃO'!$A$1:$C$329,2),"-")</f>
        <v>-</v>
      </c>
      <c r="K267" s="24" t="str">
        <f>IFERROR(VLOOKUP(B267,'ATIVOS-GESTÃO'!$A$1:$C$329,3),"-")</f>
        <v>-</v>
      </c>
      <c r="L267" s="20" t="str">
        <f>IFERROR(VLOOKUP(B267,'STATUS INVEST FII'!$A$2:$N$404,13,0),"-")</f>
        <v>Ativa</v>
      </c>
      <c r="M267" s="20" t="str">
        <f>IFERROR(VLOOKUP(B267,'DATA-COM'!A:B,2,FALSE),"-")</f>
        <v xml:space="preserve">Último </v>
      </c>
      <c r="N267" s="51">
        <f>IFERROR(VLOOKUP(B267,'STATUS INVEST FII'!$A$2:$N$404,12,0),"-")</f>
        <v>6679</v>
      </c>
      <c r="O267" s="54">
        <f>IFERROR(VLOOKUP(B267,'STATUS INVEST FII'!$A$2:$N$404,7,0),0)</f>
        <v>181832.47</v>
      </c>
    </row>
    <row r="268" spans="2:15" x14ac:dyDescent="0.25">
      <c r="B268" s="126" t="s">
        <v>185</v>
      </c>
      <c r="C268" s="9">
        <f>IFERROR(VLOOKUP(B268,'STATUS INVEST FII'!$A$2:$N$404,2,0),0)</f>
        <v>80.36</v>
      </c>
      <c r="D268" s="10">
        <f>IFERROR(VLOOKUP(B268,'STATUS INVEST FII'!$A$2:$N$404,4,0)/100,0)</f>
        <v>0.11220000000000001</v>
      </c>
      <c r="E268" s="11">
        <f>IFERROR(VLOOKUP(B268,'STATUS INVEST FII'!$A$2:$N$404,6,0),0)</f>
        <v>0.9</v>
      </c>
      <c r="F268" s="12">
        <f>IFERROR(VLOOKUP(B268,'STATUS INVEST FII'!$A$2:$N$404,8,0)/100,0)</f>
        <v>2.6600000000000002E-2</v>
      </c>
      <c r="G268" s="13">
        <f>IFERROR(VLOOKUP(B268,'STATUS INVEST FII'!$A$2:$N$404,9,0)/100,0)</f>
        <v>0</v>
      </c>
      <c r="H268" s="13">
        <f>IFERROR(VLOOKUP(B268,'STATUS INVEST FII'!$A$2:$N$404,10,0)/100,0)</f>
        <v>0</v>
      </c>
      <c r="I268" s="20">
        <f>IFERROR(VLOOKUP(B268,'STATUS INVEST FII'!$A$2:$N$404,11,0),0)</f>
        <v>126323975.06</v>
      </c>
      <c r="J268" s="24" t="str">
        <f>IFERROR(VLOOKUP(B268,'ATIVOS-GESTÃO'!$A$1:$C$329,2),"-")</f>
        <v>-</v>
      </c>
      <c r="K268" s="24" t="str">
        <f>IFERROR(VLOOKUP(B268,'ATIVOS-GESTÃO'!$A$1:$C$329,3),"-")</f>
        <v>-</v>
      </c>
      <c r="L268" s="20" t="str">
        <f>IFERROR(VLOOKUP(B268,'STATUS INVEST FII'!$A$2:$N$404,13,0),"-")</f>
        <v>Ativa</v>
      </c>
      <c r="M268" s="20" t="str">
        <f>IFERROR(VLOOKUP(B268,'DATA-COM'!A:B,2,FALSE),"-")</f>
        <v xml:space="preserve">Sexto </v>
      </c>
      <c r="N268" s="51">
        <f>IFERROR(VLOOKUP(B268,'STATUS INVEST FII'!$A$2:$N$404,12,0),"-")</f>
        <v>11400</v>
      </c>
      <c r="O268" s="54">
        <f>IFERROR(VLOOKUP(B268,'STATUS INVEST FII'!$A$2:$N$404,7,0),0)</f>
        <v>307229.26</v>
      </c>
    </row>
    <row r="269" spans="2:15" x14ac:dyDescent="0.25">
      <c r="B269" s="126" t="s">
        <v>436</v>
      </c>
      <c r="C269" s="9">
        <f>IFERROR(VLOOKUP(B269,'STATUS INVEST FII'!$A$2:$N$404,2,0),0)</f>
        <v>87.9</v>
      </c>
      <c r="D269" s="10">
        <f>IFERROR(VLOOKUP(B269,'STATUS INVEST FII'!$A$2:$N$404,4,0)/100,0)</f>
        <v>5.8499999999999996E-2</v>
      </c>
      <c r="E269" s="11">
        <f>IFERROR(VLOOKUP(B269,'STATUS INVEST FII'!$A$2:$N$404,6,0),0)</f>
        <v>0.94</v>
      </c>
      <c r="F269" s="12">
        <f>IFERROR(VLOOKUP(B269,'STATUS INVEST FII'!$A$2:$N$404,8,0)/100,0)</f>
        <v>3.8699999999999998E-2</v>
      </c>
      <c r="G269" s="13">
        <f>IFERROR(VLOOKUP(B269,'STATUS INVEST FII'!$A$2:$N$404,9,0)/100,0)</f>
        <v>0</v>
      </c>
      <c r="H269" s="13">
        <f>IFERROR(VLOOKUP(B269,'STATUS INVEST FII'!$A$2:$N$404,10,0)/100,0)</f>
        <v>0</v>
      </c>
      <c r="I269" s="20">
        <f>IFERROR(VLOOKUP(B269,'STATUS INVEST FII'!$A$2:$N$404,11,0),0)</f>
        <v>230710296.21000001</v>
      </c>
      <c r="J269" s="24" t="str">
        <f>IFERROR(VLOOKUP(B269,'ATIVOS-GESTÃO'!$A$1:$C$329,2),"-")</f>
        <v>-</v>
      </c>
      <c r="K269" s="24" t="str">
        <f>IFERROR(VLOOKUP(B269,'ATIVOS-GESTÃO'!$A$1:$C$329,3),"-")</f>
        <v>-</v>
      </c>
      <c r="L269" s="20" t="str">
        <f>IFERROR(VLOOKUP(B269,'STATUS INVEST FII'!$A$2:$N$404,13,0),"-")</f>
        <v>Ativa</v>
      </c>
      <c r="M269" s="20" t="str">
        <f>IFERROR(VLOOKUP(B269,'DATA-COM'!A:B,2,FALSE),"-")</f>
        <v xml:space="preserve">Décimo primeiro </v>
      </c>
      <c r="N269" s="51">
        <f>IFERROR(VLOOKUP(B269,'STATUS INVEST FII'!$A$2:$N$404,12,0),"-")</f>
        <v>30751</v>
      </c>
      <c r="O269" s="54">
        <f>IFERROR(VLOOKUP(B269,'STATUS INVEST FII'!$A$2:$N$404,7,0),0)</f>
        <v>660144.79</v>
      </c>
    </row>
    <row r="270" spans="2:15" x14ac:dyDescent="0.25">
      <c r="B270" s="126" t="s">
        <v>345</v>
      </c>
      <c r="C270" s="9">
        <f>IFERROR(VLOOKUP(B270,'STATUS INVEST FII'!$A$2:$N$404,2,0),0)</f>
        <v>114.15</v>
      </c>
      <c r="D270" s="10">
        <f>IFERROR(VLOOKUP(B270,'STATUS INVEST FII'!$A$2:$N$404,4,0)/100,0)</f>
        <v>0</v>
      </c>
      <c r="E270" s="11">
        <f>IFERROR(VLOOKUP(B270,'STATUS INVEST FII'!$A$2:$N$404,6,0),0)</f>
        <v>1.06</v>
      </c>
      <c r="F270" s="12">
        <f>IFERROR(VLOOKUP(B270,'STATUS INVEST FII'!$A$2:$N$404,8,0)/100,0)</f>
        <v>1.3999999999999999E-2</v>
      </c>
      <c r="G270" s="13">
        <f>IFERROR(VLOOKUP(B270,'STATUS INVEST FII'!$A$2:$N$404,9,0)/100,0)</f>
        <v>0</v>
      </c>
      <c r="H270" s="13">
        <f>IFERROR(VLOOKUP(B270,'STATUS INVEST FII'!$A$2:$N$404,10,0)/100,0)</f>
        <v>0</v>
      </c>
      <c r="I270" s="20">
        <f>IFERROR(VLOOKUP(B270,'STATUS INVEST FII'!$A$2:$N$404,11,0),0)</f>
        <v>89900270.489999995</v>
      </c>
      <c r="J270" s="24" t="str">
        <f>IFERROR(VLOOKUP(B270,'ATIVOS-GESTÃO'!$A$1:$C$329,2),"-")</f>
        <v>MONO</v>
      </c>
      <c r="K270" s="24" t="str">
        <f>IFERROR(VLOOKUP(B270,'ATIVOS-GESTÃO'!$A$1:$C$329,3),"-")</f>
        <v>MULTI</v>
      </c>
      <c r="L270" s="20" t="str">
        <f>IFERROR(VLOOKUP(B270,'STATUS INVEST FII'!$A$2:$N$404,13,0),"-")</f>
        <v>Ativa</v>
      </c>
      <c r="M270" s="20" t="str">
        <f>IFERROR(VLOOKUP(B270,'DATA-COM'!A:B,2,FALSE),"-")</f>
        <v xml:space="preserve">Quinto </v>
      </c>
      <c r="N270" s="51">
        <f>IFERROR(VLOOKUP(B270,'STATUS INVEST FII'!$A$2:$N$404,12,0),"-")</f>
        <v>125</v>
      </c>
      <c r="O270" s="54">
        <f>IFERROR(VLOOKUP(B270,'STATUS INVEST FII'!$A$2:$N$404,7,0),0)</f>
        <v>500.33</v>
      </c>
    </row>
    <row r="271" spans="2:15" x14ac:dyDescent="0.25">
      <c r="B271" s="126" t="s">
        <v>190</v>
      </c>
      <c r="C271" s="9">
        <f>IFERROR(VLOOKUP(B271,'STATUS INVEST FII'!$A$2:$N$404,2,0),0)</f>
        <v>82</v>
      </c>
      <c r="D271" s="10">
        <f>IFERROR(VLOOKUP(B271,'STATUS INVEST FII'!$A$2:$N$404,4,0)/100,0)</f>
        <v>9.1700000000000004E-2</v>
      </c>
      <c r="E271" s="11">
        <f>IFERROR(VLOOKUP(B271,'STATUS INVEST FII'!$A$2:$N$404,6,0),0)</f>
        <v>0.91</v>
      </c>
      <c r="F271" s="12">
        <f>IFERROR(VLOOKUP(B271,'STATUS INVEST FII'!$A$2:$N$404,8,0)/100,0)</f>
        <v>7.7399999999999997E-2</v>
      </c>
      <c r="G271" s="13">
        <f>IFERROR(VLOOKUP(B271,'STATUS INVEST FII'!$A$2:$N$404,9,0)/100,0)</f>
        <v>0</v>
      </c>
      <c r="H271" s="13">
        <f>IFERROR(VLOOKUP(B271,'STATUS INVEST FII'!$A$2:$N$404,10,0)/100,0)</f>
        <v>0</v>
      </c>
      <c r="I271" s="20">
        <f>IFERROR(VLOOKUP(B271,'STATUS INVEST FII'!$A$2:$N$404,11,0),0)</f>
        <v>253093315.58000001</v>
      </c>
      <c r="J271" s="24" t="str">
        <f>IFERROR(VLOOKUP(B271,'ATIVOS-GESTÃO'!$A$1:$C$329,2),"-")</f>
        <v>-</v>
      </c>
      <c r="K271" s="24" t="str">
        <f>IFERROR(VLOOKUP(B271,'ATIVOS-GESTÃO'!$A$1:$C$329,3),"-")</f>
        <v>-</v>
      </c>
      <c r="L271" s="20" t="str">
        <f>IFERROR(VLOOKUP(B271,'STATUS INVEST FII'!$A$2:$N$404,13,0),"-")</f>
        <v>Ativa</v>
      </c>
      <c r="M271" s="20" t="str">
        <f>IFERROR(VLOOKUP(B271,'DATA-COM'!A:B,2,FALSE),"-")</f>
        <v xml:space="preserve">Último </v>
      </c>
      <c r="N271" s="51">
        <f>IFERROR(VLOOKUP(B271,'STATUS INVEST FII'!$A$2:$N$404,12,0),"-")</f>
        <v>6476</v>
      </c>
      <c r="O271" s="54">
        <f>IFERROR(VLOOKUP(B271,'STATUS INVEST FII'!$A$2:$N$404,7,0),0)</f>
        <v>499229.85</v>
      </c>
    </row>
    <row r="272" spans="2:15" x14ac:dyDescent="0.25">
      <c r="B272" s="126" t="s">
        <v>377</v>
      </c>
      <c r="C272" s="9">
        <f>IFERROR(VLOOKUP(B272,'STATUS INVEST FII'!$A$2:$N$404,2,0),0)</f>
        <v>0</v>
      </c>
      <c r="D272" s="10">
        <f>IFERROR(VLOOKUP(B272,'STATUS INVEST FII'!$A$2:$N$404,4,0)/100,0)</f>
        <v>0</v>
      </c>
      <c r="E272" s="11">
        <f>IFERROR(VLOOKUP(B272,'STATUS INVEST FII'!$A$2:$N$404,6,0),0)</f>
        <v>0</v>
      </c>
      <c r="F272" s="12">
        <f>IFERROR(VLOOKUP(B272,'STATUS INVEST FII'!$A$2:$N$404,8,0)/100,0)</f>
        <v>9.5999999999999992E-3</v>
      </c>
      <c r="G272" s="13">
        <f>IFERROR(VLOOKUP(B272,'STATUS INVEST FII'!$A$2:$N$404,9,0)/100,0)</f>
        <v>0</v>
      </c>
      <c r="H272" s="13">
        <f>IFERROR(VLOOKUP(B272,'STATUS INVEST FII'!$A$2:$N$404,10,0)/100,0)</f>
        <v>0</v>
      </c>
      <c r="I272" s="20">
        <f>IFERROR(VLOOKUP(B272,'STATUS INVEST FII'!$A$2:$N$404,11,0),0)</f>
        <v>68200831.090000004</v>
      </c>
      <c r="J272" s="24" t="str">
        <f>IFERROR(VLOOKUP(B272,'ATIVOS-GESTÃO'!$A$1:$C$329,2),"-")</f>
        <v>MONO</v>
      </c>
      <c r="K272" s="24" t="str">
        <f>IFERROR(VLOOKUP(B272,'ATIVOS-GESTÃO'!$A$1:$C$329,3),"-")</f>
        <v>MONO</v>
      </c>
      <c r="L272" s="20" t="str">
        <f>IFERROR(VLOOKUP(B272,'STATUS INVEST FII'!$A$2:$N$404,13,0),"-")</f>
        <v>Ativa</v>
      </c>
      <c r="M272" s="20" t="str">
        <f>IFERROR(VLOOKUP(B272,'DATA-COM'!A:B,2,FALSE),"-")</f>
        <v>-</v>
      </c>
      <c r="N272" s="51">
        <f>IFERROR(VLOOKUP(B272,'STATUS INVEST FII'!$A$2:$N$404,12,0),"-")</f>
        <v>1</v>
      </c>
      <c r="O272" s="54">
        <f>IFERROR(VLOOKUP(B272,'STATUS INVEST FII'!$A$2:$N$404,7,0),0)</f>
        <v>0</v>
      </c>
    </row>
    <row r="273" spans="2:15" ht="15.75" thickBot="1" x14ac:dyDescent="0.3">
      <c r="B273" s="134" t="s">
        <v>196</v>
      </c>
      <c r="C273" s="14">
        <f>IFERROR(VLOOKUP(B273,'STATUS INVEST FII'!$A$2:$N$404,2,0),0)</f>
        <v>73.36</v>
      </c>
      <c r="D273" s="15">
        <f>IFERROR(VLOOKUP(B273,'STATUS INVEST FII'!$A$2:$N$404,4,0)/100,0)</f>
        <v>0.11900000000000001</v>
      </c>
      <c r="E273" s="16">
        <f>IFERROR(VLOOKUP(B273,'STATUS INVEST FII'!$A$2:$N$404,6,0),0)</f>
        <v>0.84</v>
      </c>
      <c r="F273" s="17">
        <f>IFERROR(VLOOKUP(B273,'STATUS INVEST FII'!$A$2:$N$404,8,0)/100,0)</f>
        <v>1.34E-2</v>
      </c>
      <c r="G273" s="13">
        <f>IFERROR(VLOOKUP(B273,'STATUS INVEST FII'!$A$2:$N$404,9,0)/100,0)</f>
        <v>0</v>
      </c>
      <c r="H273" s="13">
        <f>IFERROR(VLOOKUP(B273,'STATUS INVEST FII'!$A$2:$N$404,10,0)/100,0)</f>
        <v>0</v>
      </c>
      <c r="I273" s="21">
        <f>IFERROR(VLOOKUP(B273,'STATUS INVEST FII'!$A$2:$N$404,11,0),0)</f>
        <v>381597067.91000003</v>
      </c>
      <c r="J273" s="25" t="str">
        <f>IFERROR(VLOOKUP(B273,'ATIVOS-GESTÃO'!$A$1:$C$329,2),"-")</f>
        <v>-</v>
      </c>
      <c r="K273" s="25" t="str">
        <f>IFERROR(VLOOKUP(B273,'ATIVOS-GESTÃO'!$A$1:$C$329,3),"-")</f>
        <v>-</v>
      </c>
      <c r="L273" s="21" t="str">
        <f>IFERROR(VLOOKUP(B273,'STATUS INVEST FII'!$A$2:$N$404,13,0),"-")</f>
        <v>Ativa</v>
      </c>
      <c r="M273" s="21" t="str">
        <f>IFERROR(VLOOKUP(B273,'DATA-COM'!A:B,2,FALSE),"-")</f>
        <v xml:space="preserve">Último </v>
      </c>
      <c r="N273" s="55">
        <f>IFERROR(VLOOKUP(B273,'STATUS INVEST FII'!$A$2:$N$404,12,0),"-")</f>
        <v>21382</v>
      </c>
      <c r="O273" s="56">
        <f>IFERROR(VLOOKUP(B273,'STATUS INVEST FII'!$A$2:$N$404,7,0),0)</f>
        <v>667701.47</v>
      </c>
    </row>
    <row r="274" spans="2:15" s="203" customFormat="1" ht="15.75" thickBot="1" x14ac:dyDescent="0.3">
      <c r="B274" s="216" t="s">
        <v>123</v>
      </c>
      <c r="C274" s="217">
        <f>IFERROR(VLOOKUP(B274,'STATUS INVEST FII'!$A$2:$N$404,2,0),0)</f>
        <v>0</v>
      </c>
      <c r="D274" s="218">
        <f>IFERROR(VLOOKUP(B274,'STATUS INVEST FII'!$A$2:$N$404,4,0)/100,0)</f>
        <v>0</v>
      </c>
      <c r="E274" s="218">
        <f>IFERROR(VLOOKUP(B274,'STATUS INVEST FII'!$A$2:$N$404,6,0),0)</f>
        <v>0</v>
      </c>
      <c r="F274" s="218">
        <f>IFERROR(VLOOKUP(B274,'STATUS INVEST FII'!$A$2:$N$404,8,0)/100,0)</f>
        <v>0</v>
      </c>
      <c r="G274" s="218">
        <f>IFERROR(VLOOKUP(B274,'STATUS INVEST FII'!$A$2:$N$404,9,0)/100,0)</f>
        <v>0</v>
      </c>
      <c r="H274" s="218">
        <f>IFERROR(VLOOKUP(B274,'STATUS INVEST FII'!$A$2:$N$404,10,0)/100,0)</f>
        <v>0</v>
      </c>
      <c r="I274" s="218">
        <f>IFERROR(VLOOKUP(B274,'STATUS INVEST FII'!$A$2:$N$404,11,0),0)</f>
        <v>0</v>
      </c>
      <c r="J274" s="218" t="str">
        <f>IFERROR(VLOOKUP(B274,'ATIVOS-GESTÃO'!$A$1:$C$329,2),"-")</f>
        <v>-</v>
      </c>
      <c r="K274" s="218" t="str">
        <f>IFERROR(VLOOKUP(B274,'ATIVOS-GESTÃO'!$A$1:$C$329,3),"-")</f>
        <v>-</v>
      </c>
      <c r="L274" s="218" t="str">
        <f>IFERROR(VLOOKUP(B274,'STATUS INVEST FII'!$A$2:$N$404,13,0),"-")</f>
        <v>-</v>
      </c>
      <c r="M274" s="218" t="str">
        <f>IFERROR(VLOOKUP(B274,'DATA-COM'!A:B,2,FALSE),"-")</f>
        <v>-</v>
      </c>
      <c r="N274" s="218" t="str">
        <f>IFERROR(VLOOKUP(B274,'STATUS INVEST FII'!$A$2:$N$404,12,0),"-")</f>
        <v>-</v>
      </c>
      <c r="O274" s="219">
        <f>IFERROR(VLOOKUP(B274,'STATUS INVEST FII'!$A$2:$N$404,7,0),0)</f>
        <v>0</v>
      </c>
    </row>
    <row r="275" spans="2:15" x14ac:dyDescent="0.25">
      <c r="B275" s="132" t="s">
        <v>51</v>
      </c>
      <c r="C275" s="4">
        <f>IFERROR(VLOOKUP(B275,'STATUS INVEST FII'!$A$2:$N$404,2,0),0)</f>
        <v>329</v>
      </c>
      <c r="D275" s="5">
        <f>IFERROR(VLOOKUP(B275,'STATUS INVEST FII'!$A$2:$N$404,4,0)/100,0)</f>
        <v>0.1079</v>
      </c>
      <c r="E275" s="6">
        <f>IFERROR(VLOOKUP(B275,'STATUS INVEST FII'!$A$2:$N$404,6,0),0)</f>
        <v>1.08</v>
      </c>
      <c r="F275" s="7">
        <f>IFERROR(VLOOKUP(B275,'STATUS INVEST FII'!$A$2:$N$404,8,0)/100,0)</f>
        <v>6.3E-3</v>
      </c>
      <c r="G275" s="8">
        <f>IFERROR(VLOOKUP(B275,'STATUS INVEST FII'!$A$2:$N$404,9,0)/100,0)</f>
        <v>4.7800000000000002E-2</v>
      </c>
      <c r="H275" s="8">
        <f>IFERROR(VLOOKUP(B275,'STATUS INVEST FII'!$A$2:$N$404,10,0)/100,0)</f>
        <v>1.47E-2</v>
      </c>
      <c r="I275" s="19">
        <f>IFERROR(VLOOKUP(B275,'STATUS INVEST FII'!$A$2:$N$404,11,0),0)</f>
        <v>60972350.219999999</v>
      </c>
      <c r="J275" s="23" t="str">
        <f>IFERROR(VLOOKUP(B275,'ATIVOS-GESTÃO'!$A$1:$C$329,2),"-")</f>
        <v>MONO</v>
      </c>
      <c r="K275" s="23" t="str">
        <f>IFERROR(VLOOKUP(B275,'ATIVOS-GESTÃO'!$A$1:$C$329,3),"-")</f>
        <v>MONO</v>
      </c>
      <c r="L275" s="19" t="str">
        <f>IFERROR(VLOOKUP(B275,'STATUS INVEST FII'!$A$2:$N$404,13,0),"-")</f>
        <v>Passiva</v>
      </c>
      <c r="M275" s="19" t="str">
        <f>IFERROR(VLOOKUP(B275,'DATA-COM'!A:B,2,FALSE),"-")</f>
        <v xml:space="preserve">Oitavo </v>
      </c>
      <c r="N275" s="52">
        <f>IFERROR(VLOOKUP(B275,'STATUS INVEST FII'!$A$2:$N$404,12,0),"-")</f>
        <v>3066</v>
      </c>
      <c r="O275" s="53">
        <f>IFERROR(VLOOKUP(B275,'STATUS INVEST FII'!$A$2:$N$404,7,0),0)</f>
        <v>29856.74</v>
      </c>
    </row>
    <row r="276" spans="2:15" x14ac:dyDescent="0.25">
      <c r="B276" s="126" t="s">
        <v>102</v>
      </c>
      <c r="C276" s="9">
        <f>IFERROR(VLOOKUP(B276,'STATUS INVEST FII'!$A$2:$N$404,2,0),0)</f>
        <v>106.5</v>
      </c>
      <c r="D276" s="10">
        <f>IFERROR(VLOOKUP(B276,'STATUS INVEST FII'!$A$2:$N$404,4,0)/100,0)</f>
        <v>8.1699999999999995E-2</v>
      </c>
      <c r="E276" s="11">
        <f>IFERROR(VLOOKUP(B276,'STATUS INVEST FII'!$A$2:$N$404,6,0),0)</f>
        <v>0.72</v>
      </c>
      <c r="F276" s="12">
        <f>IFERROR(VLOOKUP(B276,'STATUS INVEST FII'!$A$2:$N$404,8,0)/100,0)</f>
        <v>6.3E-3</v>
      </c>
      <c r="G276" s="13">
        <f>IFERROR(VLOOKUP(B276,'STATUS INVEST FII'!$A$2:$N$404,9,0)/100,0)</f>
        <v>0</v>
      </c>
      <c r="H276" s="13">
        <f>IFERROR(VLOOKUP(B276,'STATUS INVEST FII'!$A$2:$N$404,10,0)/100,0)</f>
        <v>-0.11779999999999999</v>
      </c>
      <c r="I276" s="20">
        <f>IFERROR(VLOOKUP(B276,'STATUS INVEST FII'!$A$2:$N$404,11,0),0)</f>
        <v>113152442.25</v>
      </c>
      <c r="J276" s="45" t="str">
        <f>IFERROR(VLOOKUP(B276,'ATIVOS-GESTÃO'!$A$1:$C$329,2),"-")</f>
        <v>MONO</v>
      </c>
      <c r="K276" s="45" t="str">
        <f>IFERROR(VLOOKUP(B276,'ATIVOS-GESTÃO'!$A$1:$C$329,3),"-")</f>
        <v>MONO</v>
      </c>
      <c r="L276" s="20" t="str">
        <f>IFERROR(VLOOKUP(B276,'STATUS INVEST FII'!$A$2:$N$404,13,0),"-")</f>
        <v>Passiva</v>
      </c>
      <c r="M276" s="20" t="str">
        <f>IFERROR(VLOOKUP(B276,'DATA-COM'!A:B,2,FALSE),"-")</f>
        <v xml:space="preserve">Último </v>
      </c>
      <c r="N276" s="51">
        <f>IFERROR(VLOOKUP(B276,'STATUS INVEST FII'!$A$2:$N$404,12,0),"-")</f>
        <v>734</v>
      </c>
      <c r="O276" s="54">
        <f>IFERROR(VLOOKUP(B276,'STATUS INVEST FII'!$A$2:$N$404,7,0),0)</f>
        <v>10552.3</v>
      </c>
    </row>
    <row r="277" spans="2:15" x14ac:dyDescent="0.25">
      <c r="B277" s="126" t="s">
        <v>249</v>
      </c>
      <c r="C277" s="9">
        <f>IFERROR(VLOOKUP(B277,'STATUS INVEST FII'!$A$2:$N$404,2,0),0)</f>
        <v>1050</v>
      </c>
      <c r="D277" s="10">
        <f>IFERROR(VLOOKUP(B277,'STATUS INVEST FII'!$A$2:$N$404,4,0)/100,0)</f>
        <v>0</v>
      </c>
      <c r="E277" s="11">
        <f>IFERROR(VLOOKUP(B277,'STATUS INVEST FII'!$A$2:$N$404,6,0),0)</f>
        <v>1.0900000000000001</v>
      </c>
      <c r="F277" s="12">
        <f>IFERROR(VLOOKUP(B277,'STATUS INVEST FII'!$A$2:$N$404,8,0)/100,0)</f>
        <v>7.0999999999999994E-2</v>
      </c>
      <c r="G277" s="13">
        <f>IFERROR(VLOOKUP(B277,'STATUS INVEST FII'!$A$2:$N$404,9,0)/100,0)</f>
        <v>0</v>
      </c>
      <c r="H277" s="13">
        <f>IFERROR(VLOOKUP(B277,'STATUS INVEST FII'!$A$2:$N$404,10,0)/100,0)</f>
        <v>0</v>
      </c>
      <c r="I277" s="20">
        <f>IFERROR(VLOOKUP(B277,'STATUS INVEST FII'!$A$2:$N$404,11,0),0)</f>
        <v>111413907.36</v>
      </c>
      <c r="J277" s="45" t="str">
        <f>IFERROR(VLOOKUP(B277,'ATIVOS-GESTÃO'!$A$1:$C$329,2),"-")</f>
        <v>MONO</v>
      </c>
      <c r="K277" s="45" t="str">
        <f>IFERROR(VLOOKUP(B277,'ATIVOS-GESTÃO'!$A$1:$C$329,3),"-")</f>
        <v>MONO</v>
      </c>
      <c r="L277" s="20" t="str">
        <f>IFERROR(VLOOKUP(B277,'STATUS INVEST FII'!$A$2:$N$404,13,0),"-")</f>
        <v>Ativa</v>
      </c>
      <c r="M277" s="20" t="str">
        <f>IFERROR(VLOOKUP(B277,'DATA-COM'!A:B,2,FALSE),"-")</f>
        <v xml:space="preserve">Último </v>
      </c>
      <c r="N277" s="51">
        <f>IFERROR(VLOOKUP(B277,'STATUS INVEST FII'!$A$2:$N$404,12,0),"-")</f>
        <v>79</v>
      </c>
      <c r="O277" s="54">
        <f>IFERROR(VLOOKUP(B277,'STATUS INVEST FII'!$A$2:$N$404,7,0),0)</f>
        <v>1050</v>
      </c>
    </row>
    <row r="278" spans="2:15" x14ac:dyDescent="0.25">
      <c r="B278" s="126" t="s">
        <v>52</v>
      </c>
      <c r="C278" s="9">
        <f>IFERROR(VLOOKUP(B278,'STATUS INVEST FII'!$A$2:$N$404,2,0),0)</f>
        <v>208.5</v>
      </c>
      <c r="D278" s="10">
        <f>IFERROR(VLOOKUP(B278,'STATUS INVEST FII'!$A$2:$N$404,4,0)/100,0)</f>
        <v>0.10779999999999999</v>
      </c>
      <c r="E278" s="11">
        <f>IFERROR(VLOOKUP(B278,'STATUS INVEST FII'!$A$2:$N$404,6,0),0)</f>
        <v>0.95</v>
      </c>
      <c r="F278" s="12">
        <f>IFERROR(VLOOKUP(B278,'STATUS INVEST FII'!$A$2:$N$404,8,0)/100,0)</f>
        <v>1.7600000000000001E-2</v>
      </c>
      <c r="G278" s="13">
        <f>IFERROR(VLOOKUP(B278,'STATUS INVEST FII'!$A$2:$N$404,9,0)/100,0)</f>
        <v>4.3200000000000002E-2</v>
      </c>
      <c r="H278" s="13">
        <f>IFERROR(VLOOKUP(B278,'STATUS INVEST FII'!$A$2:$N$404,10,0)/100,0)</f>
        <v>-2.3099999999999999E-2</v>
      </c>
      <c r="I278" s="20">
        <f>IFERROR(VLOOKUP(B278,'STATUS INVEST FII'!$A$2:$N$404,11,0),0)</f>
        <v>249642644.66</v>
      </c>
      <c r="J278" s="45" t="str">
        <f>IFERROR(VLOOKUP(B278,'ATIVOS-GESTÃO'!$A$1:$C$329,2),"-")</f>
        <v>MONO</v>
      </c>
      <c r="K278" s="45" t="str">
        <f>IFERROR(VLOOKUP(B278,'ATIVOS-GESTÃO'!$A$1:$C$329,3),"-")</f>
        <v>MONO</v>
      </c>
      <c r="L278" s="20" t="str">
        <f>IFERROR(VLOOKUP(B278,'STATUS INVEST FII'!$A$2:$N$404,13,0),"-")</f>
        <v>Passiva</v>
      </c>
      <c r="M278" s="20" t="str">
        <f>IFERROR(VLOOKUP(B278,'DATA-COM'!A:B,2,FALSE),"-")</f>
        <v xml:space="preserve">Último </v>
      </c>
      <c r="N278" s="51">
        <f>IFERROR(VLOOKUP(B278,'STATUS INVEST FII'!$A$2:$N$404,12,0),"-")</f>
        <v>7413</v>
      </c>
      <c r="O278" s="54">
        <f>IFERROR(VLOOKUP(B278,'STATUS INVEST FII'!$A$2:$N$404,7,0),0)</f>
        <v>176096.74</v>
      </c>
    </row>
    <row r="279" spans="2:15" ht="15.75" thickBot="1" x14ac:dyDescent="0.3">
      <c r="B279" s="133" t="s">
        <v>53</v>
      </c>
      <c r="C279" s="14">
        <f>IFERROR(VLOOKUP(B279,'STATUS INVEST FII'!$A$2:$N$404,2,0),0)</f>
        <v>11.7</v>
      </c>
      <c r="D279" s="15">
        <f>IFERROR(VLOOKUP(B279,'STATUS INVEST FII'!$A$2:$N$404,4,0)/100,0)</f>
        <v>7.6200000000000004E-2</v>
      </c>
      <c r="E279" s="16">
        <f>IFERROR(VLOOKUP(B279,'STATUS INVEST FII'!$A$2:$N$404,6,0),0)</f>
        <v>0.92</v>
      </c>
      <c r="F279" s="17">
        <f>IFERROR(VLOOKUP(B279,'STATUS INVEST FII'!$A$2:$N$404,8,0)/100,0)</f>
        <v>1.04E-2</v>
      </c>
      <c r="G279" s="18">
        <f>IFERROR(VLOOKUP(B279,'STATUS INVEST FII'!$A$2:$N$404,9,0)/100,0)</f>
        <v>5.2400000000000002E-2</v>
      </c>
      <c r="H279" s="18">
        <f>IFERROR(VLOOKUP(B279,'STATUS INVEST FII'!$A$2:$N$404,10,0)/100,0)</f>
        <v>-0.26280000000000003</v>
      </c>
      <c r="I279" s="21">
        <f>IFERROR(VLOOKUP(B279,'STATUS INVEST FII'!$A$2:$N$404,11,0),0)</f>
        <v>526887304.45999998</v>
      </c>
      <c r="J279" s="137" t="str">
        <f>IFERROR(VLOOKUP(B279,'ATIVOS-GESTÃO'!$A$1:$C$329,2),"-")</f>
        <v>MULTI</v>
      </c>
      <c r="K279" s="137" t="str">
        <f>IFERROR(VLOOKUP(B279,'ATIVOS-GESTÃO'!$A$1:$C$329,3),"-")</f>
        <v>MONO</v>
      </c>
      <c r="L279" s="21" t="str">
        <f>IFERROR(VLOOKUP(B279,'STATUS INVEST FII'!$A$2:$N$404,13,0),"-")</f>
        <v>Ativa</v>
      </c>
      <c r="M279" s="21" t="str">
        <f>IFERROR(VLOOKUP(B279,'DATA-COM'!A:B,2,FALSE),"-")</f>
        <v xml:space="preserve">Último </v>
      </c>
      <c r="N279" s="55">
        <f>IFERROR(VLOOKUP(B279,'STATUS INVEST FII'!$A$2:$N$404,12,0),"-")</f>
        <v>2455</v>
      </c>
      <c r="O279" s="56">
        <f>IFERROR(VLOOKUP(B279,'STATUS INVEST FII'!$A$2:$N$404,7,0),0)</f>
        <v>2386.56</v>
      </c>
    </row>
    <row r="280" spans="2:15" ht="15.75" thickBot="1" x14ac:dyDescent="0.3">
      <c r="B280" s="216" t="s">
        <v>122</v>
      </c>
      <c r="C280" s="217">
        <f>IFERROR(VLOOKUP(B280,'STATUS INVEST FII'!$A$2:$N$404,2,0),0)</f>
        <v>0</v>
      </c>
      <c r="D280" s="218">
        <f>IFERROR(VLOOKUP(B280,'STATUS INVEST FII'!$A$2:$N$404,4,0)/100,0)</f>
        <v>0</v>
      </c>
      <c r="E280" s="218">
        <f>IFERROR(VLOOKUP(B280,'STATUS INVEST FII'!$A$2:$N$404,6,0),0)</f>
        <v>0</v>
      </c>
      <c r="F280" s="218">
        <f>IFERROR(VLOOKUP(B280,'STATUS INVEST FII'!$A$2:$N$404,8,0)/100,0)</f>
        <v>0</v>
      </c>
      <c r="G280" s="218">
        <f>IFERROR(VLOOKUP(B280,'STATUS INVEST FII'!$A$2:$N$404,9,0)/100,0)</f>
        <v>0</v>
      </c>
      <c r="H280" s="218">
        <f>IFERROR(VLOOKUP(B280,'STATUS INVEST FII'!$A$2:$N$404,10,0)/100,0)</f>
        <v>0</v>
      </c>
      <c r="I280" s="218">
        <f>IFERROR(VLOOKUP(B280,'STATUS INVEST FII'!$A$2:$N$404,11,0),0)</f>
        <v>0</v>
      </c>
      <c r="J280" s="218" t="str">
        <f>IFERROR(VLOOKUP(B280,'ATIVOS-GESTÃO'!$A$1:$C$329,2),"-")</f>
        <v>-</v>
      </c>
      <c r="K280" s="218" t="str">
        <f>IFERROR(VLOOKUP(B280,'ATIVOS-GESTÃO'!$A$1:$C$329,3),"-")</f>
        <v>-</v>
      </c>
      <c r="L280" s="218" t="str">
        <f>IFERROR(VLOOKUP(B280,'STATUS INVEST FII'!$A$2:$N$404,13,0),"-")</f>
        <v>-</v>
      </c>
      <c r="M280" s="218" t="str">
        <f>IFERROR(VLOOKUP(B280,'DATA-COM'!A:B,2,FALSE),"-")</f>
        <v>-</v>
      </c>
      <c r="N280" s="218" t="str">
        <f>IFERROR(VLOOKUP(B280,'STATUS INVEST FII'!$A$2:$N$404,12,0),"-")</f>
        <v>-</v>
      </c>
      <c r="O280" s="219">
        <f>IFERROR(VLOOKUP(B280,'STATUS INVEST FII'!$A$2:$N$404,7,0),0)</f>
        <v>0</v>
      </c>
    </row>
    <row r="281" spans="2:15" x14ac:dyDescent="0.25">
      <c r="B281" s="132" t="s">
        <v>262</v>
      </c>
      <c r="C281" s="4">
        <f>IFERROR(VLOOKUP(B281,'STATUS INVEST FII'!$A$2:$N$404,2,0),0)</f>
        <v>0</v>
      </c>
      <c r="D281" s="5">
        <f>IFERROR(VLOOKUP(B281,'STATUS INVEST FII'!$A$2:$N$404,4,0)/100,0)</f>
        <v>0</v>
      </c>
      <c r="E281" s="6">
        <f>IFERROR(VLOOKUP(B281,'STATUS INVEST FII'!$A$2:$N$404,6,0),0)</f>
        <v>0</v>
      </c>
      <c r="F281" s="7">
        <f>IFERROR(VLOOKUP(B281,'STATUS INVEST FII'!$A$2:$N$404,8,0)/100,0)</f>
        <v>6.3E-3</v>
      </c>
      <c r="G281" s="8">
        <f>IFERROR(VLOOKUP(B281,'STATUS INVEST FII'!$A$2:$N$404,9,0)/100,0)</f>
        <v>0</v>
      </c>
      <c r="H281" s="8">
        <f>IFERROR(VLOOKUP(B281,'STATUS INVEST FII'!$A$2:$N$404,10,0)/100,0)</f>
        <v>0</v>
      </c>
      <c r="I281" s="19">
        <f>IFERROR(VLOOKUP(B281,'STATUS INVEST FII'!$A$2:$N$404,11,0),0)</f>
        <v>72545951.030000001</v>
      </c>
      <c r="J281" s="23" t="str">
        <f>IFERROR(VLOOKUP(B281,'ATIVOS-GESTÃO'!$A$1:$C$329,2),"-")</f>
        <v>MULTI</v>
      </c>
      <c r="K281" s="23" t="str">
        <f>IFERROR(VLOOKUP(B281,'ATIVOS-GESTÃO'!$A$1:$C$329,3),"-")</f>
        <v>MULTI</v>
      </c>
      <c r="L281" s="19" t="str">
        <f>IFERROR(VLOOKUP(B281,'STATUS INVEST FII'!$A$2:$N$404,13,0),"-")</f>
        <v>Ativa</v>
      </c>
      <c r="M281" s="19" t="str">
        <f>IFERROR(VLOOKUP(B281,'DATA-COM'!A:B,2,FALSE),"-")</f>
        <v>-</v>
      </c>
      <c r="N281" s="52">
        <f>IFERROR(VLOOKUP(B281,'STATUS INVEST FII'!$A$2:$N$404,12,0),"-")</f>
        <v>33</v>
      </c>
      <c r="O281" s="53">
        <f>IFERROR(VLOOKUP(B281,'STATUS INVEST FII'!$A$2:$N$404,7,0),0)</f>
        <v>0</v>
      </c>
    </row>
    <row r="282" spans="2:15" x14ac:dyDescent="0.25">
      <c r="B282" s="126" t="s">
        <v>265</v>
      </c>
      <c r="C282" s="9">
        <f>IFERROR(VLOOKUP(B282,'STATUS INVEST FII'!$A$2:$N$404,2,0),0)</f>
        <v>86.8</v>
      </c>
      <c r="D282" s="10">
        <f>IFERROR(VLOOKUP(B282,'STATUS INVEST FII'!$A$2:$N$404,4,0)/100,0)</f>
        <v>0</v>
      </c>
      <c r="E282" s="11">
        <f>IFERROR(VLOOKUP(B282,'STATUS INVEST FII'!$A$2:$N$404,6,0),0)</f>
        <v>1.08</v>
      </c>
      <c r="F282" s="12">
        <f>IFERROR(VLOOKUP(B282,'STATUS INVEST FII'!$A$2:$N$404,8,0)/100,0)</f>
        <v>3.3599999999999998E-2</v>
      </c>
      <c r="G282" s="13">
        <f>IFERROR(VLOOKUP(B282,'STATUS INVEST FII'!$A$2:$N$404,9,0)/100,0)</f>
        <v>0</v>
      </c>
      <c r="H282" s="13">
        <f>IFERROR(VLOOKUP(B282,'STATUS INVEST FII'!$A$2:$N$404,10,0)/100,0)</f>
        <v>0</v>
      </c>
      <c r="I282" s="20">
        <f>IFERROR(VLOOKUP(B282,'STATUS INVEST FII'!$A$2:$N$404,11,0),0)</f>
        <v>147391667.72999999</v>
      </c>
      <c r="J282" s="45" t="str">
        <f>IFERROR(VLOOKUP(B282,'ATIVOS-GESTÃO'!$A$1:$C$329,2),"-")</f>
        <v>MULTI</v>
      </c>
      <c r="K282" s="45" t="str">
        <f>IFERROR(VLOOKUP(B282,'ATIVOS-GESTÃO'!$A$1:$C$329,3),"-")</f>
        <v>MULTI</v>
      </c>
      <c r="L282" s="20" t="str">
        <f>IFERROR(VLOOKUP(B282,'STATUS INVEST FII'!$A$2:$N$404,13,0),"-")</f>
        <v>--</v>
      </c>
      <c r="M282" s="20" t="str">
        <f>IFERROR(VLOOKUP(B282,'DATA-COM'!A:B,2,FALSE),"-")</f>
        <v xml:space="preserve">primeiro </v>
      </c>
      <c r="N282" s="51">
        <f>IFERROR(VLOOKUP(B282,'STATUS INVEST FII'!$A$2:$N$404,12,0),"-")</f>
        <v>11</v>
      </c>
      <c r="O282" s="54">
        <f>IFERROR(VLOOKUP(B282,'STATUS INVEST FII'!$A$2:$N$404,7,0),0)</f>
        <v>0</v>
      </c>
    </row>
    <row r="283" spans="2:15" x14ac:dyDescent="0.25">
      <c r="B283" s="126" t="s">
        <v>54</v>
      </c>
      <c r="C283" s="9">
        <f>IFERROR(VLOOKUP(B283,'STATUS INVEST FII'!$A$2:$N$404,2,0),0)</f>
        <v>80.58</v>
      </c>
      <c r="D283" s="10">
        <f>IFERROR(VLOOKUP(B283,'STATUS INVEST FII'!$A$2:$N$404,4,0)/100,0)</f>
        <v>0</v>
      </c>
      <c r="E283" s="11">
        <f>IFERROR(VLOOKUP(B283,'STATUS INVEST FII'!$A$2:$N$404,6,0),0)</f>
        <v>0.63</v>
      </c>
      <c r="F283" s="12">
        <f>IFERROR(VLOOKUP(B283,'STATUS INVEST FII'!$A$2:$N$404,8,0)/100,0)</f>
        <v>1.1699999999999999E-2</v>
      </c>
      <c r="G283" s="13">
        <f>IFERROR(VLOOKUP(B283,'STATUS INVEST FII'!$A$2:$N$404,9,0)/100,0)</f>
        <v>8.5999999999999993E-2</v>
      </c>
      <c r="H283" s="13">
        <f>IFERROR(VLOOKUP(B283,'STATUS INVEST FII'!$A$2:$N$404,10,0)/100,0)</f>
        <v>-0.18870000000000001</v>
      </c>
      <c r="I283" s="20">
        <f>IFERROR(VLOOKUP(B283,'STATUS INVEST FII'!$A$2:$N$404,11,0),0)</f>
        <v>161517402.88</v>
      </c>
      <c r="J283" s="45" t="str">
        <f>IFERROR(VLOOKUP(B283,'ATIVOS-GESTÃO'!$A$1:$C$329,2),"-")</f>
        <v>MULTI</v>
      </c>
      <c r="K283" s="45" t="str">
        <f>IFERROR(VLOOKUP(B283,'ATIVOS-GESTÃO'!$A$1:$C$329,3),"-")</f>
        <v>MULTI</v>
      </c>
      <c r="L283" s="20" t="str">
        <f>IFERROR(VLOOKUP(B283,'STATUS INVEST FII'!$A$2:$N$404,13,0),"-")</f>
        <v>Ativa</v>
      </c>
      <c r="M283" s="20" t="str">
        <f>IFERROR(VLOOKUP(B283,'DATA-COM'!A:B,2,FALSE),"-")</f>
        <v>-</v>
      </c>
      <c r="N283" s="51">
        <f>IFERROR(VLOOKUP(B283,'STATUS INVEST FII'!$A$2:$N$404,12,0),"-")</f>
        <v>23804</v>
      </c>
      <c r="O283" s="54">
        <f>IFERROR(VLOOKUP(B283,'STATUS INVEST FII'!$A$2:$N$404,7,0),0)</f>
        <v>106243.59</v>
      </c>
    </row>
    <row r="284" spans="2:15" x14ac:dyDescent="0.25">
      <c r="B284" s="126" t="s">
        <v>55</v>
      </c>
      <c r="C284" s="9">
        <f>IFERROR(VLOOKUP(B284,'STATUS INVEST FII'!$A$2:$N$404,2,0),0)</f>
        <v>87</v>
      </c>
      <c r="D284" s="10">
        <f>IFERROR(VLOOKUP(B284,'STATUS INVEST FII'!$A$2:$N$404,4,0)/100,0)</f>
        <v>9.6999999999999989E-2</v>
      </c>
      <c r="E284" s="11">
        <f>IFERROR(VLOOKUP(B284,'STATUS INVEST FII'!$A$2:$N$404,6,0),0)</f>
        <v>0.88</v>
      </c>
      <c r="F284" s="12">
        <f>IFERROR(VLOOKUP(B284,'STATUS INVEST FII'!$A$2:$N$404,8,0)/100,0)</f>
        <v>9.3999999999999986E-3</v>
      </c>
      <c r="G284" s="13">
        <f>IFERROR(VLOOKUP(B284,'STATUS INVEST FII'!$A$2:$N$404,9,0)/100,0)</f>
        <v>0</v>
      </c>
      <c r="H284" s="13">
        <f>IFERROR(VLOOKUP(B284,'STATUS INVEST FII'!$A$2:$N$404,10,0)/100,0)</f>
        <v>0</v>
      </c>
      <c r="I284" s="20">
        <f>IFERROR(VLOOKUP(B284,'STATUS INVEST FII'!$A$2:$N$404,11,0),0)</f>
        <v>129541875.37</v>
      </c>
      <c r="J284" s="45" t="str">
        <f>IFERROR(VLOOKUP(B284,'ATIVOS-GESTÃO'!$A$1:$C$329,2),"-")</f>
        <v>MULTI</v>
      </c>
      <c r="K284" s="45" t="str">
        <f>IFERROR(VLOOKUP(B284,'ATIVOS-GESTÃO'!$A$1:$C$329,3),"-")</f>
        <v>MULTI</v>
      </c>
      <c r="L284" s="20" t="str">
        <f>IFERROR(VLOOKUP(B284,'STATUS INVEST FII'!$A$2:$N$404,13,0),"-")</f>
        <v>Ativa</v>
      </c>
      <c r="M284" s="20" t="str">
        <f>IFERROR(VLOOKUP(B284,'DATA-COM'!A:B,2,FALSE),"-")</f>
        <v xml:space="preserve">Oitavo </v>
      </c>
      <c r="N284" s="51">
        <f>IFERROR(VLOOKUP(B284,'STATUS INVEST FII'!$A$2:$N$404,12,0),"-")</f>
        <v>643</v>
      </c>
      <c r="O284" s="54">
        <f>IFERROR(VLOOKUP(B284,'STATUS INVEST FII'!$A$2:$N$404,7,0),0)</f>
        <v>31353</v>
      </c>
    </row>
    <row r="285" spans="2:15" ht="15.75" thickBot="1" x14ac:dyDescent="0.3">
      <c r="B285" s="133" t="s">
        <v>56</v>
      </c>
      <c r="C285" s="14">
        <f>IFERROR(VLOOKUP(B285,'STATUS INVEST FII'!$A$2:$N$404,2,0),0)</f>
        <v>92.1</v>
      </c>
      <c r="D285" s="15">
        <f>IFERROR(VLOOKUP(B285,'STATUS INVEST FII'!$A$2:$N$404,4,0)/100,0)</f>
        <v>0</v>
      </c>
      <c r="E285" s="16">
        <f>IFERROR(VLOOKUP(B285,'STATUS INVEST FII'!$A$2:$N$404,6,0),0)</f>
        <v>0.98</v>
      </c>
      <c r="F285" s="17">
        <f>IFERROR(VLOOKUP(B285,'STATUS INVEST FII'!$A$2:$N$404,8,0)/100,0)</f>
        <v>5.5000000000000005E-3</v>
      </c>
      <c r="G285" s="18">
        <f>IFERROR(VLOOKUP(B285,'STATUS INVEST FII'!$A$2:$N$404,9,0)/100,0)</f>
        <v>0</v>
      </c>
      <c r="H285" s="18">
        <f>IFERROR(VLOOKUP(B285,'STATUS INVEST FII'!$A$2:$N$404,10,0)/100,0)</f>
        <v>0</v>
      </c>
      <c r="I285" s="21">
        <f>IFERROR(VLOOKUP(B285,'STATUS INVEST FII'!$A$2:$N$404,11,0),0)</f>
        <v>357852662.82999998</v>
      </c>
      <c r="J285" s="137" t="str">
        <f>IFERROR(VLOOKUP(B285,'ATIVOS-GESTÃO'!$A$1:$C$329,2),"-")</f>
        <v>MULTI</v>
      </c>
      <c r="K285" s="137" t="str">
        <f>IFERROR(VLOOKUP(B285,'ATIVOS-GESTÃO'!$A$1:$C$329,3),"-")</f>
        <v>MULTI</v>
      </c>
      <c r="L285" s="21" t="str">
        <f>IFERROR(VLOOKUP(B285,'STATUS INVEST FII'!$A$2:$N$404,13,0),"-")</f>
        <v>Ativa</v>
      </c>
      <c r="M285" s="21" t="str">
        <f>IFERROR(VLOOKUP(B285,'DATA-COM'!A:B,2,FALSE),"-")</f>
        <v xml:space="preserve">Último </v>
      </c>
      <c r="N285" s="55">
        <f>IFERROR(VLOOKUP(B285,'STATUS INVEST FII'!$A$2:$N$404,12,0),"-")</f>
        <v>1434</v>
      </c>
      <c r="O285" s="56">
        <f>IFERROR(VLOOKUP(B285,'STATUS INVEST FII'!$A$2:$N$404,7,0),0)</f>
        <v>88283.32</v>
      </c>
    </row>
    <row r="286" spans="2:15" ht="15.75" thickBot="1" x14ac:dyDescent="0.3">
      <c r="B286" s="216" t="s">
        <v>125</v>
      </c>
      <c r="C286" s="217">
        <f>IFERROR(VLOOKUP(B286,'STATUS INVEST FII'!$A$2:$N$404,2,0),0)</f>
        <v>0</v>
      </c>
      <c r="D286" s="218">
        <f>IFERROR(VLOOKUP(B286,'STATUS INVEST FII'!$A$2:$N$404,4,0)/100,0)</f>
        <v>0</v>
      </c>
      <c r="E286" s="218">
        <f>IFERROR(VLOOKUP(B286,'STATUS INVEST FII'!$A$2:$N$404,6,0),0)</f>
        <v>0</v>
      </c>
      <c r="F286" s="218">
        <f>IFERROR(VLOOKUP(B286,'STATUS INVEST FII'!$A$2:$N$404,8,0)/100,0)</f>
        <v>0</v>
      </c>
      <c r="G286" s="218">
        <f>IFERROR(VLOOKUP(B286,'STATUS INVEST FII'!$A$2:$N$404,9,0)/100,0)</f>
        <v>0</v>
      </c>
      <c r="H286" s="218">
        <f>IFERROR(VLOOKUP(B286,'STATUS INVEST FII'!$A$2:$N$404,10,0)/100,0)</f>
        <v>0</v>
      </c>
      <c r="I286" s="218">
        <f>IFERROR(VLOOKUP(B286,'STATUS INVEST FII'!$A$2:$N$404,11,0),0)</f>
        <v>0</v>
      </c>
      <c r="J286" s="218" t="str">
        <f>IFERROR(VLOOKUP(B286,'ATIVOS-GESTÃO'!$A$1:$C$329,2),"-")</f>
        <v>MULTI</v>
      </c>
      <c r="K286" s="218" t="str">
        <f>IFERROR(VLOOKUP(B286,'ATIVOS-GESTÃO'!$A$1:$C$329,3),"-")</f>
        <v>MULTI</v>
      </c>
      <c r="L286" s="218" t="str">
        <f>IFERROR(VLOOKUP(B286,'STATUS INVEST FII'!$A$2:$N$404,13,0),"-")</f>
        <v>-</v>
      </c>
      <c r="M286" s="218" t="str">
        <f>IFERROR(VLOOKUP(B286,'DATA-COM'!A:B,2,FALSE),"-")</f>
        <v>-</v>
      </c>
      <c r="N286" s="218" t="str">
        <f>IFERROR(VLOOKUP(B286,'STATUS INVEST FII'!$A$2:$N$404,12,0),"-")</f>
        <v>-</v>
      </c>
      <c r="O286" s="219">
        <f>IFERROR(VLOOKUP(B286,'STATUS INVEST FII'!$A$2:$N$404,7,0),0)</f>
        <v>0</v>
      </c>
    </row>
    <row r="287" spans="2:15" x14ac:dyDescent="0.25">
      <c r="B287" s="132" t="s">
        <v>468</v>
      </c>
      <c r="C287" s="4">
        <f>IFERROR(VLOOKUP(B287,'STATUS INVEST FII'!$A$2:$N$404,2,0),0)</f>
        <v>9.58</v>
      </c>
      <c r="D287" s="5">
        <f>IFERROR(VLOOKUP(B287,'STATUS INVEST FII'!$A$2:$N$404,4,0)/100,0)</f>
        <v>2.3E-2</v>
      </c>
      <c r="E287" s="6">
        <f>IFERROR(VLOOKUP(B287,'STATUS INVEST FII'!$A$2:$N$404,6,0),0)</f>
        <v>0.99</v>
      </c>
      <c r="F287" s="7">
        <f>IFERROR(VLOOKUP(B287,'STATUS INVEST FII'!$A$2:$N$404,8,0)/100,0)</f>
        <v>0.114</v>
      </c>
      <c r="G287" s="8">
        <f>IFERROR(VLOOKUP(B287,'STATUS INVEST FII'!$A$2:$N$404,9,0)/100,0)</f>
        <v>0</v>
      </c>
      <c r="H287" s="8">
        <f>IFERROR(VLOOKUP(B287,'STATUS INVEST FII'!$A$2:$N$404,10,0)/100,0)</f>
        <v>0</v>
      </c>
      <c r="I287" s="19">
        <f>IFERROR(VLOOKUP(B287,'STATUS INVEST FII'!$A$2:$N$404,11,0),0)</f>
        <v>56643529.039999999</v>
      </c>
      <c r="J287" s="23" t="str">
        <f>IFERROR(VLOOKUP(B287,'ATIVOS-GESTÃO'!$A$1:$C$329,2),"-")</f>
        <v>-</v>
      </c>
      <c r="K287" s="23" t="str">
        <f>IFERROR(VLOOKUP(B287,'ATIVOS-GESTÃO'!$A$1:$C$329,3),"-")</f>
        <v>-</v>
      </c>
      <c r="L287" s="19" t="str">
        <f>IFERROR(VLOOKUP(B287,'STATUS INVEST FII'!$A$2:$N$404,13,0),"-")</f>
        <v>Ativa</v>
      </c>
      <c r="M287" s="19" t="str">
        <f>IFERROR(VLOOKUP(B287,'DATA-COM'!A:B,2,FALSE),"-")</f>
        <v>-</v>
      </c>
      <c r="N287" s="52">
        <f>IFERROR(VLOOKUP(B287,'STATUS INVEST FII'!$A$2:$N$404,12,0),"-")</f>
        <v>717</v>
      </c>
      <c r="O287" s="53">
        <f>IFERROR(VLOOKUP(B287,'STATUS INVEST FII'!$A$2:$N$404,7,0),0)</f>
        <v>90920.35</v>
      </c>
    </row>
    <row r="288" spans="2:15" x14ac:dyDescent="0.25">
      <c r="B288" s="132" t="s">
        <v>255</v>
      </c>
      <c r="C288" s="9">
        <f>IFERROR(VLOOKUP(B288,'STATUS INVEST FII'!$A$2:$N$404,2,0),0)</f>
        <v>0</v>
      </c>
      <c r="D288" s="10">
        <f>IFERROR(VLOOKUP(B288,'STATUS INVEST FII'!$A$2:$N$404,4,0)/100,0)</f>
        <v>0</v>
      </c>
      <c r="E288" s="11">
        <f>IFERROR(VLOOKUP(B288,'STATUS INVEST FII'!$A$2:$N$404,6,0),0)</f>
        <v>0</v>
      </c>
      <c r="F288" s="12">
        <f>IFERROR(VLOOKUP(B288,'STATUS INVEST FII'!$A$2:$N$404,8,0)/100,0)</f>
        <v>0.37070000000000003</v>
      </c>
      <c r="G288" s="13">
        <f>IFERROR(VLOOKUP(B288,'STATUS INVEST FII'!$A$2:$N$404,9,0)/100,0)</f>
        <v>0</v>
      </c>
      <c r="H288" s="13">
        <f>IFERROR(VLOOKUP(B288,'STATUS INVEST FII'!$A$2:$N$404,10,0)/100,0)</f>
        <v>0</v>
      </c>
      <c r="I288" s="20">
        <f>IFERROR(VLOOKUP(B288,'STATUS INVEST FII'!$A$2:$N$404,11,0),0)</f>
        <v>76119164.25</v>
      </c>
      <c r="J288" s="45" t="str">
        <f>IFERROR(VLOOKUP(B288,'ATIVOS-GESTÃO'!$A$1:$C$329,2),"-")</f>
        <v>MULTI</v>
      </c>
      <c r="K288" s="45" t="str">
        <f>IFERROR(VLOOKUP(B288,'ATIVOS-GESTÃO'!$A$1:$C$329,3),"-")</f>
        <v>-</v>
      </c>
      <c r="L288" s="20" t="str">
        <f>IFERROR(VLOOKUP(B288,'STATUS INVEST FII'!$A$2:$N$404,13,0),"-")</f>
        <v>Ativa</v>
      </c>
      <c r="M288" s="20" t="str">
        <f>IFERROR(VLOOKUP(B288,'DATA-COM'!A:B,2,FALSE),"-")</f>
        <v xml:space="preserve">Último </v>
      </c>
      <c r="N288" s="51">
        <f>IFERROR(VLOOKUP(B288,'STATUS INVEST FII'!$A$2:$N$404,12,0),"-")</f>
        <v>53</v>
      </c>
      <c r="O288" s="54">
        <f>IFERROR(VLOOKUP(B288,'STATUS INVEST FII'!$A$2:$N$404,7,0),0)</f>
        <v>0</v>
      </c>
    </row>
    <row r="289" spans="2:15" x14ac:dyDescent="0.25">
      <c r="B289" s="132" t="s">
        <v>101</v>
      </c>
      <c r="C289" s="9">
        <f>IFERROR(VLOOKUP(B289,'STATUS INVEST FII'!$A$2:$N$404,2,0),0)</f>
        <v>113.56</v>
      </c>
      <c r="D289" s="10">
        <f>IFERROR(VLOOKUP(B289,'STATUS INVEST FII'!$A$2:$N$404,4,0)/100,0)</f>
        <v>7.2599999999999998E-2</v>
      </c>
      <c r="E289" s="11">
        <f>IFERROR(VLOOKUP(B289,'STATUS INVEST FII'!$A$2:$N$404,6,0),0)</f>
        <v>1.0900000000000001</v>
      </c>
      <c r="F289" s="12">
        <f>IFERROR(VLOOKUP(B289,'STATUS INVEST FII'!$A$2:$N$404,8,0)/100,0)</f>
        <v>5.1000000000000004E-3</v>
      </c>
      <c r="G289" s="13">
        <f>IFERROR(VLOOKUP(B289,'STATUS INVEST FII'!$A$2:$N$404,9,0)/100,0)</f>
        <v>5.96E-2</v>
      </c>
      <c r="H289" s="13">
        <f>IFERROR(VLOOKUP(B289,'STATUS INVEST FII'!$A$2:$N$404,10,0)/100,0)</f>
        <v>3.7100000000000001E-2</v>
      </c>
      <c r="I289" s="20">
        <f>IFERROR(VLOOKUP(B289,'STATUS INVEST FII'!$A$2:$N$404,11,0),0)</f>
        <v>363944321.16000003</v>
      </c>
      <c r="J289" s="45" t="str">
        <f>IFERROR(VLOOKUP(B289,'ATIVOS-GESTÃO'!$A$1:$C$329,2),"-")</f>
        <v>MONO</v>
      </c>
      <c r="K289" s="45" t="str">
        <f>IFERROR(VLOOKUP(B289,'ATIVOS-GESTÃO'!$A$1:$C$329,3),"-")</f>
        <v>MONO</v>
      </c>
      <c r="L289" s="20" t="str">
        <f>IFERROR(VLOOKUP(B289,'STATUS INVEST FII'!$A$2:$N$404,13,0),"-")</f>
        <v>Passiva</v>
      </c>
      <c r="M289" s="20" t="str">
        <f>IFERROR(VLOOKUP(B289,'DATA-COM'!A:B,2,FALSE),"-")</f>
        <v xml:space="preserve">Décimo </v>
      </c>
      <c r="N289" s="51">
        <f>IFERROR(VLOOKUP(B289,'STATUS INVEST FII'!$A$2:$N$404,12,0),"-")</f>
        <v>4271</v>
      </c>
      <c r="O289" s="54">
        <f>IFERROR(VLOOKUP(B289,'STATUS INVEST FII'!$A$2:$N$404,7,0),0)</f>
        <v>479581.59</v>
      </c>
    </row>
    <row r="290" spans="2:15" x14ac:dyDescent="0.25">
      <c r="B290" s="132" t="s">
        <v>233</v>
      </c>
      <c r="C290" s="9">
        <f>IFERROR(VLOOKUP(B290,'STATUS INVEST FII'!$A$2:$N$404,2,0),0)</f>
        <v>2950.01</v>
      </c>
      <c r="D290" s="10">
        <f>IFERROR(VLOOKUP(B290,'STATUS INVEST FII'!$A$2:$N$404,4,0)/100,0)</f>
        <v>8.1900000000000001E-2</v>
      </c>
      <c r="E290" s="11">
        <f>IFERROR(VLOOKUP(B290,'STATUS INVEST FII'!$A$2:$N$404,6,0),0)</f>
        <v>1.1000000000000001</v>
      </c>
      <c r="F290" s="12">
        <f>IFERROR(VLOOKUP(B290,'STATUS INVEST FII'!$A$2:$N$404,8,0)/100,0)</f>
        <v>5.91E-2</v>
      </c>
      <c r="G290" s="13">
        <f>IFERROR(VLOOKUP(B290,'STATUS INVEST FII'!$A$2:$N$404,9,0)/100,0)</f>
        <v>0</v>
      </c>
      <c r="H290" s="13">
        <f>IFERROR(VLOOKUP(B290,'STATUS INVEST FII'!$A$2:$N$404,10,0)/100,0)</f>
        <v>0</v>
      </c>
      <c r="I290" s="20">
        <f>IFERROR(VLOOKUP(B290,'STATUS INVEST FII'!$A$2:$N$404,11,0),0)</f>
        <v>2490138966.8099999</v>
      </c>
      <c r="J290" s="45" t="str">
        <f>IFERROR(VLOOKUP(B290,'ATIVOS-GESTÃO'!$A$1:$C$329,2),"-")</f>
        <v>MULTI</v>
      </c>
      <c r="K290" s="45" t="str">
        <f>IFERROR(VLOOKUP(B290,'ATIVOS-GESTÃO'!$A$1:$C$329,3),"-")</f>
        <v>MULTI</v>
      </c>
      <c r="L290" s="20" t="str">
        <f>IFERROR(VLOOKUP(B290,'STATUS INVEST FII'!$A$2:$N$404,13,0),"-")</f>
        <v>Ativa</v>
      </c>
      <c r="M290" s="20" t="str">
        <f>IFERROR(VLOOKUP(B290,'DATA-COM'!A:B,2,FALSE),"-")</f>
        <v>-</v>
      </c>
      <c r="N290" s="51">
        <f>IFERROR(VLOOKUP(B290,'STATUS INVEST FII'!$A$2:$N$404,12,0),"-")</f>
        <v>57</v>
      </c>
      <c r="O290" s="54">
        <f>IFERROR(VLOOKUP(B290,'STATUS INVEST FII'!$A$2:$N$404,7,0),0)</f>
        <v>0</v>
      </c>
    </row>
    <row r="291" spans="2:15" x14ac:dyDescent="0.25">
      <c r="B291" s="132" t="s">
        <v>465</v>
      </c>
      <c r="C291" s="9">
        <f>IFERROR(VLOOKUP(B291,'STATUS INVEST FII'!$A$2:$N$404,2,0),0)</f>
        <v>109.39</v>
      </c>
      <c r="D291" s="10">
        <f>IFERROR(VLOOKUP(B291,'STATUS INVEST FII'!$A$2:$N$404,4,0)/100,0)</f>
        <v>3.0699999999999998E-2</v>
      </c>
      <c r="E291" s="11">
        <f>IFERROR(VLOOKUP(B291,'STATUS INVEST FII'!$A$2:$N$404,6,0),0)</f>
        <v>1.1100000000000001</v>
      </c>
      <c r="F291" s="12">
        <f>IFERROR(VLOOKUP(B291,'STATUS INVEST FII'!$A$2:$N$404,8,0)/100,0)</f>
        <v>1.1000000000000001E-3</v>
      </c>
      <c r="G291" s="13">
        <f>IFERROR(VLOOKUP(B291,'STATUS INVEST FII'!$A$2:$N$404,9,0)/100,0)</f>
        <v>0</v>
      </c>
      <c r="H291" s="13">
        <f>IFERROR(VLOOKUP(B291,'STATUS INVEST FII'!$A$2:$N$404,10,0)/100,0)</f>
        <v>0</v>
      </c>
      <c r="I291" s="20">
        <f>IFERROR(VLOOKUP(B291,'STATUS INVEST FII'!$A$2:$N$404,11,0),0)</f>
        <v>203504869.33000001</v>
      </c>
      <c r="J291" s="45" t="str">
        <f>IFERROR(VLOOKUP(B291,'ATIVOS-GESTÃO'!$A$1:$C$329,2),"-")</f>
        <v>-</v>
      </c>
      <c r="K291" s="45" t="str">
        <f>IFERROR(VLOOKUP(B291,'ATIVOS-GESTÃO'!$A$1:$C$329,3),"-")</f>
        <v>-</v>
      </c>
      <c r="L291" s="20" t="str">
        <f>IFERROR(VLOOKUP(B291,'STATUS INVEST FII'!$A$2:$N$404,13,0),"-")</f>
        <v>Ativa</v>
      </c>
      <c r="M291" s="20" t="str">
        <f>IFERROR(VLOOKUP(B291,'DATA-COM'!A:B,2,FALSE),"-")</f>
        <v>-</v>
      </c>
      <c r="N291" s="51">
        <f>IFERROR(VLOOKUP(B291,'STATUS INVEST FII'!$A$2:$N$404,12,0),"-")</f>
        <v>104</v>
      </c>
      <c r="O291" s="54">
        <f>IFERROR(VLOOKUP(B291,'STATUS INVEST FII'!$A$2:$N$404,7,0),0)</f>
        <v>23849.46</v>
      </c>
    </row>
    <row r="292" spans="2:15" x14ac:dyDescent="0.25">
      <c r="B292" s="132" t="s">
        <v>350</v>
      </c>
      <c r="C292" s="9">
        <f>IFERROR(VLOOKUP(B292,'STATUS INVEST FII'!$A$2:$N$404,2,0),0)</f>
        <v>108.4</v>
      </c>
      <c r="D292" s="10">
        <f>IFERROR(VLOOKUP(B292,'STATUS INVEST FII'!$A$2:$N$404,4,0)/100,0)</f>
        <v>0.1081</v>
      </c>
      <c r="E292" s="11">
        <f>IFERROR(VLOOKUP(B292,'STATUS INVEST FII'!$A$2:$N$404,6,0),0)</f>
        <v>1.26</v>
      </c>
      <c r="F292" s="12">
        <f>IFERROR(VLOOKUP(B292,'STATUS INVEST FII'!$A$2:$N$404,8,0)/100,0)</f>
        <v>3.4700000000000002E-2</v>
      </c>
      <c r="G292" s="13">
        <f>IFERROR(VLOOKUP(B292,'STATUS INVEST FII'!$A$2:$N$404,9,0)/100,0)</f>
        <v>0</v>
      </c>
      <c r="H292" s="13">
        <f>IFERROR(VLOOKUP(B292,'STATUS INVEST FII'!$A$2:$N$404,10,0)/100,0)</f>
        <v>0</v>
      </c>
      <c r="I292" s="20">
        <f>IFERROR(VLOOKUP(B292,'STATUS INVEST FII'!$A$2:$N$404,11,0),0)</f>
        <v>52597012.030000001</v>
      </c>
      <c r="J292" s="45" t="str">
        <f>IFERROR(VLOOKUP(B292,'ATIVOS-GESTÃO'!$A$1:$C$329,2),"-")</f>
        <v>MULTI</v>
      </c>
      <c r="K292" s="45" t="str">
        <f>IFERROR(VLOOKUP(B292,'ATIVOS-GESTÃO'!$A$1:$C$329,3),"-")</f>
        <v>MULTI</v>
      </c>
      <c r="L292" s="20" t="str">
        <f>IFERROR(VLOOKUP(B292,'STATUS INVEST FII'!$A$2:$N$404,13,0),"-")</f>
        <v>Ativa</v>
      </c>
      <c r="M292" s="20" t="str">
        <f>IFERROR(VLOOKUP(B292,'DATA-COM'!A:B,2,FALSE),"-")</f>
        <v xml:space="preserve">Último </v>
      </c>
      <c r="N292" s="51">
        <f>IFERROR(VLOOKUP(B292,'STATUS INVEST FII'!$A$2:$N$404,12,0),"-")</f>
        <v>13</v>
      </c>
      <c r="O292" s="54">
        <f>IFERROR(VLOOKUP(B292,'STATUS INVEST FII'!$A$2:$N$404,7,0),0)</f>
        <v>108</v>
      </c>
    </row>
    <row r="293" spans="2:15" x14ac:dyDescent="0.25">
      <c r="B293" s="132" t="s">
        <v>151</v>
      </c>
      <c r="C293" s="9">
        <f>IFERROR(VLOOKUP(B293,'STATUS INVEST FII'!$A$2:$N$404,2,0),0)</f>
        <v>112.69</v>
      </c>
      <c r="D293" s="10">
        <f>IFERROR(VLOOKUP(B293,'STATUS INVEST FII'!$A$2:$N$404,4,0)/100,0)</f>
        <v>7.7499999999999999E-2</v>
      </c>
      <c r="E293" s="11">
        <f>IFERROR(VLOOKUP(B293,'STATUS INVEST FII'!$A$2:$N$404,6,0),0)</f>
        <v>0.95</v>
      </c>
      <c r="F293" s="12">
        <f>IFERROR(VLOOKUP(B293,'STATUS INVEST FII'!$A$2:$N$404,8,0)/100,0)</f>
        <v>1.43E-2</v>
      </c>
      <c r="G293" s="13">
        <f>IFERROR(VLOOKUP(B293,'STATUS INVEST FII'!$A$2:$N$404,9,0)/100,0)</f>
        <v>2.1400000000000002E-2</v>
      </c>
      <c r="H293" s="13">
        <f>IFERROR(VLOOKUP(B293,'STATUS INVEST FII'!$A$2:$N$404,10,0)/100,0)</f>
        <v>1.84E-2</v>
      </c>
      <c r="I293" s="20">
        <f>IFERROR(VLOOKUP(B293,'STATUS INVEST FII'!$A$2:$N$404,11,0),0)</f>
        <v>2185580215.7800002</v>
      </c>
      <c r="J293" s="45" t="str">
        <f>IFERROR(VLOOKUP(B293,'ATIVOS-GESTÃO'!$A$1:$C$329,2),"-")</f>
        <v>MULTI</v>
      </c>
      <c r="K293" s="45" t="str">
        <f>IFERROR(VLOOKUP(B293,'ATIVOS-GESTÃO'!$A$1:$C$329,3),"-")</f>
        <v>MULTI</v>
      </c>
      <c r="L293" s="20" t="str">
        <f>IFERROR(VLOOKUP(B293,'STATUS INVEST FII'!$A$2:$N$404,13,0),"-")</f>
        <v>Ativa</v>
      </c>
      <c r="M293" s="20" t="str">
        <f>IFERROR(VLOOKUP(B293,'DATA-COM'!A:B,2,FALSE),"-")</f>
        <v xml:space="preserve">Último </v>
      </c>
      <c r="N293" s="51">
        <f>IFERROR(VLOOKUP(B293,'STATUS INVEST FII'!$A$2:$N$404,12,0),"-")</f>
        <v>155299</v>
      </c>
      <c r="O293" s="54">
        <f>IFERROR(VLOOKUP(B293,'STATUS INVEST FII'!$A$2:$N$404,7,0),0)</f>
        <v>4470976.53</v>
      </c>
    </row>
    <row r="294" spans="2:15" x14ac:dyDescent="0.25">
      <c r="B294" s="132" t="s">
        <v>315</v>
      </c>
      <c r="C294" s="9">
        <f>IFERROR(VLOOKUP(B294,'STATUS INVEST FII'!$A$2:$N$404,2,0),0)</f>
        <v>97.6</v>
      </c>
      <c r="D294" s="10">
        <f>IFERROR(VLOOKUP(B294,'STATUS INVEST FII'!$A$2:$N$404,4,0)/100,0)</f>
        <v>6.8000000000000005E-2</v>
      </c>
      <c r="E294" s="11">
        <f>IFERROR(VLOOKUP(B294,'STATUS INVEST FII'!$A$2:$N$404,6,0),0)</f>
        <v>1</v>
      </c>
      <c r="F294" s="12">
        <f>IFERROR(VLOOKUP(B294,'STATUS INVEST FII'!$A$2:$N$404,8,0)/100,0)</f>
        <v>1.9599999999999999E-2</v>
      </c>
      <c r="G294" s="13">
        <f>IFERROR(VLOOKUP(B294,'STATUS INVEST FII'!$A$2:$N$404,9,0)/100,0)</f>
        <v>0</v>
      </c>
      <c r="H294" s="13">
        <f>IFERROR(VLOOKUP(B294,'STATUS INVEST FII'!$A$2:$N$404,10,0)/100,0)</f>
        <v>0</v>
      </c>
      <c r="I294" s="20">
        <f>IFERROR(VLOOKUP(B294,'STATUS INVEST FII'!$A$2:$N$404,11,0),0)</f>
        <v>828054407.24000001</v>
      </c>
      <c r="J294" s="45" t="str">
        <f>IFERROR(VLOOKUP(B294,'ATIVOS-GESTÃO'!$A$1:$C$329,2),"-")</f>
        <v>MULTI</v>
      </c>
      <c r="K294" s="45" t="str">
        <f>IFERROR(VLOOKUP(B294,'ATIVOS-GESTÃO'!$A$1:$C$329,3),"-")</f>
        <v>MULTI</v>
      </c>
      <c r="L294" s="20" t="str">
        <f>IFERROR(VLOOKUP(B294,'STATUS INVEST FII'!$A$2:$N$404,13,0),"-")</f>
        <v>Ativa</v>
      </c>
      <c r="M294" s="20" t="str">
        <f>IFERROR(VLOOKUP(B294,'DATA-COM'!A:B,2,FALSE),"-")</f>
        <v xml:space="preserve">Último </v>
      </c>
      <c r="N294" s="51">
        <f>IFERROR(VLOOKUP(B294,'STATUS INVEST FII'!$A$2:$N$404,12,0),"-")</f>
        <v>81</v>
      </c>
      <c r="O294" s="54">
        <f>IFERROR(VLOOKUP(B294,'STATUS INVEST FII'!$A$2:$N$404,7,0),0)</f>
        <v>648498.71</v>
      </c>
    </row>
    <row r="295" spans="2:15" x14ac:dyDescent="0.25">
      <c r="B295" s="132" t="s">
        <v>154</v>
      </c>
      <c r="C295" s="9">
        <f>IFERROR(VLOOKUP(B295,'STATUS INVEST FII'!$A$2:$N$404,2,0),0)</f>
        <v>75.47</v>
      </c>
      <c r="D295" s="10">
        <f>IFERROR(VLOOKUP(B295,'STATUS INVEST FII'!$A$2:$N$404,4,0)/100,0)</f>
        <v>8.43E-2</v>
      </c>
      <c r="E295" s="11">
        <f>IFERROR(VLOOKUP(B295,'STATUS INVEST FII'!$A$2:$N$404,6,0),0)</f>
        <v>0.66</v>
      </c>
      <c r="F295" s="12">
        <f>IFERROR(VLOOKUP(B295,'STATUS INVEST FII'!$A$2:$N$404,8,0)/100,0)</f>
        <v>1.1000000000000001E-3</v>
      </c>
      <c r="G295" s="13">
        <f>IFERROR(VLOOKUP(B295,'STATUS INVEST FII'!$A$2:$N$404,9,0)/100,0)</f>
        <v>-2.4E-2</v>
      </c>
      <c r="H295" s="13">
        <f>IFERROR(VLOOKUP(B295,'STATUS INVEST FII'!$A$2:$N$404,10,0)/100,0)</f>
        <v>-0.10949999999999999</v>
      </c>
      <c r="I295" s="20">
        <f>IFERROR(VLOOKUP(B295,'STATUS INVEST FII'!$A$2:$N$404,11,0),0)</f>
        <v>2368441112.9099998</v>
      </c>
      <c r="J295" s="45" t="str">
        <f>IFERROR(VLOOKUP(B295,'ATIVOS-GESTÃO'!$A$1:$C$329,2),"-")</f>
        <v>MULTI</v>
      </c>
      <c r="K295" s="45" t="str">
        <f>IFERROR(VLOOKUP(B295,'ATIVOS-GESTÃO'!$A$1:$C$329,3),"-")</f>
        <v>MULTI</v>
      </c>
      <c r="L295" s="20" t="str">
        <f>IFERROR(VLOOKUP(B295,'STATUS INVEST FII'!$A$2:$N$404,13,0),"-")</f>
        <v>Ativa</v>
      </c>
      <c r="M295" s="20" t="str">
        <f>IFERROR(VLOOKUP(B295,'DATA-COM'!A:B,2,FALSE),"-")</f>
        <v xml:space="preserve">Último </v>
      </c>
      <c r="N295" s="51">
        <f>IFERROR(VLOOKUP(B295,'STATUS INVEST FII'!$A$2:$N$404,12,0),"-")</f>
        <v>53025</v>
      </c>
      <c r="O295" s="54">
        <f>IFERROR(VLOOKUP(B295,'STATUS INVEST FII'!$A$2:$N$404,7,0),0)</f>
        <v>1857008.79</v>
      </c>
    </row>
    <row r="296" spans="2:15" x14ac:dyDescent="0.25">
      <c r="B296" s="132" t="s">
        <v>159</v>
      </c>
      <c r="C296" s="9">
        <f>IFERROR(VLOOKUP(B296,'STATUS INVEST FII'!$A$2:$N$404,2,0),0)</f>
        <v>81.3</v>
      </c>
      <c r="D296" s="10">
        <f>IFERROR(VLOOKUP(B296,'STATUS INVEST FII'!$A$2:$N$404,4,0)/100,0)</f>
        <v>0.1003</v>
      </c>
      <c r="E296" s="11">
        <f>IFERROR(VLOOKUP(B296,'STATUS INVEST FII'!$A$2:$N$404,6,0),0)</f>
        <v>0.68</v>
      </c>
      <c r="F296" s="12">
        <f>IFERROR(VLOOKUP(B296,'STATUS INVEST FII'!$A$2:$N$404,8,0)/100,0)</f>
        <v>7.8000000000000005E-3</v>
      </c>
      <c r="G296" s="13">
        <f>IFERROR(VLOOKUP(B296,'STATUS INVEST FII'!$A$2:$N$404,9,0)/100,0)</f>
        <v>-0.11019999999999999</v>
      </c>
      <c r="H296" s="13">
        <f>IFERROR(VLOOKUP(B296,'STATUS INVEST FII'!$A$2:$N$404,10,0)/100,0)</f>
        <v>-8.7100000000000011E-2</v>
      </c>
      <c r="I296" s="20">
        <f>IFERROR(VLOOKUP(B296,'STATUS INVEST FII'!$A$2:$N$404,11,0),0)</f>
        <v>135294023.31999999</v>
      </c>
      <c r="J296" s="45" t="str">
        <f>IFERROR(VLOOKUP(B296,'ATIVOS-GESTÃO'!$A$1:$C$329,2),"-")</f>
        <v>MULTI</v>
      </c>
      <c r="K296" s="45" t="str">
        <f>IFERROR(VLOOKUP(B296,'ATIVOS-GESTÃO'!$A$1:$C$329,3),"-")</f>
        <v>MULTI</v>
      </c>
      <c r="L296" s="20" t="str">
        <f>IFERROR(VLOOKUP(B296,'STATUS INVEST FII'!$A$2:$N$404,13,0),"-")</f>
        <v>Passiva</v>
      </c>
      <c r="M296" s="20" t="str">
        <f>IFERROR(VLOOKUP(B296,'DATA-COM'!A:B,2,FALSE),"-")</f>
        <v xml:space="preserve">Quinto </v>
      </c>
      <c r="N296" s="51">
        <f>IFERROR(VLOOKUP(B296,'STATUS INVEST FII'!$A$2:$N$404,12,0),"-")</f>
        <v>4266</v>
      </c>
      <c r="O296" s="54">
        <f>IFERROR(VLOOKUP(B296,'STATUS INVEST FII'!$A$2:$N$404,7,0),0)</f>
        <v>108483.26</v>
      </c>
    </row>
    <row r="297" spans="2:15" x14ac:dyDescent="0.25">
      <c r="B297" s="132" t="s">
        <v>57</v>
      </c>
      <c r="C297" s="9">
        <f>IFERROR(VLOOKUP(B297,'STATUS INVEST FII'!$A$2:$N$404,2,0),0)</f>
        <v>106.24</v>
      </c>
      <c r="D297" s="10">
        <f>IFERROR(VLOOKUP(B297,'STATUS INVEST FII'!$A$2:$N$404,4,0)/100,0)</f>
        <v>0.12359999999999999</v>
      </c>
      <c r="E297" s="11">
        <f>IFERROR(VLOOKUP(B297,'STATUS INVEST FII'!$A$2:$N$404,6,0),0)</f>
        <v>0.94</v>
      </c>
      <c r="F297" s="12">
        <f>IFERROR(VLOOKUP(B297,'STATUS INVEST FII'!$A$2:$N$404,8,0)/100,0)</f>
        <v>0.20030000000000001</v>
      </c>
      <c r="G297" s="13">
        <f>IFERROR(VLOOKUP(B297,'STATUS INVEST FII'!$A$2:$N$404,9,0)/100,0)</f>
        <v>5.4000000000000003E-3</v>
      </c>
      <c r="H297" s="13">
        <f>IFERROR(VLOOKUP(B297,'STATUS INVEST FII'!$A$2:$N$404,10,0)/100,0)</f>
        <v>-6.5000000000000006E-3</v>
      </c>
      <c r="I297" s="20">
        <f>IFERROR(VLOOKUP(B297,'STATUS INVEST FII'!$A$2:$N$404,11,0),0)</f>
        <v>471387789.38</v>
      </c>
      <c r="J297" s="45" t="str">
        <f>IFERROR(VLOOKUP(B297,'ATIVOS-GESTÃO'!$A$1:$C$329,2),"-")</f>
        <v>MULTI</v>
      </c>
      <c r="K297" s="45" t="str">
        <f>IFERROR(VLOOKUP(B297,'ATIVOS-GESTÃO'!$A$1:$C$329,3),"-")</f>
        <v>MULTI</v>
      </c>
      <c r="L297" s="20" t="str">
        <f>IFERROR(VLOOKUP(B297,'STATUS INVEST FII'!$A$2:$N$404,13,0),"-")</f>
        <v>Ativa</v>
      </c>
      <c r="M297" s="20" t="str">
        <f>IFERROR(VLOOKUP(B297,'DATA-COM'!A:B,2,FALSE),"-")</f>
        <v xml:space="preserve">Último </v>
      </c>
      <c r="N297" s="51">
        <f>IFERROR(VLOOKUP(B297,'STATUS INVEST FII'!$A$2:$N$404,12,0),"-")</f>
        <v>29509</v>
      </c>
      <c r="O297" s="54">
        <f>IFERROR(VLOOKUP(B297,'STATUS INVEST FII'!$A$2:$N$404,7,0),0)</f>
        <v>449072.76</v>
      </c>
    </row>
    <row r="298" spans="2:15" x14ac:dyDescent="0.25">
      <c r="B298" s="132" t="s">
        <v>165</v>
      </c>
      <c r="C298" s="9">
        <f>IFERROR(VLOOKUP(B298,'STATUS INVEST FII'!$A$2:$N$404,2,0),0)</f>
        <v>227.5</v>
      </c>
      <c r="D298" s="10">
        <f>IFERROR(VLOOKUP(B298,'STATUS INVEST FII'!$A$2:$N$404,4,0)/100,0)</f>
        <v>1.43E-2</v>
      </c>
      <c r="E298" s="11">
        <f>IFERROR(VLOOKUP(B298,'STATUS INVEST FII'!$A$2:$N$404,6,0),0)</f>
        <v>0.89</v>
      </c>
      <c r="F298" s="12">
        <f>IFERROR(VLOOKUP(B298,'STATUS INVEST FII'!$A$2:$N$404,8,0)/100,0)</f>
        <v>0.1278</v>
      </c>
      <c r="G298" s="13">
        <f>IFERROR(VLOOKUP(B298,'STATUS INVEST FII'!$A$2:$N$404,9,0)/100,0)</f>
        <v>0</v>
      </c>
      <c r="H298" s="13">
        <f>IFERROR(VLOOKUP(B298,'STATUS INVEST FII'!$A$2:$N$404,10,0)/100,0)</f>
        <v>0</v>
      </c>
      <c r="I298" s="20">
        <f>IFERROR(VLOOKUP(B298,'STATUS INVEST FII'!$A$2:$N$404,11,0),0)</f>
        <v>86231672.670000002</v>
      </c>
      <c r="J298" s="45" t="str">
        <f>IFERROR(VLOOKUP(B298,'ATIVOS-GESTÃO'!$A$1:$C$329,2),"-")</f>
        <v>MONO</v>
      </c>
      <c r="K298" s="45" t="str">
        <f>IFERROR(VLOOKUP(B298,'ATIVOS-GESTÃO'!$A$1:$C$329,3),"-")</f>
        <v>MULTI</v>
      </c>
      <c r="L298" s="20" t="str">
        <f>IFERROR(VLOOKUP(B298,'STATUS INVEST FII'!$A$2:$N$404,13,0),"-")</f>
        <v>Ativa</v>
      </c>
      <c r="M298" s="20" t="str">
        <f>IFERROR(VLOOKUP(B298,'DATA-COM'!A:B,2,FALSE),"-")</f>
        <v xml:space="preserve">Último </v>
      </c>
      <c r="N298" s="51">
        <f>IFERROR(VLOOKUP(B298,'STATUS INVEST FII'!$A$2:$N$404,12,0),"-")</f>
        <v>7</v>
      </c>
      <c r="O298" s="54">
        <f>IFERROR(VLOOKUP(B298,'STATUS INVEST FII'!$A$2:$N$404,7,0),0)</f>
        <v>0</v>
      </c>
    </row>
    <row r="299" spans="2:15" x14ac:dyDescent="0.25">
      <c r="B299" s="132" t="s">
        <v>321</v>
      </c>
      <c r="C299" s="9">
        <f>IFERROR(VLOOKUP(B299,'STATUS INVEST FII'!$A$2:$N$404,2,0),0)</f>
        <v>83.43</v>
      </c>
      <c r="D299" s="10">
        <f>IFERROR(VLOOKUP(B299,'STATUS INVEST FII'!$A$2:$N$404,4,0)/100,0)</f>
        <v>0.12809999999999999</v>
      </c>
      <c r="E299" s="11">
        <f>IFERROR(VLOOKUP(B299,'STATUS INVEST FII'!$A$2:$N$404,6,0),0)</f>
        <v>0.9</v>
      </c>
      <c r="F299" s="12">
        <f>IFERROR(VLOOKUP(B299,'STATUS INVEST FII'!$A$2:$N$404,8,0)/100,0)</f>
        <v>0.17019999999999999</v>
      </c>
      <c r="G299" s="13">
        <f>IFERROR(VLOOKUP(B299,'STATUS INVEST FII'!$A$2:$N$404,9,0)/100,0)</f>
        <v>0.1333</v>
      </c>
      <c r="H299" s="13">
        <f>IFERROR(VLOOKUP(B299,'STATUS INVEST FII'!$A$2:$N$404,10,0)/100,0)</f>
        <v>-2.2099999999999998E-2</v>
      </c>
      <c r="I299" s="20">
        <f>IFERROR(VLOOKUP(B299,'STATUS INVEST FII'!$A$2:$N$404,11,0),0)</f>
        <v>99576629.269999996</v>
      </c>
      <c r="J299" s="45" t="str">
        <f>IFERROR(VLOOKUP(B299,'ATIVOS-GESTÃO'!$A$1:$C$329,2),"-")</f>
        <v>MULTI</v>
      </c>
      <c r="K299" s="45" t="str">
        <f>IFERROR(VLOOKUP(B299,'ATIVOS-GESTÃO'!$A$1:$C$329,3),"-")</f>
        <v>MULTI</v>
      </c>
      <c r="L299" s="20" t="str">
        <f>IFERROR(VLOOKUP(B299,'STATUS INVEST FII'!$A$2:$N$404,13,0),"-")</f>
        <v>Ativa</v>
      </c>
      <c r="M299" s="20" t="str">
        <f>IFERROR(VLOOKUP(B299,'DATA-COM'!A:B,2,FALSE),"-")</f>
        <v xml:space="preserve">Décimo </v>
      </c>
      <c r="N299" s="51">
        <f>IFERROR(VLOOKUP(B299,'STATUS INVEST FII'!$A$2:$N$404,12,0),"-")</f>
        <v>4748</v>
      </c>
      <c r="O299" s="54">
        <f>IFERROR(VLOOKUP(B299,'STATUS INVEST FII'!$A$2:$N$404,7,0),0)</f>
        <v>200101.53</v>
      </c>
    </row>
    <row r="300" spans="2:15" x14ac:dyDescent="0.25">
      <c r="B300" s="132" t="s">
        <v>178</v>
      </c>
      <c r="C300" s="9">
        <f>IFERROR(VLOOKUP(B300,'STATUS INVEST FII'!$A$2:$N$404,2,0),0)</f>
        <v>46.04</v>
      </c>
      <c r="D300" s="10">
        <f>IFERROR(VLOOKUP(B300,'STATUS INVEST FII'!$A$2:$N$404,4,0)/100,0)</f>
        <v>2.6000000000000002E-2</v>
      </c>
      <c r="E300" s="11">
        <f>IFERROR(VLOOKUP(B300,'STATUS INVEST FII'!$A$2:$N$404,6,0),0)</f>
        <v>0.65</v>
      </c>
      <c r="F300" s="12">
        <f>IFERROR(VLOOKUP(B300,'STATUS INVEST FII'!$A$2:$N$404,8,0)/100,0)</f>
        <v>2.6800000000000001E-2</v>
      </c>
      <c r="G300" s="13">
        <f>IFERROR(VLOOKUP(B300,'STATUS INVEST FII'!$A$2:$N$404,9,0)/100,0)</f>
        <v>-0.48649999999999999</v>
      </c>
      <c r="H300" s="13">
        <f>IFERROR(VLOOKUP(B300,'STATUS INVEST FII'!$A$2:$N$404,10,0)/100,0)</f>
        <v>-0.19219999999999998</v>
      </c>
      <c r="I300" s="20">
        <f>IFERROR(VLOOKUP(B300,'STATUS INVEST FII'!$A$2:$N$404,11,0),0)</f>
        <v>133766169.40000001</v>
      </c>
      <c r="J300" s="45" t="str">
        <f>IFERROR(VLOOKUP(B300,'ATIVOS-GESTÃO'!$A$1:$C$329,2),"-")</f>
        <v>MULTI</v>
      </c>
      <c r="K300" s="45" t="str">
        <f>IFERROR(VLOOKUP(B300,'ATIVOS-GESTÃO'!$A$1:$C$329,3),"-")</f>
        <v>MULTI</v>
      </c>
      <c r="L300" s="20" t="str">
        <f>IFERROR(VLOOKUP(B300,'STATUS INVEST FII'!$A$2:$N$404,13,0),"-")</f>
        <v>Passiva</v>
      </c>
      <c r="M300" s="20" t="str">
        <f>IFERROR(VLOOKUP(B300,'DATA-COM'!A:B,2,FALSE),"-")</f>
        <v xml:space="preserve">Último </v>
      </c>
      <c r="N300" s="51">
        <f>IFERROR(VLOOKUP(B300,'STATUS INVEST FII'!$A$2:$N$404,12,0),"-")</f>
        <v>10621</v>
      </c>
      <c r="O300" s="54">
        <f>IFERROR(VLOOKUP(B300,'STATUS INVEST FII'!$A$2:$N$404,7,0),0)</f>
        <v>72969.119999999995</v>
      </c>
    </row>
    <row r="301" spans="2:15" x14ac:dyDescent="0.25">
      <c r="B301" s="132" t="s">
        <v>104</v>
      </c>
      <c r="C301" s="9">
        <f>IFERROR(VLOOKUP(B301,'STATUS INVEST FII'!$A$2:$N$404,2,0),0)</f>
        <v>66.14</v>
      </c>
      <c r="D301" s="10">
        <f>IFERROR(VLOOKUP(B301,'STATUS INVEST FII'!$A$2:$N$404,4,0)/100,0)</f>
        <v>7.6399999999999996E-2</v>
      </c>
      <c r="E301" s="11">
        <f>IFERROR(VLOOKUP(B301,'STATUS INVEST FII'!$A$2:$N$404,6,0),0)</f>
        <v>0.8</v>
      </c>
      <c r="F301" s="12">
        <f>IFERROR(VLOOKUP(B301,'STATUS INVEST FII'!$A$2:$N$404,8,0)/100,0)</f>
        <v>2.4E-2</v>
      </c>
      <c r="G301" s="13">
        <f>IFERROR(VLOOKUP(B301,'STATUS INVEST FII'!$A$2:$N$404,9,0)/100,0)</f>
        <v>3.6799999999999999E-2</v>
      </c>
      <c r="H301" s="13">
        <f>IFERROR(VLOOKUP(B301,'STATUS INVEST FII'!$A$2:$N$404,10,0)/100,0)</f>
        <v>0</v>
      </c>
      <c r="I301" s="20">
        <f>IFERROR(VLOOKUP(B301,'STATUS INVEST FII'!$A$2:$N$404,11,0),0)</f>
        <v>1024046383.21</v>
      </c>
      <c r="J301" s="45" t="str">
        <f>IFERROR(VLOOKUP(B301,'ATIVOS-GESTÃO'!$A$1:$C$329,2),"-")</f>
        <v>MULTI</v>
      </c>
      <c r="K301" s="45" t="str">
        <f>IFERROR(VLOOKUP(B301,'ATIVOS-GESTÃO'!$A$1:$C$329,3),"-")</f>
        <v>MULTI</v>
      </c>
      <c r="L301" s="20" t="str">
        <f>IFERROR(VLOOKUP(B301,'STATUS INVEST FII'!$A$2:$N$404,13,0),"-")</f>
        <v>Ativa</v>
      </c>
      <c r="M301" s="20" t="str">
        <f>IFERROR(VLOOKUP(B301,'DATA-COM'!A:B,2,FALSE),"-")</f>
        <v xml:space="preserve">Quinto </v>
      </c>
      <c r="N301" s="51">
        <f>IFERROR(VLOOKUP(B301,'STATUS INVEST FII'!$A$2:$N$404,12,0),"-")</f>
        <v>91250</v>
      </c>
      <c r="O301" s="54">
        <f>IFERROR(VLOOKUP(B301,'STATUS INVEST FII'!$A$2:$N$404,7,0),0)</f>
        <v>1720221.68</v>
      </c>
    </row>
    <row r="302" spans="2:15" x14ac:dyDescent="0.25">
      <c r="B302" s="132" t="s">
        <v>186</v>
      </c>
      <c r="C302" s="9">
        <f>IFERROR(VLOOKUP(B302,'STATUS INVEST FII'!$A$2:$N$404,2,0),0)</f>
        <v>68.739999999999995</v>
      </c>
      <c r="D302" s="10">
        <f>IFERROR(VLOOKUP(B302,'STATUS INVEST FII'!$A$2:$N$404,4,0)/100,0)</f>
        <v>0.1085</v>
      </c>
      <c r="E302" s="11">
        <f>IFERROR(VLOOKUP(B302,'STATUS INVEST FII'!$A$2:$N$404,6,0),0)</f>
        <v>0.7</v>
      </c>
      <c r="F302" s="12">
        <f>IFERROR(VLOOKUP(B302,'STATUS INVEST FII'!$A$2:$N$404,8,0)/100,0)</f>
        <v>0.1331</v>
      </c>
      <c r="G302" s="13">
        <f>IFERROR(VLOOKUP(B302,'STATUS INVEST FII'!$A$2:$N$404,9,0)/100,0)</f>
        <v>0</v>
      </c>
      <c r="H302" s="13">
        <f>IFERROR(VLOOKUP(B302,'STATUS INVEST FII'!$A$2:$N$404,10,0)/100,0)</f>
        <v>0</v>
      </c>
      <c r="I302" s="20">
        <f>IFERROR(VLOOKUP(B302,'STATUS INVEST FII'!$A$2:$N$404,11,0),0)</f>
        <v>916067410.38</v>
      </c>
      <c r="J302" s="45" t="str">
        <f>IFERROR(VLOOKUP(B302,'ATIVOS-GESTÃO'!$A$1:$C$329,2),"-")</f>
        <v>MULTI</v>
      </c>
      <c r="K302" s="45" t="str">
        <f>IFERROR(VLOOKUP(B302,'ATIVOS-GESTÃO'!$A$1:$C$329,3),"-")</f>
        <v>MULTI</v>
      </c>
      <c r="L302" s="20" t="str">
        <f>IFERROR(VLOOKUP(B302,'STATUS INVEST FII'!$A$2:$N$404,13,0),"-")</f>
        <v>Ativa</v>
      </c>
      <c r="M302" s="20" t="str">
        <f>IFERROR(VLOOKUP(B302,'DATA-COM'!A:B,2,FALSE),"-")</f>
        <v xml:space="preserve">Último </v>
      </c>
      <c r="N302" s="51">
        <f>IFERROR(VLOOKUP(B302,'STATUS INVEST FII'!$A$2:$N$404,12,0),"-")</f>
        <v>15187</v>
      </c>
      <c r="O302" s="54">
        <f>IFERROR(VLOOKUP(B302,'STATUS INVEST FII'!$A$2:$N$404,7,0),0)</f>
        <v>1017903.26</v>
      </c>
    </row>
    <row r="303" spans="2:15" x14ac:dyDescent="0.25">
      <c r="B303" s="132" t="s">
        <v>347</v>
      </c>
      <c r="C303" s="9">
        <f>IFERROR(VLOOKUP(B303,'STATUS INVEST FII'!$A$2:$N$404,2,0),0)</f>
        <v>1156.93</v>
      </c>
      <c r="D303" s="10">
        <f>IFERROR(VLOOKUP(B303,'STATUS INVEST FII'!$A$2:$N$404,4,0)/100,0)</f>
        <v>7.4400000000000008E-2</v>
      </c>
      <c r="E303" s="11">
        <f>IFERROR(VLOOKUP(B303,'STATUS INVEST FII'!$A$2:$N$404,6,0),0)</f>
        <v>1.1499999999999999</v>
      </c>
      <c r="F303" s="12">
        <f>IFERROR(VLOOKUP(B303,'STATUS INVEST FII'!$A$2:$N$404,8,0)/100,0)</f>
        <v>1.01E-2</v>
      </c>
      <c r="G303" s="13">
        <f>IFERROR(VLOOKUP(B303,'STATUS INVEST FII'!$A$2:$N$404,9,0)/100,0)</f>
        <v>0</v>
      </c>
      <c r="H303" s="13">
        <f>IFERROR(VLOOKUP(B303,'STATUS INVEST FII'!$A$2:$N$404,10,0)/100,0)</f>
        <v>0</v>
      </c>
      <c r="I303" s="20">
        <f>IFERROR(VLOOKUP(B303,'STATUS INVEST FII'!$A$2:$N$404,11,0),0)</f>
        <v>63395863.039999999</v>
      </c>
      <c r="J303" s="45" t="str">
        <f>IFERROR(VLOOKUP(B303,'ATIVOS-GESTÃO'!$A$1:$C$329,2),"-")</f>
        <v>MONO</v>
      </c>
      <c r="K303" s="45" t="str">
        <f>IFERROR(VLOOKUP(B303,'ATIVOS-GESTÃO'!$A$1:$C$329,3),"-")</f>
        <v>MONO</v>
      </c>
      <c r="L303" s="20" t="str">
        <f>IFERROR(VLOOKUP(B303,'STATUS INVEST FII'!$A$2:$N$404,13,0),"-")</f>
        <v>Ativa</v>
      </c>
      <c r="M303" s="20" t="str">
        <f>IFERROR(VLOOKUP(B303,'DATA-COM'!A:B,2,FALSE),"-")</f>
        <v xml:space="preserve">Último </v>
      </c>
      <c r="N303" s="51">
        <f>IFERROR(VLOOKUP(B303,'STATUS INVEST FII'!$A$2:$N$404,12,0),"-")</f>
        <v>52</v>
      </c>
      <c r="O303" s="54">
        <f>IFERROR(VLOOKUP(B303,'STATUS INVEST FII'!$A$2:$N$404,7,0),0)</f>
        <v>1156</v>
      </c>
    </row>
    <row r="304" spans="2:15" x14ac:dyDescent="0.25">
      <c r="B304" s="126" t="s">
        <v>106</v>
      </c>
      <c r="C304" s="9">
        <f>IFERROR(VLOOKUP(B304,'STATUS INVEST FII'!$A$2:$N$404,2,0),0)</f>
        <v>113.92</v>
      </c>
      <c r="D304" s="10">
        <f>IFERROR(VLOOKUP(B304,'STATUS INVEST FII'!$A$2:$N$404,4,0)/100,0)</f>
        <v>0.1231</v>
      </c>
      <c r="E304" s="11">
        <f>IFERROR(VLOOKUP(B304,'STATUS INVEST FII'!$A$2:$N$404,6,0),0)</f>
        <v>0.87</v>
      </c>
      <c r="F304" s="12">
        <f>IFERROR(VLOOKUP(B304,'STATUS INVEST FII'!$A$2:$N$404,8,0)/100,0)</f>
        <v>3.0499999999999999E-2</v>
      </c>
      <c r="G304" s="13">
        <f>IFERROR(VLOOKUP(B304,'STATUS INVEST FII'!$A$2:$N$404,9,0)/100,0)</f>
        <v>9.4800000000000009E-2</v>
      </c>
      <c r="H304" s="13">
        <f>IFERROR(VLOOKUP(B304,'STATUS INVEST FII'!$A$2:$N$404,10,0)/100,0)</f>
        <v>-2.6800000000000001E-2</v>
      </c>
      <c r="I304" s="20">
        <f>IFERROR(VLOOKUP(B304,'STATUS INVEST FII'!$A$2:$N$404,11,0),0)</f>
        <v>1489112733.4100001</v>
      </c>
      <c r="J304" s="45" t="str">
        <f>IFERROR(VLOOKUP(B304,'ATIVOS-GESTÃO'!$A$1:$C$329,2),"-")</f>
        <v>MULTI</v>
      </c>
      <c r="K304" s="45" t="str">
        <f>IFERROR(VLOOKUP(B304,'ATIVOS-GESTÃO'!$A$1:$C$329,3),"-")</f>
        <v>MULTI</v>
      </c>
      <c r="L304" s="20" t="str">
        <f>IFERROR(VLOOKUP(B304,'STATUS INVEST FII'!$A$2:$N$404,13,0),"-")</f>
        <v>Ativa</v>
      </c>
      <c r="M304" s="20" t="str">
        <f>IFERROR(VLOOKUP(B304,'DATA-COM'!A:B,2,FALSE),"-")</f>
        <v xml:space="preserve">Último </v>
      </c>
      <c r="N304" s="51">
        <f>IFERROR(VLOOKUP(B304,'STATUS INVEST FII'!$A$2:$N$404,12,0),"-")</f>
        <v>80923</v>
      </c>
      <c r="O304" s="54">
        <f>IFERROR(VLOOKUP(B304,'STATUS INVEST FII'!$A$2:$N$404,7,0),0)</f>
        <v>3189018.85</v>
      </c>
    </row>
    <row r="305" spans="1:15" x14ac:dyDescent="0.25">
      <c r="B305" s="126" t="s">
        <v>209</v>
      </c>
      <c r="C305" s="9">
        <f>IFERROR(VLOOKUP(B305,'STATUS INVEST FII'!$A$2:$N$404,2,0),0)</f>
        <v>121</v>
      </c>
      <c r="D305" s="10">
        <f>IFERROR(VLOOKUP(B305,'STATUS INVEST FII'!$A$2:$N$404,4,0)/100,0)</f>
        <v>8.09E-2</v>
      </c>
      <c r="E305" s="11">
        <f>IFERROR(VLOOKUP(B305,'STATUS INVEST FII'!$A$2:$N$404,6,0),0)</f>
        <v>1.26</v>
      </c>
      <c r="F305" s="12">
        <f>IFERROR(VLOOKUP(B305,'STATUS INVEST FII'!$A$2:$N$404,8,0)/100,0)</f>
        <v>3.4500000000000003E-2</v>
      </c>
      <c r="G305" s="13">
        <f>IFERROR(VLOOKUP(B305,'STATUS INVEST FII'!$A$2:$N$404,9,0)/100,0)</f>
        <v>0</v>
      </c>
      <c r="H305" s="13">
        <f>IFERROR(VLOOKUP(B305,'STATUS INVEST FII'!$A$2:$N$404,10,0)/100,0)</f>
        <v>0</v>
      </c>
      <c r="I305" s="20">
        <f>IFERROR(VLOOKUP(B305,'STATUS INVEST FII'!$A$2:$N$404,11,0),0)</f>
        <v>240321791.69</v>
      </c>
      <c r="J305" s="45" t="str">
        <f>IFERROR(VLOOKUP(B305,'ATIVOS-GESTÃO'!$A$1:$C$329,2),"-")</f>
        <v>MULTI</v>
      </c>
      <c r="K305" s="45" t="str">
        <f>IFERROR(VLOOKUP(B305,'ATIVOS-GESTÃO'!$A$1:$C$329,3),"-")</f>
        <v>MULTI</v>
      </c>
      <c r="L305" s="20" t="str">
        <f>IFERROR(VLOOKUP(B305,'STATUS INVEST FII'!$A$2:$N$404,13,0),"-")</f>
        <v>Passiva</v>
      </c>
      <c r="M305" s="20" t="str">
        <f>IFERROR(VLOOKUP(B305,'DATA-COM'!A:B,2,FALSE),"-")</f>
        <v xml:space="preserve">Último </v>
      </c>
      <c r="N305" s="51">
        <f>IFERROR(VLOOKUP(B305,'STATUS INVEST FII'!$A$2:$N$404,12,0),"-")</f>
        <v>169</v>
      </c>
      <c r="O305" s="54">
        <f>IFERROR(VLOOKUP(B305,'STATUS INVEST FII'!$A$2:$N$404,7,0),0)</f>
        <v>437012.39</v>
      </c>
    </row>
    <row r="306" spans="1:15" x14ac:dyDescent="0.25">
      <c r="B306" s="126" t="s">
        <v>107</v>
      </c>
      <c r="C306" s="9">
        <f>IFERROR(VLOOKUP(B306,'STATUS INVEST FII'!$A$2:$N$404,2,0),0)</f>
        <v>100.8</v>
      </c>
      <c r="D306" s="10">
        <f>IFERROR(VLOOKUP(B306,'STATUS INVEST FII'!$A$2:$N$404,4,0)/100,0)</f>
        <v>8.8000000000000009E-2</v>
      </c>
      <c r="E306" s="11">
        <f>IFERROR(VLOOKUP(B306,'STATUS INVEST FII'!$A$2:$N$404,6,0),0)</f>
        <v>0.99</v>
      </c>
      <c r="F306" s="12">
        <f>IFERROR(VLOOKUP(B306,'STATUS INVEST FII'!$A$2:$N$404,8,0)/100,0)</f>
        <v>3.1899999999999998E-2</v>
      </c>
      <c r="G306" s="13">
        <f>IFERROR(VLOOKUP(B306,'STATUS INVEST FII'!$A$2:$N$404,9,0)/100,0)</f>
        <v>0</v>
      </c>
      <c r="H306" s="13">
        <f>IFERROR(VLOOKUP(B306,'STATUS INVEST FII'!$A$2:$N$404,10,0)/100,0)</f>
        <v>0</v>
      </c>
      <c r="I306" s="20">
        <f>IFERROR(VLOOKUP(B306,'STATUS INVEST FII'!$A$2:$N$404,11,0),0)</f>
        <v>738428430.97000003</v>
      </c>
      <c r="J306" s="45" t="str">
        <f>IFERROR(VLOOKUP(B306,'ATIVOS-GESTÃO'!$A$1:$C$329,2),"-")</f>
        <v>MULTI</v>
      </c>
      <c r="K306" s="45" t="str">
        <f>IFERROR(VLOOKUP(B306,'ATIVOS-GESTÃO'!$A$1:$C$329,3),"-")</f>
        <v>MULTI</v>
      </c>
      <c r="L306" s="20" t="str">
        <f>IFERROR(VLOOKUP(B306,'STATUS INVEST FII'!$A$2:$N$404,13,0),"-")</f>
        <v>Ativa</v>
      </c>
      <c r="M306" s="20" t="str">
        <f>IFERROR(VLOOKUP(B306,'DATA-COM'!A:B,2,FALSE),"-")</f>
        <v xml:space="preserve">Último </v>
      </c>
      <c r="N306" s="51">
        <f>IFERROR(VLOOKUP(B306,'STATUS INVEST FII'!$A$2:$N$404,12,0),"-")</f>
        <v>39634</v>
      </c>
      <c r="O306" s="54">
        <f>IFERROR(VLOOKUP(B306,'STATUS INVEST FII'!$A$2:$N$404,7,0),0)</f>
        <v>1534958.26</v>
      </c>
    </row>
    <row r="307" spans="1:15" x14ac:dyDescent="0.25">
      <c r="B307" s="126" t="s">
        <v>374</v>
      </c>
      <c r="C307" s="9">
        <f>IFERROR(VLOOKUP(B307,'STATUS INVEST FII'!$A$2:$N$404,2,0),0)</f>
        <v>10.15</v>
      </c>
      <c r="D307" s="10">
        <f>IFERROR(VLOOKUP(B307,'STATUS INVEST FII'!$A$2:$N$404,4,0)/100,0)</f>
        <v>0.13689999999999999</v>
      </c>
      <c r="E307" s="11">
        <f>IFERROR(VLOOKUP(B307,'STATUS INVEST FII'!$A$2:$N$404,6,0),0)</f>
        <v>1.08</v>
      </c>
      <c r="F307" s="12">
        <f>IFERROR(VLOOKUP(B307,'STATUS INVEST FII'!$A$2:$N$404,8,0)/100,0)</f>
        <v>1.2199999999999999E-2</v>
      </c>
      <c r="G307" s="13">
        <f>IFERROR(VLOOKUP(B307,'STATUS INVEST FII'!$A$2:$N$404,9,0)/100,0)</f>
        <v>0</v>
      </c>
      <c r="H307" s="13">
        <f>IFERROR(VLOOKUP(B307,'STATUS INVEST FII'!$A$2:$N$404,10,0)/100,0)</f>
        <v>0</v>
      </c>
      <c r="I307" s="20">
        <f>IFERROR(VLOOKUP(B307,'STATUS INVEST FII'!$A$2:$N$404,11,0),0)</f>
        <v>313403576.25</v>
      </c>
      <c r="J307" s="45" t="str">
        <f>IFERROR(VLOOKUP(B307,'ATIVOS-GESTÃO'!$A$1:$C$329,2),"-")</f>
        <v>-</v>
      </c>
      <c r="K307" s="45" t="str">
        <f>IFERROR(VLOOKUP(B307,'ATIVOS-GESTÃO'!$A$1:$C$329,3),"-")</f>
        <v>-</v>
      </c>
      <c r="L307" s="20" t="str">
        <f>IFERROR(VLOOKUP(B307,'STATUS INVEST FII'!$A$2:$N$404,13,0),"-")</f>
        <v>Ativa</v>
      </c>
      <c r="M307" s="20" t="str">
        <f>IFERROR(VLOOKUP(B307,'DATA-COM'!A:B,2,FALSE),"-")</f>
        <v xml:space="preserve">Último </v>
      </c>
      <c r="N307" s="51">
        <f>IFERROR(VLOOKUP(B307,'STATUS INVEST FII'!$A$2:$N$404,12,0),"-")</f>
        <v>44772</v>
      </c>
      <c r="O307" s="54">
        <f>IFERROR(VLOOKUP(B307,'STATUS INVEST FII'!$A$2:$N$404,7,0),0)</f>
        <v>2245178.88</v>
      </c>
    </row>
    <row r="308" spans="1:15" ht="15.75" thickBot="1" x14ac:dyDescent="0.3">
      <c r="B308" s="133" t="s">
        <v>446</v>
      </c>
      <c r="C308" s="14">
        <f>IFERROR(VLOOKUP(B308,'STATUS INVEST FII'!$A$2:$N$404,2,0),0)</f>
        <v>76.3</v>
      </c>
      <c r="D308" s="15">
        <f>IFERROR(VLOOKUP(B308,'STATUS INVEST FII'!$A$2:$N$404,4,0)/100,0)</f>
        <v>7.0900000000000005E-2</v>
      </c>
      <c r="E308" s="16">
        <f>IFERROR(VLOOKUP(B308,'STATUS INVEST FII'!$A$2:$N$404,6,0),0)</f>
        <v>0.79</v>
      </c>
      <c r="F308" s="17">
        <f>IFERROR(VLOOKUP(B308,'STATUS INVEST FII'!$A$2:$N$404,8,0)/100,0)</f>
        <v>0.14080000000000001</v>
      </c>
      <c r="G308" s="18">
        <f>IFERROR(VLOOKUP(B308,'STATUS INVEST FII'!$A$2:$N$404,9,0)/100,0)</f>
        <v>0</v>
      </c>
      <c r="H308" s="18">
        <f>IFERROR(VLOOKUP(B308,'STATUS INVEST FII'!$A$2:$N$404,10,0)/100,0)</f>
        <v>0</v>
      </c>
      <c r="I308" s="21">
        <f>IFERROR(VLOOKUP(B308,'STATUS INVEST FII'!$A$2:$N$404,11,0),0)</f>
        <v>260302313.18000001</v>
      </c>
      <c r="J308" s="137" t="str">
        <f>IFERROR(VLOOKUP(B308,'ATIVOS-GESTÃO'!$A$1:$C$329,2),"-")</f>
        <v>MULTI</v>
      </c>
      <c r="K308" s="137" t="str">
        <f>IFERROR(VLOOKUP(B308,'ATIVOS-GESTÃO'!$A$1:$C$329,3),"-")</f>
        <v>MULTI</v>
      </c>
      <c r="L308" s="21" t="str">
        <f>IFERROR(VLOOKUP(B308,'STATUS INVEST FII'!$A$2:$N$404,13,0),"-")</f>
        <v>Ativa</v>
      </c>
      <c r="M308" s="21" t="str">
        <f>IFERROR(VLOOKUP(B308,'DATA-COM'!A:B,2,FALSE),"-")</f>
        <v xml:space="preserve">Último </v>
      </c>
      <c r="N308" s="55">
        <f>IFERROR(VLOOKUP(B308,'STATUS INVEST FII'!$A$2:$N$404,12,0),"-")</f>
        <v>3880</v>
      </c>
      <c r="O308" s="56">
        <f>IFERROR(VLOOKUP(B308,'STATUS INVEST FII'!$A$2:$N$404,7,0),0)</f>
        <v>301801.09000000003</v>
      </c>
    </row>
    <row r="309" spans="1:15" s="2" customFormat="1" ht="15.75" thickBot="1" x14ac:dyDescent="0.3">
      <c r="A309" s="3"/>
      <c r="B309" s="216" t="s">
        <v>288</v>
      </c>
      <c r="C309" s="217">
        <f>IFERROR(VLOOKUP(B309,'STATUS INVEST FII'!$A$2:$N$404,2,0),0)</f>
        <v>0</v>
      </c>
      <c r="D309" s="218">
        <f>IFERROR(VLOOKUP(B309,'STATUS INVEST FII'!$A$2:$N$404,4,0)/100,0)</f>
        <v>0</v>
      </c>
      <c r="E309" s="218">
        <f>IFERROR(VLOOKUP(B309,'STATUS INVEST FII'!$A$2:$N$404,6,0),0)</f>
        <v>0</v>
      </c>
      <c r="F309" s="218">
        <f>IFERROR(VLOOKUP(B309,'STATUS INVEST FII'!$A$2:$N$404,8,0)/100,0)</f>
        <v>0</v>
      </c>
      <c r="G309" s="218">
        <f>IFERROR(VLOOKUP(B309,'STATUS INVEST FII'!$A$2:$N$404,9,0)/100,0)</f>
        <v>0</v>
      </c>
      <c r="H309" s="218">
        <f>IFERROR(VLOOKUP(B309,'STATUS INVEST FII'!$A$2:$N$404,10,0)/100,0)</f>
        <v>0</v>
      </c>
      <c r="I309" s="218">
        <f>IFERROR(VLOOKUP(B309,'STATUS INVEST FII'!$A$2:$N$404,11,0),0)</f>
        <v>0</v>
      </c>
      <c r="J309" s="218" t="str">
        <f>IFERROR(VLOOKUP(B309,'ATIVOS-GESTÃO'!$A$1:$C$329,2),"-")</f>
        <v>MULTI</v>
      </c>
      <c r="K309" s="218" t="str">
        <f>IFERROR(VLOOKUP(B309,'ATIVOS-GESTÃO'!$A$1:$C$329,3),"-")</f>
        <v>-</v>
      </c>
      <c r="L309" s="218" t="str">
        <f>IFERROR(VLOOKUP(B309,'STATUS INVEST FII'!$A$2:$N$404,13,0),"-")</f>
        <v>-</v>
      </c>
      <c r="M309" s="218" t="str">
        <f>IFERROR(VLOOKUP(B309,'DATA-COM'!A:B,2,FALSE),"-")</f>
        <v>-</v>
      </c>
      <c r="N309" s="218" t="str">
        <f>IFERROR(VLOOKUP(B309,'STATUS INVEST FII'!$A$2:$N$404,12,0),"-")</f>
        <v>-</v>
      </c>
      <c r="O309" s="219">
        <f>IFERROR(VLOOKUP(B309,'STATUS INVEST FII'!$A$2:$N$404,7,0),0)</f>
        <v>0</v>
      </c>
    </row>
    <row r="310" spans="1:15" s="2" customFormat="1" x14ac:dyDescent="0.25">
      <c r="A310" s="3"/>
      <c r="B310" s="132" t="s">
        <v>59</v>
      </c>
      <c r="C310" s="4">
        <f>IFERROR(VLOOKUP(B310,'STATUS INVEST FII'!$A$2:$N$404,2,0),0)</f>
        <v>2140</v>
      </c>
      <c r="D310" s="5">
        <f>IFERROR(VLOOKUP(B310,'STATUS INVEST FII'!$A$2:$N$404,4,0)/100,0)</f>
        <v>0.15390000000000001</v>
      </c>
      <c r="E310" s="6">
        <f>IFERROR(VLOOKUP(B310,'STATUS INVEST FII'!$A$2:$N$404,6,0),0)</f>
        <v>0.76</v>
      </c>
      <c r="F310" s="7">
        <f>IFERROR(VLOOKUP(B310,'STATUS INVEST FII'!$A$2:$N$404,8,0)/100,0)</f>
        <v>7.6299999999999993E-2</v>
      </c>
      <c r="G310" s="8">
        <f>IFERROR(VLOOKUP(B310,'STATUS INVEST FII'!$A$2:$N$404,9,0)/100,0)</f>
        <v>3.3000000000000002E-2</v>
      </c>
      <c r="H310" s="8">
        <f>IFERROR(VLOOKUP(B310,'STATUS INVEST FII'!$A$2:$N$404,10,0)/100,0)</f>
        <v>-1.9299999999999998E-2</v>
      </c>
      <c r="I310" s="19">
        <f>IFERROR(VLOOKUP(B310,'STATUS INVEST FII'!$A$2:$N$404,11,0),0)</f>
        <v>370283007.23000002</v>
      </c>
      <c r="J310" s="23" t="str">
        <f>IFERROR(VLOOKUP(B310,'ATIVOS-GESTÃO'!$A$1:$C$329,2),"-")</f>
        <v>MULTI</v>
      </c>
      <c r="K310" s="23" t="str">
        <f>IFERROR(VLOOKUP(B310,'ATIVOS-GESTÃO'!$A$1:$C$329,3),"-")</f>
        <v>MONO</v>
      </c>
      <c r="L310" s="19" t="str">
        <f>IFERROR(VLOOKUP(B310,'STATUS INVEST FII'!$A$2:$N$404,13,0),"-")</f>
        <v>Passiva</v>
      </c>
      <c r="M310" s="19" t="str">
        <f>IFERROR(VLOOKUP(B310,'DATA-COM'!A:B,2,FALSE),"-")</f>
        <v xml:space="preserve">Último </v>
      </c>
      <c r="N310" s="52">
        <f>IFERROR(VLOOKUP(B310,'STATUS INVEST FII'!$A$2:$N$404,12,0),"-")</f>
        <v>8903</v>
      </c>
      <c r="O310" s="53">
        <f>IFERROR(VLOOKUP(B310,'STATUS INVEST FII'!$A$2:$N$404,7,0),0)</f>
        <v>421366.59</v>
      </c>
    </row>
    <row r="311" spans="1:15" s="2" customFormat="1" x14ac:dyDescent="0.25">
      <c r="A311" s="3"/>
      <c r="B311" s="126" t="s">
        <v>60</v>
      </c>
      <c r="C311" s="9">
        <f>IFERROR(VLOOKUP(B311,'STATUS INVEST FII'!$A$2:$N$404,2,0),0)</f>
        <v>90.2</v>
      </c>
      <c r="D311" s="10">
        <f>IFERROR(VLOOKUP(B311,'STATUS INVEST FII'!$A$2:$N$404,4,0)/100,0)</f>
        <v>0.12789999999999999</v>
      </c>
      <c r="E311" s="11">
        <f>IFERROR(VLOOKUP(B311,'STATUS INVEST FII'!$A$2:$N$404,6,0),0)</f>
        <v>0.95</v>
      </c>
      <c r="F311" s="12">
        <f>IFERROR(VLOOKUP(B311,'STATUS INVEST FII'!$A$2:$N$404,8,0)/100,0)</f>
        <v>4.7500000000000001E-2</v>
      </c>
      <c r="G311" s="13">
        <f>IFERROR(VLOOKUP(B311,'STATUS INVEST FII'!$A$2:$N$404,9,0)/100,0)</f>
        <v>-2.2700000000000001E-2</v>
      </c>
      <c r="H311" s="13">
        <f>IFERROR(VLOOKUP(B311,'STATUS INVEST FII'!$A$2:$N$404,10,0)/100,0)</f>
        <v>-0.12809999999999999</v>
      </c>
      <c r="I311" s="20">
        <f>IFERROR(VLOOKUP(B311,'STATUS INVEST FII'!$A$2:$N$404,11,0),0)</f>
        <v>1525606117.6600001</v>
      </c>
      <c r="J311" s="45" t="str">
        <f>IFERROR(VLOOKUP(B311,'ATIVOS-GESTÃO'!$A$1:$C$329,2),"-")</f>
        <v>MULTI</v>
      </c>
      <c r="K311" s="45" t="str">
        <f>IFERROR(VLOOKUP(B311,'ATIVOS-GESTÃO'!$A$1:$C$329,3),"-")</f>
        <v>MONO</v>
      </c>
      <c r="L311" s="20" t="str">
        <f>IFERROR(VLOOKUP(B311,'STATUS INVEST FII'!$A$2:$N$404,13,0),"-")</f>
        <v>Passiva</v>
      </c>
      <c r="M311" s="20" t="str">
        <f>IFERROR(VLOOKUP(B311,'DATA-COM'!A:B,2,FALSE),"-")</f>
        <v xml:space="preserve">Último </v>
      </c>
      <c r="N311" s="51">
        <f>IFERROR(VLOOKUP(B311,'STATUS INVEST FII'!$A$2:$N$404,12,0),"-")</f>
        <v>66124</v>
      </c>
      <c r="O311" s="54">
        <f>IFERROR(VLOOKUP(B311,'STATUS INVEST FII'!$A$2:$N$404,7,0),0)</f>
        <v>1167419.26</v>
      </c>
    </row>
    <row r="312" spans="1:15" s="2" customFormat="1" x14ac:dyDescent="0.25">
      <c r="A312" s="3"/>
      <c r="B312" s="126" t="s">
        <v>98</v>
      </c>
      <c r="C312" s="9">
        <f>IFERROR(VLOOKUP(B312,'STATUS INVEST FII'!$A$2:$N$404,2,0),0)</f>
        <v>98.25</v>
      </c>
      <c r="D312" s="10">
        <f>IFERROR(VLOOKUP(B312,'STATUS INVEST FII'!$A$2:$N$404,4,0)/100,0)</f>
        <v>0.1182</v>
      </c>
      <c r="E312" s="11">
        <f>IFERROR(VLOOKUP(B312,'STATUS INVEST FII'!$A$2:$N$404,6,0),0)</f>
        <v>0.92</v>
      </c>
      <c r="F312" s="12">
        <f>IFERROR(VLOOKUP(B312,'STATUS INVEST FII'!$A$2:$N$404,8,0)/100,0)</f>
        <v>4.6199999999999998E-2</v>
      </c>
      <c r="G312" s="13">
        <f>IFERROR(VLOOKUP(B312,'STATUS INVEST FII'!$A$2:$N$404,9,0)/100,0)</f>
        <v>-1.32E-2</v>
      </c>
      <c r="H312" s="13">
        <f>IFERROR(VLOOKUP(B312,'STATUS INVEST FII'!$A$2:$N$404,10,0)/100,0)</f>
        <v>-9.9000000000000005E-2</v>
      </c>
      <c r="I312" s="20">
        <f>IFERROR(VLOOKUP(B312,'STATUS INVEST FII'!$A$2:$N$404,11,0),0)</f>
        <v>171161974.52000001</v>
      </c>
      <c r="J312" s="45" t="str">
        <f>IFERROR(VLOOKUP(B312,'ATIVOS-GESTÃO'!$A$1:$C$329,2),"-")</f>
        <v>MULTI</v>
      </c>
      <c r="K312" s="45" t="str">
        <f>IFERROR(VLOOKUP(B312,'ATIVOS-GESTÃO'!$A$1:$C$329,3),"-")</f>
        <v>MONO</v>
      </c>
      <c r="L312" s="20" t="str">
        <f>IFERROR(VLOOKUP(B312,'STATUS INVEST FII'!$A$2:$N$404,13,0),"-")</f>
        <v>Passiva</v>
      </c>
      <c r="M312" s="20" t="str">
        <f>IFERROR(VLOOKUP(B312,'DATA-COM'!A:B,2,FALSE),"-")</f>
        <v xml:space="preserve">Último </v>
      </c>
      <c r="N312" s="51">
        <f>IFERROR(VLOOKUP(B312,'STATUS INVEST FII'!$A$2:$N$404,12,0),"-")</f>
        <v>9155</v>
      </c>
      <c r="O312" s="54">
        <f>IFERROR(VLOOKUP(B312,'STATUS INVEST FII'!$A$2:$N$404,7,0),0)</f>
        <v>101662.65</v>
      </c>
    </row>
    <row r="313" spans="1:15" s="2" customFormat="1" x14ac:dyDescent="0.25">
      <c r="A313" s="3"/>
      <c r="B313" s="126" t="s">
        <v>99</v>
      </c>
      <c r="C313" s="9">
        <f>IFERROR(VLOOKUP(B313,'STATUS INVEST FII'!$A$2:$N$404,2,0),0)</f>
        <v>124.45</v>
      </c>
      <c r="D313" s="10">
        <f>IFERROR(VLOOKUP(B313,'STATUS INVEST FII'!$A$2:$N$404,4,0)/100,0)</f>
        <v>0.1109</v>
      </c>
      <c r="E313" s="11">
        <f>IFERROR(VLOOKUP(B313,'STATUS INVEST FII'!$A$2:$N$404,6,0),0)</f>
        <v>1.26</v>
      </c>
      <c r="F313" s="12">
        <f>IFERROR(VLOOKUP(B313,'STATUS INVEST FII'!$A$2:$N$404,8,0)/100,0)</f>
        <v>5.4000000000000006E-2</v>
      </c>
      <c r="G313" s="13">
        <f>IFERROR(VLOOKUP(B313,'STATUS INVEST FII'!$A$2:$N$404,9,0)/100,0)</f>
        <v>9.1400000000000009E-2</v>
      </c>
      <c r="H313" s="13">
        <f>IFERROR(VLOOKUP(B313,'STATUS INVEST FII'!$A$2:$N$404,10,0)/100,0)</f>
        <v>1.3500000000000002E-2</v>
      </c>
      <c r="I313" s="20">
        <f>IFERROR(VLOOKUP(B313,'STATUS INVEST FII'!$A$2:$N$404,11,0),0)</f>
        <v>69353084.560000002</v>
      </c>
      <c r="J313" s="45" t="str">
        <f>IFERROR(VLOOKUP(B313,'ATIVOS-GESTÃO'!$A$1:$C$329,2),"-")</f>
        <v>MULTI</v>
      </c>
      <c r="K313" s="45" t="str">
        <f>IFERROR(VLOOKUP(B313,'ATIVOS-GESTÃO'!$A$1:$C$329,3),"-")</f>
        <v>MONO</v>
      </c>
      <c r="L313" s="20" t="str">
        <f>IFERROR(VLOOKUP(B313,'STATUS INVEST FII'!$A$2:$N$404,13,0),"-")</f>
        <v>Ativa</v>
      </c>
      <c r="M313" s="20" t="str">
        <f>IFERROR(VLOOKUP(B313,'DATA-COM'!A:B,2,FALSE),"-")</f>
        <v xml:space="preserve">Último </v>
      </c>
      <c r="N313" s="51">
        <f>IFERROR(VLOOKUP(B313,'STATUS INVEST FII'!$A$2:$N$404,12,0),"-")</f>
        <v>3457</v>
      </c>
      <c r="O313" s="54">
        <f>IFERROR(VLOOKUP(B313,'STATUS INVEST FII'!$A$2:$N$404,7,0),0)</f>
        <v>34205.5</v>
      </c>
    </row>
    <row r="314" spans="1:15" s="2" customFormat="1" x14ac:dyDescent="0.25">
      <c r="A314" s="3"/>
      <c r="B314" s="126" t="s">
        <v>160</v>
      </c>
      <c r="C314" s="9">
        <f>IFERROR(VLOOKUP(B314,'STATUS INVEST FII'!$A$2:$N$404,2,0),0)</f>
        <v>692</v>
      </c>
      <c r="D314" s="10">
        <f>IFERROR(VLOOKUP(B314,'STATUS INVEST FII'!$A$2:$N$404,4,0)/100,0)</f>
        <v>0.13769999999999999</v>
      </c>
      <c r="E314" s="11">
        <f>IFERROR(VLOOKUP(B314,'STATUS INVEST FII'!$A$2:$N$404,6,0),0)</f>
        <v>0.62</v>
      </c>
      <c r="F314" s="12">
        <f>IFERROR(VLOOKUP(B314,'STATUS INVEST FII'!$A$2:$N$404,8,0)/100,0)</f>
        <v>4.2500000000000003E-2</v>
      </c>
      <c r="G314" s="13">
        <f>IFERROR(VLOOKUP(B314,'STATUS INVEST FII'!$A$2:$N$404,9,0)/100,0)</f>
        <v>-2.1600000000000001E-2</v>
      </c>
      <c r="H314" s="13">
        <f>IFERROR(VLOOKUP(B314,'STATUS INVEST FII'!$A$2:$N$404,10,0)/100,0)</f>
        <v>-0.1459</v>
      </c>
      <c r="I314" s="20">
        <f>IFERROR(VLOOKUP(B314,'STATUS INVEST FII'!$A$2:$N$404,11,0),0)</f>
        <v>113484927.63</v>
      </c>
      <c r="J314" s="45" t="str">
        <f>IFERROR(VLOOKUP(B314,'ATIVOS-GESTÃO'!$A$1:$C$329,2),"-")</f>
        <v>MULTI</v>
      </c>
      <c r="K314" s="45" t="str">
        <f>IFERROR(VLOOKUP(B314,'ATIVOS-GESTÃO'!$A$1:$C$329,3),"-")</f>
        <v>MONO</v>
      </c>
      <c r="L314" s="20" t="str">
        <f>IFERROR(VLOOKUP(B314,'STATUS INVEST FII'!$A$2:$N$404,13,0),"-")</f>
        <v>Ativa</v>
      </c>
      <c r="M314" s="20" t="str">
        <f>IFERROR(VLOOKUP(B314,'DATA-COM'!A:B,2,FALSE),"-")</f>
        <v xml:space="preserve">Quarto </v>
      </c>
      <c r="N314" s="51">
        <f>IFERROR(VLOOKUP(B314,'STATUS INVEST FII'!$A$2:$N$404,12,0),"-")</f>
        <v>2820</v>
      </c>
      <c r="O314" s="54">
        <f>IFERROR(VLOOKUP(B314,'STATUS INVEST FII'!$A$2:$N$404,7,0),0)</f>
        <v>58154.38</v>
      </c>
    </row>
    <row r="315" spans="1:15" s="2" customFormat="1" ht="15.75" thickBot="1" x14ac:dyDescent="0.3">
      <c r="A315" s="3"/>
      <c r="B315" s="133" t="s">
        <v>105</v>
      </c>
      <c r="C315" s="14">
        <f>IFERROR(VLOOKUP(B315,'STATUS INVEST FII'!$A$2:$N$404,2,0),0)</f>
        <v>95.29</v>
      </c>
      <c r="D315" s="15">
        <f>IFERROR(VLOOKUP(B315,'STATUS INVEST FII'!$A$2:$N$404,4,0)/100,0)</f>
        <v>0.1148</v>
      </c>
      <c r="E315" s="16">
        <f>IFERROR(VLOOKUP(B315,'STATUS INVEST FII'!$A$2:$N$404,6,0),0)</f>
        <v>0.92</v>
      </c>
      <c r="F315" s="17">
        <f>IFERROR(VLOOKUP(B315,'STATUS INVEST FII'!$A$2:$N$404,8,0)/100,0)</f>
        <v>1.66E-2</v>
      </c>
      <c r="G315" s="18">
        <f>IFERROR(VLOOKUP(B315,'STATUS INVEST FII'!$A$2:$N$404,9,0)/100,0)</f>
        <v>-2.35E-2</v>
      </c>
      <c r="H315" s="18">
        <f>IFERROR(VLOOKUP(B315,'STATUS INVEST FII'!$A$2:$N$404,10,0)/100,0)</f>
        <v>-6.7699999999999996E-2</v>
      </c>
      <c r="I315" s="21">
        <f>IFERROR(VLOOKUP(B315,'STATUS INVEST FII'!$A$2:$N$404,11,0),0)</f>
        <v>1194696714.05</v>
      </c>
      <c r="J315" s="137" t="str">
        <f>IFERROR(VLOOKUP(B315,'ATIVOS-GESTÃO'!$A$1:$C$329,2),"-")</f>
        <v>MULTI</v>
      </c>
      <c r="K315" s="137" t="str">
        <f>IFERROR(VLOOKUP(B315,'ATIVOS-GESTÃO'!$A$1:$C$329,3),"-")</f>
        <v>MULTI</v>
      </c>
      <c r="L315" s="21" t="str">
        <f>IFERROR(VLOOKUP(B315,'STATUS INVEST FII'!$A$2:$N$404,13,0),"-")</f>
        <v>Ativa</v>
      </c>
      <c r="M315" s="21" t="str">
        <f>IFERROR(VLOOKUP(B315,'DATA-COM'!A:B,2,FALSE),"-")</f>
        <v xml:space="preserve">Último </v>
      </c>
      <c r="N315" s="55">
        <f>IFERROR(VLOOKUP(B315,'STATUS INVEST FII'!$A$2:$N$404,12,0),"-")</f>
        <v>43562</v>
      </c>
      <c r="O315" s="56">
        <f>IFERROR(VLOOKUP(B315,'STATUS INVEST FII'!$A$2:$N$404,7,0),0)</f>
        <v>800546.35</v>
      </c>
    </row>
    <row r="316" spans="1:15" s="2" customFormat="1" ht="15.75" thickBot="1" x14ac:dyDescent="0.3">
      <c r="A316" s="3"/>
      <c r="B316" s="216" t="s">
        <v>294</v>
      </c>
      <c r="C316" s="217">
        <f>IFERROR(VLOOKUP(B316,'STATUS INVEST FII'!$A$2:$N$404,2,0),0)</f>
        <v>0</v>
      </c>
      <c r="D316" s="218">
        <f>IFERROR(VLOOKUP(B316,'STATUS INVEST FII'!$A$2:$N$404,4,0)/100,0)</f>
        <v>0</v>
      </c>
      <c r="E316" s="218">
        <f>IFERROR(VLOOKUP(B316,'STATUS INVEST FII'!$A$2:$N$404,6,0),0)</f>
        <v>0</v>
      </c>
      <c r="F316" s="218">
        <f>IFERROR(VLOOKUP(B316,'STATUS INVEST FII'!$A$2:$N$404,8,0)/100,0)</f>
        <v>0</v>
      </c>
      <c r="G316" s="218">
        <f>IFERROR(VLOOKUP(B316,'STATUS INVEST FII'!$A$2:$N$404,9,0)/100,0)</f>
        <v>0</v>
      </c>
      <c r="H316" s="218">
        <f>IFERROR(VLOOKUP(B316,'STATUS INVEST FII'!$A$2:$N$404,10,0)/100,0)</f>
        <v>0</v>
      </c>
      <c r="I316" s="218">
        <f>IFERROR(VLOOKUP(B316,'STATUS INVEST FII'!$A$2:$N$404,11,0),0)</f>
        <v>0</v>
      </c>
      <c r="J316" s="218" t="str">
        <f>IFERROR(VLOOKUP(B316,'ATIVOS-GESTÃO'!$A$1:$C$329,2),"-")</f>
        <v>MONO</v>
      </c>
      <c r="K316" s="218" t="str">
        <f>IFERROR(VLOOKUP(B316,'ATIVOS-GESTÃO'!$A$1:$C$329,3),"-")</f>
        <v>MULTI</v>
      </c>
      <c r="L316" s="218" t="str">
        <f>IFERROR(VLOOKUP(B316,'STATUS INVEST FII'!$A$2:$N$404,13,0),"-")</f>
        <v>-</v>
      </c>
      <c r="M316" s="218" t="str">
        <f>IFERROR(VLOOKUP(B316,'DATA-COM'!A:B,2,FALSE),"-")</f>
        <v>-</v>
      </c>
      <c r="N316" s="218" t="str">
        <f>IFERROR(VLOOKUP(B316,'STATUS INVEST FII'!$A$2:$N$404,12,0),"-")</f>
        <v>-</v>
      </c>
      <c r="O316" s="219">
        <f>IFERROR(VLOOKUP(B316,'STATUS INVEST FII'!$A$2:$N$404,7,0),0)</f>
        <v>0</v>
      </c>
    </row>
    <row r="317" spans="1:15" s="2" customFormat="1" x14ac:dyDescent="0.25">
      <c r="A317" s="3"/>
      <c r="B317" s="126" t="s">
        <v>100</v>
      </c>
      <c r="C317" s="4">
        <f>IFERROR(VLOOKUP(B317,'STATUS INVEST FII'!$A$2:$N$404,2,0),0)</f>
        <v>143.34</v>
      </c>
      <c r="D317" s="5">
        <f>IFERROR(VLOOKUP(B317,'STATUS INVEST FII'!$A$2:$N$404,4,0)/100,0)</f>
        <v>9.7500000000000003E-2</v>
      </c>
      <c r="E317" s="6">
        <f>IFERROR(VLOOKUP(B317,'STATUS INVEST FII'!$A$2:$N$404,6,0),0)</f>
        <v>0.66</v>
      </c>
      <c r="F317" s="7">
        <f>IFERROR(VLOOKUP(B317,'STATUS INVEST FII'!$A$2:$N$404,8,0)/100,0)</f>
        <v>1.6E-2</v>
      </c>
      <c r="G317" s="8">
        <f>IFERROR(VLOOKUP(B317,'STATUS INVEST FII'!$A$2:$N$404,9,0)/100,0)</f>
        <v>-9.0200000000000002E-2</v>
      </c>
      <c r="H317" s="8">
        <f>IFERROR(VLOOKUP(B317,'STATUS INVEST FII'!$A$2:$N$404,10,0)/100,0)</f>
        <v>-0.1333</v>
      </c>
      <c r="I317" s="19">
        <f>IFERROR(VLOOKUP(B317,'STATUS INVEST FII'!$A$2:$N$404,11,0),0)</f>
        <v>138833934.63999999</v>
      </c>
      <c r="J317" s="23" t="str">
        <f>IFERROR(VLOOKUP(B317,'ATIVOS-GESTÃO'!$A$1:$C$329,2),"-")</f>
        <v>MULTI</v>
      </c>
      <c r="K317" s="23" t="str">
        <f>IFERROR(VLOOKUP(B317,'ATIVOS-GESTÃO'!$A$1:$C$329,3),"-")</f>
        <v>MONO</v>
      </c>
      <c r="L317" s="19" t="str">
        <f>IFERROR(VLOOKUP(B317,'STATUS INVEST FII'!$A$2:$N$404,13,0),"-")</f>
        <v>Passiva</v>
      </c>
      <c r="M317" s="19" t="str">
        <f>IFERROR(VLOOKUP(B317,'DATA-COM'!A:B,2,FALSE),"-")</f>
        <v xml:space="preserve">Quinto </v>
      </c>
      <c r="N317" s="52">
        <f>IFERROR(VLOOKUP(B317,'STATUS INVEST FII'!$A$2:$N$404,12,0),"-")</f>
        <v>4950</v>
      </c>
      <c r="O317" s="53">
        <f>IFERROR(VLOOKUP(B317,'STATUS INVEST FII'!$A$2:$N$404,7,0),0)</f>
        <v>55737.24</v>
      </c>
    </row>
    <row r="318" spans="1:15" s="2" customFormat="1" x14ac:dyDescent="0.25">
      <c r="A318" s="3"/>
      <c r="B318" s="126" t="s">
        <v>101</v>
      </c>
      <c r="C318" s="9">
        <f>IFERROR(VLOOKUP(B318,'STATUS INVEST FII'!$A$2:$N$404,2,0),0)</f>
        <v>113.56</v>
      </c>
      <c r="D318" s="10">
        <f>IFERROR(VLOOKUP(B318,'STATUS INVEST FII'!$A$2:$N$404,4,0)/100,0)</f>
        <v>7.2599999999999998E-2</v>
      </c>
      <c r="E318" s="11">
        <f>IFERROR(VLOOKUP(B318,'STATUS INVEST FII'!$A$2:$N$404,6,0),0)</f>
        <v>1.0900000000000001</v>
      </c>
      <c r="F318" s="12">
        <f>IFERROR(VLOOKUP(B318,'STATUS INVEST FII'!$A$2:$N$404,8,0)/100,0)</f>
        <v>5.1000000000000004E-3</v>
      </c>
      <c r="G318" s="13">
        <f>IFERROR(VLOOKUP(B318,'STATUS INVEST FII'!$A$2:$N$404,9,0)/100,0)</f>
        <v>5.96E-2</v>
      </c>
      <c r="H318" s="13">
        <f>IFERROR(VLOOKUP(B318,'STATUS INVEST FII'!$A$2:$N$404,10,0)/100,0)</f>
        <v>3.7100000000000001E-2</v>
      </c>
      <c r="I318" s="20">
        <f>IFERROR(VLOOKUP(B318,'STATUS INVEST FII'!$A$2:$N$404,11,0),0)</f>
        <v>363944321.16000003</v>
      </c>
      <c r="J318" s="45" t="str">
        <f>IFERROR(VLOOKUP(B318,'ATIVOS-GESTÃO'!$A$1:$C$329,2),"-")</f>
        <v>MONO</v>
      </c>
      <c r="K318" s="45" t="str">
        <f>IFERROR(VLOOKUP(B318,'ATIVOS-GESTÃO'!$A$1:$C$329,3),"-")</f>
        <v>MONO</v>
      </c>
      <c r="L318" s="20" t="str">
        <f>IFERROR(VLOOKUP(B318,'STATUS INVEST FII'!$A$2:$N$404,13,0),"-")</f>
        <v>Passiva</v>
      </c>
      <c r="M318" s="20" t="str">
        <f>IFERROR(VLOOKUP(B318,'DATA-COM'!A:B,2,FALSE),"-")</f>
        <v xml:space="preserve">Décimo </v>
      </c>
      <c r="N318" s="51">
        <f>IFERROR(VLOOKUP(B318,'STATUS INVEST FII'!$A$2:$N$404,12,0),"-")</f>
        <v>4271</v>
      </c>
      <c r="O318" s="54">
        <f>IFERROR(VLOOKUP(B318,'STATUS INVEST FII'!$A$2:$N$404,7,0),0)</f>
        <v>479581.59</v>
      </c>
    </row>
    <row r="319" spans="1:15" s="2" customFormat="1" x14ac:dyDescent="0.25">
      <c r="A319" s="3"/>
      <c r="B319" s="126" t="s">
        <v>267</v>
      </c>
      <c r="C319" s="9">
        <f>IFERROR(VLOOKUP(B319,'STATUS INVEST FII'!$A$2:$N$404,2,0),0)</f>
        <v>1520</v>
      </c>
      <c r="D319" s="10">
        <f>IFERROR(VLOOKUP(B319,'STATUS INVEST FII'!$A$2:$N$404,4,0)/100,0)</f>
        <v>8.3199999999999996E-2</v>
      </c>
      <c r="E319" s="11">
        <f>IFERROR(VLOOKUP(B319,'STATUS INVEST FII'!$A$2:$N$404,6,0),0)</f>
        <v>0.92</v>
      </c>
      <c r="F319" s="12">
        <f>IFERROR(VLOOKUP(B319,'STATUS INVEST FII'!$A$2:$N$404,8,0)/100,0)</f>
        <v>8.6E-3</v>
      </c>
      <c r="G319" s="13">
        <f>IFERROR(VLOOKUP(B319,'STATUS INVEST FII'!$A$2:$N$404,9,0)/100,0)</f>
        <v>0</v>
      </c>
      <c r="H319" s="13">
        <f>IFERROR(VLOOKUP(B319,'STATUS INVEST FII'!$A$2:$N$404,10,0)/100,0)</f>
        <v>0</v>
      </c>
      <c r="I319" s="20">
        <f>IFERROR(VLOOKUP(B319,'STATUS INVEST FII'!$A$2:$N$404,11,0),0)</f>
        <v>85761220.129999995</v>
      </c>
      <c r="J319" s="45" t="str">
        <f>IFERROR(VLOOKUP(B319,'ATIVOS-GESTÃO'!$A$1:$C$329,2),"-")</f>
        <v>MONO</v>
      </c>
      <c r="K319" s="45" t="str">
        <f>IFERROR(VLOOKUP(B319,'ATIVOS-GESTÃO'!$A$1:$C$329,3),"-")</f>
        <v>MONO</v>
      </c>
      <c r="L319" s="20" t="str">
        <f>IFERROR(VLOOKUP(B319,'STATUS INVEST FII'!$A$2:$N$404,13,0),"-")</f>
        <v>Passiva</v>
      </c>
      <c r="M319" s="20" t="str">
        <f>IFERROR(VLOOKUP(B319,'DATA-COM'!A:B,2,FALSE),"-")</f>
        <v xml:space="preserve">Último </v>
      </c>
      <c r="N319" s="51">
        <f>IFERROR(VLOOKUP(B319,'STATUS INVEST FII'!$A$2:$N$404,12,0),"-")</f>
        <v>55</v>
      </c>
      <c r="O319" s="54">
        <f>IFERROR(VLOOKUP(B319,'STATUS INVEST FII'!$A$2:$N$404,7,0),0)</f>
        <v>0</v>
      </c>
    </row>
    <row r="320" spans="1:15" s="2" customFormat="1" x14ac:dyDescent="0.25">
      <c r="A320" s="3"/>
      <c r="B320" s="126" t="s">
        <v>319</v>
      </c>
      <c r="C320" s="9">
        <f>IFERROR(VLOOKUP(B320,'STATUS INVEST FII'!$A$2:$N$404,2,0),0)</f>
        <v>112</v>
      </c>
      <c r="D320" s="10">
        <f>IFERROR(VLOOKUP(B320,'STATUS INVEST FII'!$A$2:$N$404,4,0)/100,0)</f>
        <v>0</v>
      </c>
      <c r="E320" s="11">
        <f>IFERROR(VLOOKUP(B320,'STATUS INVEST FII'!$A$2:$N$404,6,0),0)</f>
        <v>0.92</v>
      </c>
      <c r="F320" s="12">
        <f>IFERROR(VLOOKUP(B320,'STATUS INVEST FII'!$A$2:$N$404,8,0)/100,0)</f>
        <v>0.1099</v>
      </c>
      <c r="G320" s="13">
        <f>IFERROR(VLOOKUP(B320,'STATUS INVEST FII'!$A$2:$N$404,9,0)/100,0)</f>
        <v>0</v>
      </c>
      <c r="H320" s="13">
        <f>IFERROR(VLOOKUP(B320,'STATUS INVEST FII'!$A$2:$N$404,10,0)/100,0)</f>
        <v>0</v>
      </c>
      <c r="I320" s="20">
        <f>IFERROR(VLOOKUP(B320,'STATUS INVEST FII'!$A$2:$N$404,11,0),0)</f>
        <v>63646180.710000001</v>
      </c>
      <c r="J320" s="45" t="str">
        <f>IFERROR(VLOOKUP(B320,'ATIVOS-GESTÃO'!$A$1:$C$329,2),"-")</f>
        <v>MULTI</v>
      </c>
      <c r="K320" s="45" t="str">
        <f>IFERROR(VLOOKUP(B320,'ATIVOS-GESTÃO'!$A$1:$C$329,3),"-")</f>
        <v>MULTI</v>
      </c>
      <c r="L320" s="20" t="str">
        <f>IFERROR(VLOOKUP(B320,'STATUS INVEST FII'!$A$2:$N$404,13,0),"-")</f>
        <v>Ativa</v>
      </c>
      <c r="M320" s="20" t="str">
        <f>IFERROR(VLOOKUP(B320,'DATA-COM'!A:B,2,FALSE),"-")</f>
        <v xml:space="preserve">Último </v>
      </c>
      <c r="N320" s="51">
        <f>IFERROR(VLOOKUP(B320,'STATUS INVEST FII'!$A$2:$N$404,12,0),"-")</f>
        <v>68</v>
      </c>
      <c r="O320" s="54">
        <f>IFERROR(VLOOKUP(B320,'STATUS INVEST FII'!$A$2:$N$404,7,0),0)</f>
        <v>1179.5</v>
      </c>
    </row>
    <row r="321" spans="1:15" s="2" customFormat="1" ht="15.75" thickBot="1" x14ac:dyDescent="0.3">
      <c r="A321" s="3"/>
      <c r="B321" s="126" t="s">
        <v>176</v>
      </c>
      <c r="C321" s="14">
        <f>IFERROR(VLOOKUP(B321,'STATUS INVEST FII'!$A$2:$N$404,2,0),0)</f>
        <v>122.49</v>
      </c>
      <c r="D321" s="15">
        <f>IFERROR(VLOOKUP(B321,'STATUS INVEST FII'!$A$2:$N$404,4,0)/100,0)</f>
        <v>0.1024</v>
      </c>
      <c r="E321" s="16">
        <f>IFERROR(VLOOKUP(B321,'STATUS INVEST FII'!$A$2:$N$404,6,0),0)</f>
        <v>0.87</v>
      </c>
      <c r="F321" s="17">
        <f>IFERROR(VLOOKUP(B321,'STATUS INVEST FII'!$A$2:$N$404,8,0)/100,0)</f>
        <v>2.8399999999999998E-2</v>
      </c>
      <c r="G321" s="18">
        <f>IFERROR(VLOOKUP(B321,'STATUS INVEST FII'!$A$2:$N$404,9,0)/100,0)</f>
        <v>2.9999999999999997E-4</v>
      </c>
      <c r="H321" s="18">
        <f>IFERROR(VLOOKUP(B321,'STATUS INVEST FII'!$A$2:$N$404,10,0)/100,0)</f>
        <v>-8.3299999999999999E-2</v>
      </c>
      <c r="I321" s="21">
        <f>IFERROR(VLOOKUP(B321,'STATUS INVEST FII'!$A$2:$N$404,11,0),0)</f>
        <v>286090469.38</v>
      </c>
      <c r="J321" s="137" t="str">
        <f>IFERROR(VLOOKUP(B321,'ATIVOS-GESTÃO'!$A$1:$C$329,2),"-")</f>
        <v>MULTI</v>
      </c>
      <c r="K321" s="137" t="str">
        <f>IFERROR(VLOOKUP(B321,'ATIVOS-GESTÃO'!$A$1:$C$329,3),"-")</f>
        <v>MONO</v>
      </c>
      <c r="L321" s="21" t="str">
        <f>IFERROR(VLOOKUP(B321,'STATUS INVEST FII'!$A$2:$N$404,13,0),"-")</f>
        <v>Ativa</v>
      </c>
      <c r="M321" s="21" t="str">
        <f>IFERROR(VLOOKUP(B321,'DATA-COM'!A:B,2,FALSE),"-")</f>
        <v xml:space="preserve">Último </v>
      </c>
      <c r="N321" s="55">
        <f>IFERROR(VLOOKUP(B321,'STATUS INVEST FII'!$A$2:$N$404,12,0),"-")</f>
        <v>12307</v>
      </c>
      <c r="O321" s="56">
        <f>IFERROR(VLOOKUP(B321,'STATUS INVEST FII'!$A$2:$N$404,7,0),0)</f>
        <v>210674.41</v>
      </c>
    </row>
    <row r="322" spans="1:15" s="2" customFormat="1" ht="15.75" thickBot="1" x14ac:dyDescent="0.3">
      <c r="A322" s="3"/>
      <c r="B322" s="216" t="s">
        <v>295</v>
      </c>
      <c r="C322" s="217">
        <f>IFERROR(VLOOKUP(B322,'STATUS INVEST FII'!$A$2:$N$404,2,0),0)</f>
        <v>0</v>
      </c>
      <c r="D322" s="218">
        <f>IFERROR(VLOOKUP(B322,'STATUS INVEST FII'!$A$2:$N$404,4,0)/100,0)</f>
        <v>0</v>
      </c>
      <c r="E322" s="218">
        <f>IFERROR(VLOOKUP(B322,'STATUS INVEST FII'!$A$2:$N$404,6,0),0)</f>
        <v>0</v>
      </c>
      <c r="F322" s="218">
        <f>IFERROR(VLOOKUP(B322,'STATUS INVEST FII'!$A$2:$N$404,8,0)/100,0)</f>
        <v>0</v>
      </c>
      <c r="G322" s="218">
        <f>IFERROR(VLOOKUP(B322,'STATUS INVEST FII'!$A$2:$N$404,9,0)/100,0)</f>
        <v>0</v>
      </c>
      <c r="H322" s="218">
        <f>IFERROR(VLOOKUP(B322,'STATUS INVEST FII'!$A$2:$N$404,10,0)/100,0)</f>
        <v>0</v>
      </c>
      <c r="I322" s="218">
        <f>IFERROR(VLOOKUP(B322,'STATUS INVEST FII'!$A$2:$N$404,11,0),0)</f>
        <v>0</v>
      </c>
      <c r="J322" s="218" t="str">
        <f>IFERROR(VLOOKUP(B322,'ATIVOS-GESTÃO'!$A$1:$C$329,2),"-")</f>
        <v>-</v>
      </c>
      <c r="K322" s="218" t="str">
        <f>IFERROR(VLOOKUP(B322,'ATIVOS-GESTÃO'!$A$1:$C$329,3),"-")</f>
        <v>-</v>
      </c>
      <c r="L322" s="218" t="str">
        <f>IFERROR(VLOOKUP(B322,'STATUS INVEST FII'!$A$2:$N$404,13,0),"-")</f>
        <v>-</v>
      </c>
      <c r="M322" s="218" t="str">
        <f>IFERROR(VLOOKUP(B322,'DATA-COM'!A:B,2,FALSE),"-")</f>
        <v>-</v>
      </c>
      <c r="N322" s="218" t="str">
        <f>IFERROR(VLOOKUP(B322,'STATUS INVEST FII'!$A$2:$N$404,12,0),"-")</f>
        <v>-</v>
      </c>
      <c r="O322" s="219">
        <f>IFERROR(VLOOKUP(B322,'STATUS INVEST FII'!$A$2:$N$404,7,0),0)</f>
        <v>0</v>
      </c>
    </row>
    <row r="323" spans="1:15" x14ac:dyDescent="0.25">
      <c r="B323" s="126" t="s">
        <v>248</v>
      </c>
      <c r="C323" s="4">
        <f>IFERROR(VLOOKUP(B323,'STATUS INVEST FII'!$A$2:$N$404,2,0),0)</f>
        <v>1.17</v>
      </c>
      <c r="D323" s="5">
        <f>IFERROR(VLOOKUP(B323,'STATUS INVEST FII'!$A$2:$N$404,4,0)/100,0)</f>
        <v>0</v>
      </c>
      <c r="E323" s="6">
        <f>IFERROR(VLOOKUP(B323,'STATUS INVEST FII'!$A$2:$N$404,6,0),0)</f>
        <v>0.88</v>
      </c>
      <c r="F323" s="7">
        <f>IFERROR(VLOOKUP(B323,'STATUS INVEST FII'!$A$2:$N$404,8,0)/100,0)</f>
        <v>0.55979999999999996</v>
      </c>
      <c r="G323" s="8">
        <f>IFERROR(VLOOKUP(B323,'STATUS INVEST FII'!$A$2:$N$404,9,0)/100,0)</f>
        <v>0</v>
      </c>
      <c r="H323" s="8">
        <f>IFERROR(VLOOKUP(B323,'STATUS INVEST FII'!$A$2:$N$404,10,0)/100,0)</f>
        <v>0</v>
      </c>
      <c r="I323" s="19">
        <f>IFERROR(VLOOKUP(B323,'STATUS INVEST FII'!$A$2:$N$404,11,0),0)</f>
        <v>10129726.07</v>
      </c>
      <c r="J323" s="23" t="str">
        <f>IFERROR(VLOOKUP(B323,'ATIVOS-GESTÃO'!$A$1:$C$329,2),"-")</f>
        <v>MULTI</v>
      </c>
      <c r="K323" s="23" t="str">
        <f>IFERROR(VLOOKUP(B323,'ATIVOS-GESTÃO'!$A$1:$C$329,3),"-")</f>
        <v>MULTI</v>
      </c>
      <c r="L323" s="19" t="str">
        <f>IFERROR(VLOOKUP(B323,'STATUS INVEST FII'!$A$2:$N$404,13,0),"-")</f>
        <v>Ativa</v>
      </c>
      <c r="M323" s="19" t="str">
        <f>IFERROR(VLOOKUP(B323,'DATA-COM'!A:B,2,FALSE),"-")</f>
        <v xml:space="preserve">Último </v>
      </c>
      <c r="N323" s="52">
        <f>IFERROR(VLOOKUP(B323,'STATUS INVEST FII'!$A$2:$N$404,12,0),"-")</f>
        <v>1378</v>
      </c>
      <c r="O323" s="53">
        <f>IFERROR(VLOOKUP(B323,'STATUS INVEST FII'!$A$2:$N$404,7,0),0)</f>
        <v>1704.74</v>
      </c>
    </row>
    <row r="324" spans="1:15" x14ac:dyDescent="0.25">
      <c r="B324" s="126" t="s">
        <v>244</v>
      </c>
      <c r="C324" s="9">
        <f>IFERROR(VLOOKUP(B324,'STATUS INVEST FII'!$A$2:$N$404,2,0),0)</f>
        <v>230</v>
      </c>
      <c r="D324" s="10">
        <f>IFERROR(VLOOKUP(B324,'STATUS INVEST FII'!$A$2:$N$404,4,0)/100,0)</f>
        <v>0.40529999999999999</v>
      </c>
      <c r="E324" s="11">
        <f>IFERROR(VLOOKUP(B324,'STATUS INVEST FII'!$A$2:$N$404,6,0),0)</f>
        <v>0.51</v>
      </c>
      <c r="F324" s="12">
        <f>IFERROR(VLOOKUP(B324,'STATUS INVEST FII'!$A$2:$N$404,8,0)/100,0)</f>
        <v>7.5300000000000006E-2</v>
      </c>
      <c r="G324" s="13">
        <f>IFERROR(VLOOKUP(B324,'STATUS INVEST FII'!$A$2:$N$404,9,0)/100,0)</f>
        <v>0</v>
      </c>
      <c r="H324" s="13">
        <f>IFERROR(VLOOKUP(B324,'STATUS INVEST FII'!$A$2:$N$404,10,0)/100,0)</f>
        <v>0</v>
      </c>
      <c r="I324" s="20">
        <f>IFERROR(VLOOKUP(B324,'STATUS INVEST FII'!$A$2:$N$404,11,0),0)</f>
        <v>24950603.140000001</v>
      </c>
      <c r="J324" s="45" t="str">
        <f>IFERROR(VLOOKUP(B324,'ATIVOS-GESTÃO'!$A$1:$C$329,2),"-")</f>
        <v>MULTI</v>
      </c>
      <c r="K324" s="45" t="str">
        <f>IFERROR(VLOOKUP(B324,'ATIVOS-GESTÃO'!$A$1:$C$329,3),"-")</f>
        <v>MONO</v>
      </c>
      <c r="L324" s="20" t="str">
        <f>IFERROR(VLOOKUP(B324,'STATUS INVEST FII'!$A$2:$N$404,13,0),"-")</f>
        <v>Ativa</v>
      </c>
      <c r="M324" s="20" t="str">
        <f>IFERROR(VLOOKUP(B324,'DATA-COM'!A:B,2,FALSE),"-")</f>
        <v xml:space="preserve">Último </v>
      </c>
      <c r="N324" s="51">
        <f>IFERROR(VLOOKUP(B324,'STATUS INVEST FII'!$A$2:$N$404,12,0),"-")</f>
        <v>86</v>
      </c>
      <c r="O324" s="54">
        <f>IFERROR(VLOOKUP(B324,'STATUS INVEST FII'!$A$2:$N$404,7,0),0)</f>
        <v>1080</v>
      </c>
    </row>
    <row r="325" spans="1:15" x14ac:dyDescent="0.25">
      <c r="B325" s="126" t="s">
        <v>306</v>
      </c>
      <c r="C325" s="9">
        <f>IFERROR(VLOOKUP(B325,'STATUS INVEST FII'!$A$2:$N$404,2,0),0)</f>
        <v>1000</v>
      </c>
      <c r="D325" s="10">
        <f>IFERROR(VLOOKUP(B325,'STATUS INVEST FII'!$A$2:$N$404,4,0)/100,0)</f>
        <v>1.4000000000000002E-3</v>
      </c>
      <c r="E325" s="11">
        <f>IFERROR(VLOOKUP(B325,'STATUS INVEST FII'!$A$2:$N$404,6,0),0)</f>
        <v>1.01</v>
      </c>
      <c r="F325" s="12">
        <f>IFERROR(VLOOKUP(B325,'STATUS INVEST FII'!$A$2:$N$404,8,0)/100,0)</f>
        <v>2.6499999999999999E-2</v>
      </c>
      <c r="G325" s="13">
        <f>IFERROR(VLOOKUP(B325,'STATUS INVEST FII'!$A$2:$N$404,9,0)/100,0)</f>
        <v>0</v>
      </c>
      <c r="H325" s="13">
        <f>IFERROR(VLOOKUP(B325,'STATUS INVEST FII'!$A$2:$N$404,10,0)/100,0)</f>
        <v>0</v>
      </c>
      <c r="I325" s="20">
        <f>IFERROR(VLOOKUP(B325,'STATUS INVEST FII'!$A$2:$N$404,11,0),0)</f>
        <v>146329614.13999999</v>
      </c>
      <c r="J325" s="45" t="str">
        <f>IFERROR(VLOOKUP(B325,'ATIVOS-GESTÃO'!$A$1:$C$329,2),"-")</f>
        <v>MULTI</v>
      </c>
      <c r="K325" s="45" t="str">
        <f>IFERROR(VLOOKUP(B325,'ATIVOS-GESTÃO'!$A$1:$C$329,3),"-")</f>
        <v>MULTI</v>
      </c>
      <c r="L325" s="20" t="str">
        <f>IFERROR(VLOOKUP(B325,'STATUS INVEST FII'!$A$2:$N$404,13,0),"-")</f>
        <v>Passiva</v>
      </c>
      <c r="M325" s="20" t="str">
        <f>IFERROR(VLOOKUP(B325,'DATA-COM'!A:B,2,FALSE),"-")</f>
        <v>-</v>
      </c>
      <c r="N325" s="51">
        <f>IFERROR(VLOOKUP(B325,'STATUS INVEST FII'!$A$2:$N$404,12,0),"-")</f>
        <v>384</v>
      </c>
      <c r="O325" s="54">
        <f>IFERROR(VLOOKUP(B325,'STATUS INVEST FII'!$A$2:$N$404,7,0),0)</f>
        <v>80103.92</v>
      </c>
    </row>
    <row r="326" spans="1:15" x14ac:dyDescent="0.25">
      <c r="B326" s="126" t="s">
        <v>460</v>
      </c>
      <c r="C326" s="9">
        <f>IFERROR(VLOOKUP(B326,'STATUS INVEST FII'!$A$2:$N$404,2,0),0)</f>
        <v>0</v>
      </c>
      <c r="D326" s="10">
        <f>IFERROR(VLOOKUP(B326,'STATUS INVEST FII'!$A$2:$N$404,4,0)/100,0)</f>
        <v>0</v>
      </c>
      <c r="E326" s="11">
        <f>IFERROR(VLOOKUP(B326,'STATUS INVEST FII'!$A$2:$N$404,6,0),0)</f>
        <v>0</v>
      </c>
      <c r="F326" s="12">
        <f>IFERROR(VLOOKUP(B326,'STATUS INVEST FII'!$A$2:$N$404,8,0)/100,0)</f>
        <v>9.5999999999999992E-3</v>
      </c>
      <c r="G326" s="13">
        <f>IFERROR(VLOOKUP(B326,'STATUS INVEST FII'!$A$2:$N$404,9,0)/100,0)</f>
        <v>0</v>
      </c>
      <c r="H326" s="13">
        <f>IFERROR(VLOOKUP(B326,'STATUS INVEST FII'!$A$2:$N$404,10,0)/100,0)</f>
        <v>0</v>
      </c>
      <c r="I326" s="20">
        <f>IFERROR(VLOOKUP(B326,'STATUS INVEST FII'!$A$2:$N$404,11,0),0)</f>
        <v>49624125.799999997</v>
      </c>
      <c r="J326" s="45" t="str">
        <f>IFERROR(VLOOKUP(B326,'ATIVOS-GESTÃO'!$A$1:$C$329,2),"-")</f>
        <v>MULTI</v>
      </c>
      <c r="K326" s="45" t="str">
        <f>IFERROR(VLOOKUP(B326,'ATIVOS-GESTÃO'!$A$1:$C$329,3),"-")</f>
        <v>MULTI</v>
      </c>
      <c r="L326" s="20" t="str">
        <f>IFERROR(VLOOKUP(B326,'STATUS INVEST FII'!$A$2:$N$404,13,0),"-")</f>
        <v>Ativa</v>
      </c>
      <c r="M326" s="20" t="str">
        <f>IFERROR(VLOOKUP(B326,'DATA-COM'!A:B,2,FALSE),"-")</f>
        <v>-</v>
      </c>
      <c r="N326" s="51">
        <f>IFERROR(VLOOKUP(B326,'STATUS INVEST FII'!$A$2:$N$404,12,0),"-")</f>
        <v>2</v>
      </c>
      <c r="O326" s="54">
        <f>IFERROR(VLOOKUP(B326,'STATUS INVEST FII'!$A$2:$N$404,7,0),0)</f>
        <v>0</v>
      </c>
    </row>
    <row r="327" spans="1:15" x14ac:dyDescent="0.25">
      <c r="B327" s="126" t="s">
        <v>57</v>
      </c>
      <c r="C327" s="9">
        <f>IFERROR(VLOOKUP(B327,'STATUS INVEST FII'!$A$2:$N$404,2,0),0)</f>
        <v>106.24</v>
      </c>
      <c r="D327" s="10">
        <f>IFERROR(VLOOKUP(B327,'STATUS INVEST FII'!$A$2:$N$404,4,0)/100,0)</f>
        <v>0.12359999999999999</v>
      </c>
      <c r="E327" s="11">
        <f>IFERROR(VLOOKUP(B327,'STATUS INVEST FII'!$A$2:$N$404,6,0),0)</f>
        <v>0.94</v>
      </c>
      <c r="F327" s="12">
        <f>IFERROR(VLOOKUP(B327,'STATUS INVEST FII'!$A$2:$N$404,8,0)/100,0)</f>
        <v>0.20030000000000001</v>
      </c>
      <c r="G327" s="13">
        <f>IFERROR(VLOOKUP(B327,'STATUS INVEST FII'!$A$2:$N$404,9,0)/100,0)</f>
        <v>5.4000000000000003E-3</v>
      </c>
      <c r="H327" s="13">
        <f>IFERROR(VLOOKUP(B327,'STATUS INVEST FII'!$A$2:$N$404,10,0)/100,0)</f>
        <v>-6.5000000000000006E-3</v>
      </c>
      <c r="I327" s="20">
        <f>IFERROR(VLOOKUP(B327,'STATUS INVEST FII'!$A$2:$N$404,11,0),0)</f>
        <v>471387789.38</v>
      </c>
      <c r="J327" s="45" t="str">
        <f>IFERROR(VLOOKUP(B327,'ATIVOS-GESTÃO'!$A$1:$C$329,2),"-")</f>
        <v>MULTI</v>
      </c>
      <c r="K327" s="45" t="str">
        <f>IFERROR(VLOOKUP(B327,'ATIVOS-GESTÃO'!$A$1:$C$329,3),"-")</f>
        <v>MULTI</v>
      </c>
      <c r="L327" s="20" t="str">
        <f>IFERROR(VLOOKUP(B327,'STATUS INVEST FII'!$A$2:$N$404,13,0),"-")</f>
        <v>Ativa</v>
      </c>
      <c r="M327" s="20" t="str">
        <f>IFERROR(VLOOKUP(B327,'DATA-COM'!A:B,2,FALSE),"-")</f>
        <v xml:space="preserve">Último </v>
      </c>
      <c r="N327" s="51">
        <f>IFERROR(VLOOKUP(B327,'STATUS INVEST FII'!$A$2:$N$404,12,0),"-")</f>
        <v>29509</v>
      </c>
      <c r="O327" s="54">
        <f>IFERROR(VLOOKUP(B327,'STATUS INVEST FII'!$A$2:$N$404,7,0),0)</f>
        <v>449072.76</v>
      </c>
    </row>
    <row r="328" spans="1:15" s="2" customFormat="1" x14ac:dyDescent="0.25">
      <c r="A328" s="3"/>
      <c r="B328" s="126" t="s">
        <v>470</v>
      </c>
      <c r="C328" s="9">
        <f>IFERROR(VLOOKUP(B328,'STATUS INVEST FII'!$A$2:$N$404,2,0),0)</f>
        <v>101.5</v>
      </c>
      <c r="D328" s="10">
        <f>IFERROR(VLOOKUP(B328,'STATUS INVEST FII'!$A$2:$N$404,4,0)/100,0)</f>
        <v>0.1278</v>
      </c>
      <c r="E328" s="11">
        <f>IFERROR(VLOOKUP(B328,'STATUS INVEST FII'!$A$2:$N$404,6,0),0)</f>
        <v>1.03</v>
      </c>
      <c r="F328" s="12">
        <f>IFERROR(VLOOKUP(B328,'STATUS INVEST FII'!$A$2:$N$404,8,0)/100,0)</f>
        <v>1.0066999999999999</v>
      </c>
      <c r="G328" s="13">
        <f>IFERROR(VLOOKUP(B328,'STATUS INVEST FII'!$A$2:$N$404,9,0)/100,0)</f>
        <v>0</v>
      </c>
      <c r="H328" s="13">
        <f>IFERROR(VLOOKUP(B328,'STATUS INVEST FII'!$A$2:$N$404,10,0)/100,0)</f>
        <v>0</v>
      </c>
      <c r="I328" s="20">
        <f>IFERROR(VLOOKUP(B328,'STATUS INVEST FII'!$A$2:$N$404,11,0),0)</f>
        <v>24337124.079999998</v>
      </c>
      <c r="J328" s="45" t="str">
        <f>IFERROR(VLOOKUP(B328,'ATIVOS-GESTÃO'!$A$1:$C$329,2),"-")</f>
        <v>MULTI</v>
      </c>
      <c r="K328" s="45" t="str">
        <f>IFERROR(VLOOKUP(B328,'ATIVOS-GESTÃO'!$A$1:$C$329,3),"-")</f>
        <v>MULTI</v>
      </c>
      <c r="L328" s="20" t="str">
        <f>IFERROR(VLOOKUP(B328,'STATUS INVEST FII'!$A$2:$N$404,13,0),"-")</f>
        <v>Ativa</v>
      </c>
      <c r="M328" s="20" t="str">
        <f>IFERROR(VLOOKUP(B328,'DATA-COM'!A:B,2,FALSE),"-")</f>
        <v>-</v>
      </c>
      <c r="N328" s="51">
        <f>IFERROR(VLOOKUP(B328,'STATUS INVEST FII'!$A$2:$N$404,12,0),"-")</f>
        <v>72</v>
      </c>
      <c r="O328" s="54">
        <f>IFERROR(VLOOKUP(B328,'STATUS INVEST FII'!$A$2:$N$404,7,0),0)</f>
        <v>3727.42</v>
      </c>
    </row>
    <row r="329" spans="1:15" s="2" customFormat="1" x14ac:dyDescent="0.25">
      <c r="A329" s="3"/>
      <c r="B329" s="126" t="s">
        <v>212</v>
      </c>
      <c r="C329" s="9">
        <f>IFERROR(VLOOKUP(B329,'STATUS INVEST FII'!$A$2:$N$404,2,0),0)</f>
        <v>12.02</v>
      </c>
      <c r="D329" s="10">
        <f>IFERROR(VLOOKUP(B329,'STATUS INVEST FII'!$A$2:$N$404,4,0)/100,0)</f>
        <v>3.4316000000000004</v>
      </c>
      <c r="E329" s="11">
        <f>IFERROR(VLOOKUP(B329,'STATUS INVEST FII'!$A$2:$N$404,6,0),0)</f>
        <v>0.66</v>
      </c>
      <c r="F329" s="12">
        <f>IFERROR(VLOOKUP(B329,'STATUS INVEST FII'!$A$2:$N$404,8,0)/100,0)</f>
        <v>5.0700000000000002E-2</v>
      </c>
      <c r="G329" s="13">
        <f>IFERROR(VLOOKUP(B329,'STATUS INVEST FII'!$A$2:$N$404,9,0)/100,0)</f>
        <v>0</v>
      </c>
      <c r="H329" s="13">
        <f>IFERROR(VLOOKUP(B329,'STATUS INVEST FII'!$A$2:$N$404,10,0)/100,0)</f>
        <v>-0.53349999999999997</v>
      </c>
      <c r="I329" s="20">
        <f>IFERROR(VLOOKUP(B329,'STATUS INVEST FII'!$A$2:$N$404,11,0),0)</f>
        <v>2217044.2999999998</v>
      </c>
      <c r="J329" s="45" t="str">
        <f>IFERROR(VLOOKUP(B329,'ATIVOS-GESTÃO'!$A$1:$C$329,2),"-")</f>
        <v>MONO</v>
      </c>
      <c r="K329" s="45" t="str">
        <f>IFERROR(VLOOKUP(B329,'ATIVOS-GESTÃO'!$A$1:$C$329,3),"-")</f>
        <v>MULTI</v>
      </c>
      <c r="L329" s="20" t="str">
        <f>IFERROR(VLOOKUP(B329,'STATUS INVEST FII'!$A$2:$N$404,13,0),"-")</f>
        <v>Ativa</v>
      </c>
      <c r="M329" s="20" t="str">
        <f>IFERROR(VLOOKUP(B329,'DATA-COM'!A:B,2,FALSE),"-")</f>
        <v xml:space="preserve">Último </v>
      </c>
      <c r="N329" s="51">
        <f>IFERROR(VLOOKUP(B329,'STATUS INVEST FII'!$A$2:$N$404,12,0),"-")</f>
        <v>779</v>
      </c>
      <c r="O329" s="54">
        <f>IFERROR(VLOOKUP(B329,'STATUS INVEST FII'!$A$2:$N$404,7,0),0)</f>
        <v>2815.88</v>
      </c>
    </row>
    <row r="330" spans="1:15" s="2" customFormat="1" x14ac:dyDescent="0.25">
      <c r="A330" s="3"/>
      <c r="B330" s="126" t="s">
        <v>268</v>
      </c>
      <c r="C330" s="9">
        <f>IFERROR(VLOOKUP(B330,'STATUS INVEST FII'!$A$2:$N$404,2,0),0)</f>
        <v>128.79</v>
      </c>
      <c r="D330" s="10">
        <f>IFERROR(VLOOKUP(B330,'STATUS INVEST FII'!$A$2:$N$404,4,0)/100,0)</f>
        <v>0</v>
      </c>
      <c r="E330" s="11">
        <f>IFERROR(VLOOKUP(B330,'STATUS INVEST FII'!$A$2:$N$404,6,0),0)</f>
        <v>0.85</v>
      </c>
      <c r="F330" s="12">
        <f>IFERROR(VLOOKUP(B330,'STATUS INVEST FII'!$A$2:$N$404,8,0)/100,0)</f>
        <v>0</v>
      </c>
      <c r="G330" s="13">
        <f>IFERROR(VLOOKUP(B330,'STATUS INVEST FII'!$A$2:$N$404,9,0)/100,0)</f>
        <v>0</v>
      </c>
      <c r="H330" s="13">
        <f>IFERROR(VLOOKUP(B330,'STATUS INVEST FII'!$A$2:$N$404,10,0)/100,0)</f>
        <v>0</v>
      </c>
      <c r="I330" s="20">
        <f>IFERROR(VLOOKUP(B330,'STATUS INVEST FII'!$A$2:$N$404,11,0),0)</f>
        <v>44128028.219999999</v>
      </c>
      <c r="J330" s="45" t="str">
        <f>IFERROR(VLOOKUP(B330,'ATIVOS-GESTÃO'!$A$1:$C$329,2),"-")</f>
        <v>MULTI</v>
      </c>
      <c r="K330" s="45" t="str">
        <f>IFERROR(VLOOKUP(B330,'ATIVOS-GESTÃO'!$A$1:$C$329,3),"-")</f>
        <v>MULTI</v>
      </c>
      <c r="L330" s="20" t="str">
        <f>IFERROR(VLOOKUP(B330,'STATUS INVEST FII'!$A$2:$N$404,13,0),"-")</f>
        <v>Ativa</v>
      </c>
      <c r="M330" s="20" t="str">
        <f>IFERROR(VLOOKUP(B330,'DATA-COM'!A:B,2,FALSE),"-")</f>
        <v xml:space="preserve">Último </v>
      </c>
      <c r="N330" s="51">
        <f>IFERROR(VLOOKUP(B330,'STATUS INVEST FII'!$A$2:$N$404,12,0),"-")</f>
        <v>33</v>
      </c>
      <c r="O330" s="54">
        <f>IFERROR(VLOOKUP(B330,'STATUS INVEST FII'!$A$2:$N$404,7,0),0)</f>
        <v>128.5</v>
      </c>
    </row>
    <row r="331" spans="1:15" s="2" customFormat="1" x14ac:dyDescent="0.25">
      <c r="A331" s="3"/>
      <c r="B331" s="126" t="s">
        <v>168</v>
      </c>
      <c r="C331" s="9">
        <f>IFERROR(VLOOKUP(B331,'STATUS INVEST FII'!$A$2:$N$404,2,0),0)</f>
        <v>9</v>
      </c>
      <c r="D331" s="10">
        <f>IFERROR(VLOOKUP(B331,'STATUS INVEST FII'!$A$2:$N$404,4,0)/100,0)</f>
        <v>0</v>
      </c>
      <c r="E331" s="11">
        <f>IFERROR(VLOOKUP(B331,'STATUS INVEST FII'!$A$2:$N$404,6,0),0)</f>
        <v>0</v>
      </c>
      <c r="F331" s="12">
        <f>IFERROR(VLOOKUP(B331,'STATUS INVEST FII'!$A$2:$N$404,8,0)/100,0)</f>
        <v>0</v>
      </c>
      <c r="G331" s="13">
        <f>IFERROR(VLOOKUP(B331,'STATUS INVEST FII'!$A$2:$N$404,9,0)/100,0)</f>
        <v>0</v>
      </c>
      <c r="H331" s="13">
        <f>IFERROR(VLOOKUP(B331,'STATUS INVEST FII'!$A$2:$N$404,10,0)/100,0)</f>
        <v>-0.25819999999999999</v>
      </c>
      <c r="I331" s="20">
        <f>IFERROR(VLOOKUP(B331,'STATUS INVEST FII'!$A$2:$N$404,11,0),0)</f>
        <v>-7949662.9299999997</v>
      </c>
      <c r="J331" s="45" t="str">
        <f>IFERROR(VLOOKUP(B331,'ATIVOS-GESTÃO'!$A$1:$C$329,2),"-")</f>
        <v>MONO</v>
      </c>
      <c r="K331" s="45" t="str">
        <f>IFERROR(VLOOKUP(B331,'ATIVOS-GESTÃO'!$A$1:$C$329,3),"-")</f>
        <v>MULTI</v>
      </c>
      <c r="L331" s="20" t="str">
        <f>IFERROR(VLOOKUP(B331,'STATUS INVEST FII'!$A$2:$N$404,13,0),"-")</f>
        <v>Passiva</v>
      </c>
      <c r="M331" s="20" t="str">
        <f>IFERROR(VLOOKUP(B331,'DATA-COM'!A:B,2,FALSE),"-")</f>
        <v xml:space="preserve">primeiro </v>
      </c>
      <c r="N331" s="51">
        <f>IFERROR(VLOOKUP(B331,'STATUS INVEST FII'!$A$2:$N$404,12,0),"-")</f>
        <v>430</v>
      </c>
      <c r="O331" s="54">
        <f>IFERROR(VLOOKUP(B331,'STATUS INVEST FII'!$A$2:$N$404,7,0),0)</f>
        <v>1630.28</v>
      </c>
    </row>
    <row r="332" spans="1:15" s="2" customFormat="1" x14ac:dyDescent="0.25">
      <c r="A332" s="3"/>
      <c r="B332" s="126" t="s">
        <v>274</v>
      </c>
      <c r="C332" s="9">
        <f>IFERROR(VLOOKUP(B332,'STATUS INVEST FII'!$A$2:$N$404,2,0),0)</f>
        <v>94794.81</v>
      </c>
      <c r="D332" s="10">
        <f>IFERROR(VLOOKUP(B332,'STATUS INVEST FII'!$A$2:$N$404,4,0)/100,0)</f>
        <v>1.1574</v>
      </c>
      <c r="E332" s="11">
        <f>IFERROR(VLOOKUP(B332,'STATUS INVEST FII'!$A$2:$N$404,6,0),0)</f>
        <v>0.69</v>
      </c>
      <c r="F332" s="12">
        <f>IFERROR(VLOOKUP(B332,'STATUS INVEST FII'!$A$2:$N$404,8,0)/100,0)</f>
        <v>3.4599999999999999E-2</v>
      </c>
      <c r="G332" s="13">
        <f>IFERROR(VLOOKUP(B332,'STATUS INVEST FII'!$A$2:$N$404,9,0)/100,0)</f>
        <v>0</v>
      </c>
      <c r="H332" s="13">
        <f>IFERROR(VLOOKUP(B332,'STATUS INVEST FII'!$A$2:$N$404,10,0)/100,0)</f>
        <v>0</v>
      </c>
      <c r="I332" s="20">
        <f>IFERROR(VLOOKUP(B332,'STATUS INVEST FII'!$A$2:$N$404,11,0),0)</f>
        <v>74138997.670000002</v>
      </c>
      <c r="J332" s="45" t="str">
        <f>IFERROR(VLOOKUP(B332,'ATIVOS-GESTÃO'!$A$1:$C$329,2),"-")</f>
        <v>MONO</v>
      </c>
      <c r="K332" s="45" t="str">
        <f>IFERROR(VLOOKUP(B332,'ATIVOS-GESTÃO'!$A$1:$C$329,3),"-")</f>
        <v>MULTI</v>
      </c>
      <c r="L332" s="20" t="str">
        <f>IFERROR(VLOOKUP(B332,'STATUS INVEST FII'!$A$2:$N$404,13,0),"-")</f>
        <v>Ativa</v>
      </c>
      <c r="M332" s="20" t="str">
        <f>IFERROR(VLOOKUP(B332,'DATA-COM'!A:B,2,FALSE),"-")</f>
        <v xml:space="preserve">Sétimo </v>
      </c>
      <c r="N332" s="51">
        <f>IFERROR(VLOOKUP(B332,'STATUS INVEST FII'!$A$2:$N$404,12,0),"-")</f>
        <v>54</v>
      </c>
      <c r="O332" s="54">
        <f>IFERROR(VLOOKUP(B332,'STATUS INVEST FII'!$A$2:$N$404,7,0),0)</f>
        <v>0</v>
      </c>
    </row>
    <row r="333" spans="1:15" s="2" customFormat="1" x14ac:dyDescent="0.25">
      <c r="A333" s="3"/>
      <c r="B333" s="126" t="s">
        <v>279</v>
      </c>
      <c r="C333" s="9">
        <f>IFERROR(VLOOKUP(B333,'STATUS INVEST FII'!$A$2:$N$404,2,0),0)</f>
        <v>1000</v>
      </c>
      <c r="D333" s="10">
        <f>IFERROR(VLOOKUP(B333,'STATUS INVEST FII'!$A$2:$N$404,4,0)/100,0)</f>
        <v>5.9699999999999996E-2</v>
      </c>
      <c r="E333" s="11">
        <f>IFERROR(VLOOKUP(B333,'STATUS INVEST FII'!$A$2:$N$404,6,0),0)</f>
        <v>0.89</v>
      </c>
      <c r="F333" s="12">
        <f>IFERROR(VLOOKUP(B333,'STATUS INVEST FII'!$A$2:$N$404,8,0)/100,0)</f>
        <v>1.52E-2</v>
      </c>
      <c r="G333" s="13">
        <f>IFERROR(VLOOKUP(B333,'STATUS INVEST FII'!$A$2:$N$404,9,0)/100,0)</f>
        <v>0</v>
      </c>
      <c r="H333" s="13">
        <f>IFERROR(VLOOKUP(B333,'STATUS INVEST FII'!$A$2:$N$404,10,0)/100,0)</f>
        <v>0</v>
      </c>
      <c r="I333" s="20">
        <f>IFERROR(VLOOKUP(B333,'STATUS INVEST FII'!$A$2:$N$404,11,0),0)</f>
        <v>63575356.259999998</v>
      </c>
      <c r="J333" s="45" t="str">
        <f>IFERROR(VLOOKUP(B333,'ATIVOS-GESTÃO'!$A$1:$C$329,2),"-")</f>
        <v>MULTI</v>
      </c>
      <c r="K333" s="45" t="str">
        <f>IFERROR(VLOOKUP(B333,'ATIVOS-GESTÃO'!$A$1:$C$329,3),"-")</f>
        <v>MULTI</v>
      </c>
      <c r="L333" s="20" t="str">
        <f>IFERROR(VLOOKUP(B333,'STATUS INVEST FII'!$A$2:$N$404,13,0),"-")</f>
        <v>Ativa</v>
      </c>
      <c r="M333" s="20" t="str">
        <f>IFERROR(VLOOKUP(B333,'DATA-COM'!A:B,2,FALSE),"-")</f>
        <v xml:space="preserve">Último </v>
      </c>
      <c r="N333" s="51">
        <f>IFERROR(VLOOKUP(B333,'STATUS INVEST FII'!$A$2:$N$404,12,0),"-")</f>
        <v>56</v>
      </c>
      <c r="O333" s="54">
        <f>IFERROR(VLOOKUP(B333,'STATUS INVEST FII'!$A$2:$N$404,7,0),0)</f>
        <v>0</v>
      </c>
    </row>
    <row r="334" spans="1:15" s="2" customFormat="1" x14ac:dyDescent="0.25">
      <c r="A334" s="3"/>
      <c r="B334" s="126" t="s">
        <v>237</v>
      </c>
      <c r="C334" s="9">
        <f>IFERROR(VLOOKUP(B334,'STATUS INVEST FII'!$A$2:$N$404,2,0),0)</f>
        <v>1.26</v>
      </c>
      <c r="D334" s="10">
        <f>IFERROR(VLOOKUP(B334,'STATUS INVEST FII'!$A$2:$N$404,4,0)/100,0)</f>
        <v>13.896800000000001</v>
      </c>
      <c r="E334" s="11">
        <f>IFERROR(VLOOKUP(B334,'STATUS INVEST FII'!$A$2:$N$404,6,0),0)</f>
        <v>0.01</v>
      </c>
      <c r="F334" s="12">
        <f>IFERROR(VLOOKUP(B334,'STATUS INVEST FII'!$A$2:$N$404,8,0)/100,0)</f>
        <v>4.4600000000000001E-2</v>
      </c>
      <c r="G334" s="13">
        <f>IFERROR(VLOOKUP(B334,'STATUS INVEST FII'!$A$2:$N$404,9,0)/100,0)</f>
        <v>0</v>
      </c>
      <c r="H334" s="13">
        <f>IFERROR(VLOOKUP(B334,'STATUS INVEST FII'!$A$2:$N$404,10,0)/100,0)</f>
        <v>0</v>
      </c>
      <c r="I334" s="20">
        <f>IFERROR(VLOOKUP(B334,'STATUS INVEST FII'!$A$2:$N$404,11,0),0)</f>
        <v>56505572.850000001</v>
      </c>
      <c r="J334" s="45" t="str">
        <f>IFERROR(VLOOKUP(B334,'ATIVOS-GESTÃO'!$A$1:$C$329,2),"-")</f>
        <v>MONO</v>
      </c>
      <c r="K334" s="45" t="str">
        <f>IFERROR(VLOOKUP(B334,'ATIVOS-GESTÃO'!$A$1:$C$329,3),"-")</f>
        <v>MULTI</v>
      </c>
      <c r="L334" s="20" t="str">
        <f>IFERROR(VLOOKUP(B334,'STATUS INVEST FII'!$A$2:$N$404,13,0),"-")</f>
        <v>Ativa</v>
      </c>
      <c r="M334" s="20" t="str">
        <f>IFERROR(VLOOKUP(B334,'DATA-COM'!A:B,2,FALSE),"-")</f>
        <v xml:space="preserve">Quarto </v>
      </c>
      <c r="N334" s="51">
        <f>IFERROR(VLOOKUP(B334,'STATUS INVEST FII'!$A$2:$N$404,12,0),"-")</f>
        <v>52</v>
      </c>
      <c r="O334" s="54">
        <f>IFERROR(VLOOKUP(B334,'STATUS INVEST FII'!$A$2:$N$404,7,0),0)</f>
        <v>0</v>
      </c>
    </row>
    <row r="335" spans="1:15" s="2" customFormat="1" x14ac:dyDescent="0.25">
      <c r="A335" s="3"/>
      <c r="B335" s="126" t="s">
        <v>106</v>
      </c>
      <c r="C335" s="9">
        <f>IFERROR(VLOOKUP(B335,'STATUS INVEST FII'!$A$2:$N$404,2,0),0)</f>
        <v>113.92</v>
      </c>
      <c r="D335" s="10">
        <f>IFERROR(VLOOKUP(B335,'STATUS INVEST FII'!$A$2:$N$404,4,0)/100,0)</f>
        <v>0.1231</v>
      </c>
      <c r="E335" s="11">
        <f>IFERROR(VLOOKUP(B335,'STATUS INVEST FII'!$A$2:$N$404,6,0),0)</f>
        <v>0.87</v>
      </c>
      <c r="F335" s="12">
        <f>IFERROR(VLOOKUP(B335,'STATUS INVEST FII'!$A$2:$N$404,8,0)/100,0)</f>
        <v>3.0499999999999999E-2</v>
      </c>
      <c r="G335" s="13">
        <f>IFERROR(VLOOKUP(B335,'STATUS INVEST FII'!$A$2:$N$404,9,0)/100,0)</f>
        <v>9.4800000000000009E-2</v>
      </c>
      <c r="H335" s="13">
        <f>IFERROR(VLOOKUP(B335,'STATUS INVEST FII'!$A$2:$N$404,10,0)/100,0)</f>
        <v>-2.6800000000000001E-2</v>
      </c>
      <c r="I335" s="20">
        <f>IFERROR(VLOOKUP(B335,'STATUS INVEST FII'!$A$2:$N$404,11,0),0)</f>
        <v>1489112733.4100001</v>
      </c>
      <c r="J335" s="45" t="str">
        <f>IFERROR(VLOOKUP(B335,'ATIVOS-GESTÃO'!$A$1:$C$329,2),"-")</f>
        <v>MULTI</v>
      </c>
      <c r="K335" s="45" t="str">
        <f>IFERROR(VLOOKUP(B335,'ATIVOS-GESTÃO'!$A$1:$C$329,3),"-")</f>
        <v>MULTI</v>
      </c>
      <c r="L335" s="20" t="str">
        <f>IFERROR(VLOOKUP(B335,'STATUS INVEST FII'!$A$2:$N$404,13,0),"-")</f>
        <v>Ativa</v>
      </c>
      <c r="M335" s="20" t="str">
        <f>IFERROR(VLOOKUP(B335,'DATA-COM'!A:B,2,FALSE),"-")</f>
        <v xml:space="preserve">Último </v>
      </c>
      <c r="N335" s="51">
        <f>IFERROR(VLOOKUP(B335,'STATUS INVEST FII'!$A$2:$N$404,12,0),"-")</f>
        <v>80923</v>
      </c>
      <c r="O335" s="54">
        <f>IFERROR(VLOOKUP(B335,'STATUS INVEST FII'!$A$2:$N$404,7,0),0)</f>
        <v>3189018.85</v>
      </c>
    </row>
    <row r="336" spans="1:15" s="2" customFormat="1" ht="15.75" thickBot="1" x14ac:dyDescent="0.3">
      <c r="A336" s="3"/>
      <c r="B336" s="133" t="s">
        <v>280</v>
      </c>
      <c r="C336" s="14">
        <f>IFERROR(VLOOKUP(B336,'STATUS INVEST FII'!$A$2:$N$404,2,0),0)</f>
        <v>863</v>
      </c>
      <c r="D336" s="15">
        <f>IFERROR(VLOOKUP(B336,'STATUS INVEST FII'!$A$2:$N$404,4,0)/100,0)</f>
        <v>0</v>
      </c>
      <c r="E336" s="16">
        <f>IFERROR(VLOOKUP(B336,'STATUS INVEST FII'!$A$2:$N$404,6,0),0)</f>
        <v>1.22</v>
      </c>
      <c r="F336" s="17">
        <f>IFERROR(VLOOKUP(B336,'STATUS INVEST FII'!$A$2:$N$404,8,0)/100,0)</f>
        <v>1.49E-2</v>
      </c>
      <c r="G336" s="18">
        <f>IFERROR(VLOOKUP(B336,'STATUS INVEST FII'!$A$2:$N$404,9,0)/100,0)</f>
        <v>0</v>
      </c>
      <c r="H336" s="18">
        <f>IFERROR(VLOOKUP(B336,'STATUS INVEST FII'!$A$2:$N$404,10,0)/100,0)</f>
        <v>0</v>
      </c>
      <c r="I336" s="21">
        <f>IFERROR(VLOOKUP(B336,'STATUS INVEST FII'!$A$2:$N$404,11,0),0)</f>
        <v>125221361.94</v>
      </c>
      <c r="J336" s="137" t="str">
        <f>IFERROR(VLOOKUP(B336,'ATIVOS-GESTÃO'!$A$1:$C$329,2),"-")</f>
        <v>MULTI</v>
      </c>
      <c r="K336" s="137" t="str">
        <f>IFERROR(VLOOKUP(B336,'ATIVOS-GESTÃO'!$A$1:$C$329,3),"-")</f>
        <v>MULTI</v>
      </c>
      <c r="L336" s="21" t="str">
        <f>IFERROR(VLOOKUP(B336,'STATUS INVEST FII'!$A$2:$N$404,13,0),"-")</f>
        <v>Ativa</v>
      </c>
      <c r="M336" s="21" t="str">
        <f>IFERROR(VLOOKUP(B336,'DATA-COM'!A:B,2,FALSE),"-")</f>
        <v xml:space="preserve">Último </v>
      </c>
      <c r="N336" s="55">
        <f>IFERROR(VLOOKUP(B336,'STATUS INVEST FII'!$A$2:$N$404,12,0),"-")</f>
        <v>10</v>
      </c>
      <c r="O336" s="56">
        <f>IFERROR(VLOOKUP(B336,'STATUS INVEST FII'!$A$2:$N$404,7,0),0)</f>
        <v>863</v>
      </c>
    </row>
    <row r="337" spans="2:15" ht="15.75" thickBot="1" x14ac:dyDescent="0.3">
      <c r="B337" s="216" t="s">
        <v>479</v>
      </c>
      <c r="C337" s="217">
        <f>IFERROR(VLOOKUP(B337,'STATUS INVEST FII'!$A$2:$N$404,2,0),0)</f>
        <v>0</v>
      </c>
      <c r="D337" s="218">
        <f>IFERROR(VLOOKUP(B337,'STATUS INVEST FII'!$A$2:$N$404,4,0)/100,0)</f>
        <v>0</v>
      </c>
      <c r="E337" s="218">
        <f>IFERROR(VLOOKUP(B337,'STATUS INVEST FII'!$A$2:$N$404,6,0),0)</f>
        <v>0</v>
      </c>
      <c r="F337" s="218">
        <f>IFERROR(VLOOKUP(B337,'STATUS INVEST FII'!$A$2:$N$404,8,0)/100,0)</f>
        <v>0</v>
      </c>
      <c r="G337" s="218">
        <f>IFERROR(VLOOKUP(B337,'STATUS INVEST FII'!$A$2:$N$404,9,0)/100,0)</f>
        <v>0</v>
      </c>
      <c r="H337" s="218">
        <f>IFERROR(VLOOKUP(B337,'STATUS INVEST FII'!$A$2:$N$404,10,0)/100,0)</f>
        <v>0</v>
      </c>
      <c r="I337" s="218">
        <f>IFERROR(VLOOKUP(B337,'STATUS INVEST FII'!$A$2:$N$404,11,0),0)</f>
        <v>0</v>
      </c>
      <c r="J337" s="218" t="str">
        <f>IFERROR(VLOOKUP(B337,'ATIVOS-GESTÃO'!$A$1:$C$329,2),"-")</f>
        <v>MULTI</v>
      </c>
      <c r="K337" s="218" t="str">
        <f>IFERROR(VLOOKUP(B337,'ATIVOS-GESTÃO'!$A$1:$C$329,3),"-")</f>
        <v>-</v>
      </c>
      <c r="L337" s="218" t="str">
        <f>IFERROR(VLOOKUP(B337,'STATUS INVEST FII'!$A$2:$N$404,13,0),"-")</f>
        <v>-</v>
      </c>
      <c r="M337" s="218" t="str">
        <f>IFERROR(VLOOKUP(B337,'DATA-COM'!A:B,2,FALSE),"-")</f>
        <v>-</v>
      </c>
      <c r="N337" s="218" t="str">
        <f>IFERROR(VLOOKUP(B337,'STATUS INVEST FII'!$A$2:$N$404,12,0),"-")</f>
        <v>-</v>
      </c>
      <c r="O337" s="219">
        <f>IFERROR(VLOOKUP(B337,'STATUS INVEST FII'!$A$2:$N$404,7,0),0)</f>
        <v>0</v>
      </c>
    </row>
    <row r="338" spans="2:15" x14ac:dyDescent="0.25">
      <c r="B338" s="126" t="s">
        <v>435</v>
      </c>
      <c r="C338" s="4">
        <f>IFERROR(VLOOKUP(B338,'STATUS INVEST FII'!$A$2:$N$404,2,0),0)</f>
        <v>98.72</v>
      </c>
      <c r="D338" s="5">
        <f>IFERROR(VLOOKUP(B338,'STATUS INVEST FII'!$A$2:$N$404,4,0)/100,0)</f>
        <v>4.0500000000000001E-2</v>
      </c>
      <c r="E338" s="6">
        <f>IFERROR(VLOOKUP(B338,'STATUS INVEST FII'!$A$2:$N$404,6,0),0)</f>
        <v>0.96</v>
      </c>
      <c r="F338" s="7">
        <f>IFERROR(VLOOKUP(B338,'STATUS INVEST FII'!$A$2:$N$404,8,0)/100,0)</f>
        <v>0.21679999999999999</v>
      </c>
      <c r="G338" s="13">
        <f>IFERROR(VLOOKUP(B338,'STATUS INVEST FII'!$A$2:$N$404,9,0)/100,0)</f>
        <v>0</v>
      </c>
      <c r="H338" s="13">
        <f>IFERROR(VLOOKUP(B338,'STATUS INVEST FII'!$A$2:$N$404,10,0)/100,0)</f>
        <v>0</v>
      </c>
      <c r="I338" s="19">
        <f>IFERROR(VLOOKUP(B338,'STATUS INVEST FII'!$A$2:$N$404,11,0),0)</f>
        <v>347622412.18000001</v>
      </c>
      <c r="J338" s="23" t="str">
        <f>IFERROR(VLOOKUP(B338,'ATIVOS-GESTÃO'!$A$1:$C$329,2),"-")</f>
        <v xml:space="preserve">MULT </v>
      </c>
      <c r="K338" s="23" t="str">
        <f>IFERROR(VLOOKUP(B338,'ATIVOS-GESTÃO'!$A$1:$C$329,3),"-")</f>
        <v>MULTI</v>
      </c>
      <c r="L338" s="19" t="str">
        <f>IFERROR(VLOOKUP(B338,'STATUS INVEST FII'!$A$2:$N$404,13,0),"-")</f>
        <v>Ativa</v>
      </c>
      <c r="M338" s="19" t="str">
        <f>IFERROR(VLOOKUP(B338,'DATA-COM'!A:B,2,FALSE),"-")</f>
        <v xml:space="preserve">Décimo Sexto </v>
      </c>
      <c r="N338" s="52">
        <f>IFERROR(VLOOKUP(B338,'STATUS INVEST FII'!$A$2:$N$404,12,0),"-")</f>
        <v>9854</v>
      </c>
      <c r="O338" s="53">
        <f>IFERROR(VLOOKUP(B338,'STATUS INVEST FII'!$A$2:$N$404,7,0),0)</f>
        <v>708001.15</v>
      </c>
    </row>
    <row r="339" spans="2:15" x14ac:dyDescent="0.25">
      <c r="B339" s="132" t="s">
        <v>482</v>
      </c>
      <c r="C339" s="9">
        <f>IFERROR(VLOOKUP(B339,'STATUS INVEST FII'!$A$2:$N$404,2,0),0)</f>
        <v>0</v>
      </c>
      <c r="D339" s="10">
        <f>IFERROR(VLOOKUP(B339,'STATUS INVEST FII'!$A$2:$N$404,4,0)/100,0)</f>
        <v>0</v>
      </c>
      <c r="E339" s="11">
        <f>IFERROR(VLOOKUP(B339,'STATUS INVEST FII'!$A$2:$N$404,6,0),0)</f>
        <v>0</v>
      </c>
      <c r="F339" s="12">
        <f>IFERROR(VLOOKUP(B339,'STATUS INVEST FII'!$A$2:$N$404,8,0)/100,0)</f>
        <v>0</v>
      </c>
      <c r="G339" s="13">
        <f>IFERROR(VLOOKUP(B339,'STATUS INVEST FII'!$A$2:$N$404,9,0)/100,0)</f>
        <v>0</v>
      </c>
      <c r="H339" s="13">
        <f>IFERROR(VLOOKUP(B339,'STATUS INVEST FII'!$A$2:$N$404,10,0)/100,0)</f>
        <v>0</v>
      </c>
      <c r="I339" s="20">
        <f>IFERROR(VLOOKUP(B339,'STATUS INVEST FII'!$A$2:$N$404,11,0),0)</f>
        <v>0</v>
      </c>
      <c r="J339" s="24" t="str">
        <f>IFERROR(VLOOKUP(B339,'ATIVOS-GESTÃO'!$A$1:$C$329,2),"-")</f>
        <v>MULTI</v>
      </c>
      <c r="K339" s="24" t="str">
        <f>IFERROR(VLOOKUP(B339,'ATIVOS-GESTÃO'!$A$1:$C$329,3),"-")</f>
        <v>MULTI</v>
      </c>
      <c r="L339" s="20" t="str">
        <f>IFERROR(VLOOKUP(B339,'STATUS INVEST FII'!$A$2:$N$404,13,0),"-")</f>
        <v>-</v>
      </c>
      <c r="M339" s="20" t="str">
        <f>IFERROR(VLOOKUP(B339,'DATA-COM'!A:B,2,FALSE),"-")</f>
        <v>-</v>
      </c>
      <c r="N339" s="51" t="str">
        <f>IFERROR(VLOOKUP(B339,'STATUS INVEST FII'!$A$2:$N$404,12,0),"-")</f>
        <v>-</v>
      </c>
      <c r="O339" s="54">
        <f>IFERROR(VLOOKUP(B339,'STATUS INVEST FII'!$A$2:$N$404,7,0),0)</f>
        <v>0</v>
      </c>
    </row>
    <row r="340" spans="2:15" x14ac:dyDescent="0.25">
      <c r="B340" s="126" t="s">
        <v>481</v>
      </c>
      <c r="C340" s="9">
        <f>IFERROR(VLOOKUP(B340,'STATUS INVEST FII'!$A$2:$N$404,2,0),0)</f>
        <v>0</v>
      </c>
      <c r="D340" s="10">
        <f>IFERROR(VLOOKUP(B340,'STATUS INVEST FII'!$A$2:$N$404,4,0)/100,0)</f>
        <v>0</v>
      </c>
      <c r="E340" s="11">
        <f>IFERROR(VLOOKUP(B340,'STATUS INVEST FII'!$A$2:$N$404,6,0),0)</f>
        <v>0</v>
      </c>
      <c r="F340" s="12">
        <f>IFERROR(VLOOKUP(B340,'STATUS INVEST FII'!$A$2:$N$404,8,0)/100,0)</f>
        <v>0</v>
      </c>
      <c r="G340" s="13">
        <f>IFERROR(VLOOKUP(B340,'STATUS INVEST FII'!$A$2:$N$404,9,0)/100,0)</f>
        <v>0</v>
      </c>
      <c r="H340" s="13">
        <f>IFERROR(VLOOKUP(B340,'STATUS INVEST FII'!$A$2:$N$404,10,0)/100,0)</f>
        <v>0</v>
      </c>
      <c r="I340" s="20">
        <f>IFERROR(VLOOKUP(B340,'STATUS INVEST FII'!$A$2:$N$404,11,0),0)</f>
        <v>0</v>
      </c>
      <c r="J340" s="24" t="str">
        <f>IFERROR(VLOOKUP(B340,'ATIVOS-GESTÃO'!$A$1:$C$329,2),"-")</f>
        <v>MULTI</v>
      </c>
      <c r="K340" s="24" t="str">
        <f>IFERROR(VLOOKUP(B340,'ATIVOS-GESTÃO'!$A$1:$C$329,3),"-")</f>
        <v>MULTI</v>
      </c>
      <c r="L340" s="20" t="str">
        <f>IFERROR(VLOOKUP(B340,'STATUS INVEST FII'!$A$2:$N$404,13,0),"-")</f>
        <v>-</v>
      </c>
      <c r="M340" s="20" t="str">
        <f>IFERROR(VLOOKUP(B340,'DATA-COM'!A:B,2,FALSE),"-")</f>
        <v>-</v>
      </c>
      <c r="N340" s="51" t="str">
        <f>IFERROR(VLOOKUP(B340,'STATUS INVEST FII'!$A$2:$N$404,12,0),"-")</f>
        <v>-</v>
      </c>
      <c r="O340" s="54">
        <f>IFERROR(VLOOKUP(B340,'STATUS INVEST FII'!$A$2:$N$404,7,0),0)</f>
        <v>0</v>
      </c>
    </row>
    <row r="341" spans="2:15" x14ac:dyDescent="0.25">
      <c r="B341" s="126" t="s">
        <v>30</v>
      </c>
      <c r="C341" s="9">
        <f>IFERROR(VLOOKUP(B341,'STATUS INVEST FII'!$A$2:$N$404,2,0),0)</f>
        <v>49.88</v>
      </c>
      <c r="D341" s="10">
        <f>IFERROR(VLOOKUP(B341,'STATUS INVEST FII'!$A$2:$N$404,4,0)/100,0)</f>
        <v>9.35E-2</v>
      </c>
      <c r="E341" s="11">
        <f>IFERROR(VLOOKUP(B341,'STATUS INVEST FII'!$A$2:$N$404,6,0),0)</f>
        <v>0.84</v>
      </c>
      <c r="F341" s="12">
        <f>IFERROR(VLOOKUP(B341,'STATUS INVEST FII'!$A$2:$N$404,8,0)/100,0)</f>
        <v>1.04E-2</v>
      </c>
      <c r="G341" s="13">
        <f>IFERROR(VLOOKUP(B341,'STATUS INVEST FII'!$A$2:$N$404,9,0)/100,0)</f>
        <v>0</v>
      </c>
      <c r="H341" s="13">
        <f>IFERROR(VLOOKUP(B341,'STATUS INVEST FII'!$A$2:$N$404,10,0)/100,0)</f>
        <v>0</v>
      </c>
      <c r="I341" s="20">
        <f>IFERROR(VLOOKUP(B341,'STATUS INVEST FII'!$A$2:$N$404,11,0),0)</f>
        <v>301097627.76999998</v>
      </c>
      <c r="J341" s="24" t="str">
        <f>IFERROR(VLOOKUP(B341,'ATIVOS-GESTÃO'!$A$1:$C$329,2),"-")</f>
        <v>MULTI</v>
      </c>
      <c r="K341" s="24" t="str">
        <f>IFERROR(VLOOKUP(B341,'ATIVOS-GESTÃO'!$A$1:$C$329,3),"-")</f>
        <v>MULTI</v>
      </c>
      <c r="L341" s="20" t="str">
        <f>IFERROR(VLOOKUP(B341,'STATUS INVEST FII'!$A$2:$N$404,13,0),"-")</f>
        <v>Ativa</v>
      </c>
      <c r="M341" s="20" t="str">
        <f>IFERROR(VLOOKUP(B341,'DATA-COM'!A:B,2,FALSE),"-")</f>
        <v xml:space="preserve">Quinto </v>
      </c>
      <c r="N341" s="51">
        <f>IFERROR(VLOOKUP(B341,'STATUS INVEST FII'!$A$2:$N$404,12,0),"-")</f>
        <v>23734</v>
      </c>
      <c r="O341" s="54">
        <f>IFERROR(VLOOKUP(B341,'STATUS INVEST FII'!$A$2:$N$404,7,0),0)</f>
        <v>538950.62</v>
      </c>
    </row>
    <row r="342" spans="2:15" x14ac:dyDescent="0.25">
      <c r="B342" s="126" t="s">
        <v>490</v>
      </c>
      <c r="C342" s="9">
        <f>IFERROR(VLOOKUP(B342,'STATUS INVEST FII'!$A$2:$N$404,2,0),0)</f>
        <v>0</v>
      </c>
      <c r="D342" s="10">
        <f>IFERROR(VLOOKUP(B342,'STATUS INVEST FII'!$A$2:$N$404,4,0)/100,0)</f>
        <v>0</v>
      </c>
      <c r="E342" s="11">
        <f>IFERROR(VLOOKUP(B342,'STATUS INVEST FII'!$A$2:$N$404,6,0),0)</f>
        <v>0</v>
      </c>
      <c r="F342" s="12">
        <f>IFERROR(VLOOKUP(B342,'STATUS INVEST FII'!$A$2:$N$404,8,0)/100,0)</f>
        <v>0</v>
      </c>
      <c r="G342" s="13">
        <f>IFERROR(VLOOKUP(B342,'STATUS INVEST FII'!$A$2:$N$404,9,0)/100,0)</f>
        <v>0</v>
      </c>
      <c r="H342" s="13">
        <f>IFERROR(VLOOKUP(B342,'STATUS INVEST FII'!$A$2:$N$404,10,0)/100,0)</f>
        <v>0</v>
      </c>
      <c r="I342" s="20">
        <f>IFERROR(VLOOKUP(B342,'STATUS INVEST FII'!$A$2:$N$404,11,0),0)</f>
        <v>0</v>
      </c>
      <c r="J342" s="24" t="str">
        <f>IFERROR(VLOOKUP(B342,'ATIVOS-GESTÃO'!$A$1:$C$329,2),"-")</f>
        <v>-</v>
      </c>
      <c r="K342" s="24" t="str">
        <f>IFERROR(VLOOKUP(B342,'ATIVOS-GESTÃO'!$A$1:$C$329,3),"-")</f>
        <v>-</v>
      </c>
      <c r="L342" s="20" t="str">
        <f>IFERROR(VLOOKUP(B342,'STATUS INVEST FII'!$A$2:$N$404,13,0),"-")</f>
        <v>-</v>
      </c>
      <c r="M342" s="20" t="str">
        <f>IFERROR(VLOOKUP(B342,'DATA-COM'!A:B,2,FALSE),"-")</f>
        <v>-</v>
      </c>
      <c r="N342" s="51" t="str">
        <f>IFERROR(VLOOKUP(B342,'STATUS INVEST FII'!$A$2:$N$404,12,0),"-")</f>
        <v>-</v>
      </c>
      <c r="O342" s="54">
        <f>IFERROR(VLOOKUP(B342,'STATUS INVEST FII'!$A$2:$N$404,7,0),0)</f>
        <v>0</v>
      </c>
    </row>
    <row r="343" spans="2:15" x14ac:dyDescent="0.25">
      <c r="B343" s="126" t="s">
        <v>480</v>
      </c>
      <c r="C343" s="9">
        <f>IFERROR(VLOOKUP(B343,'STATUS INVEST FII'!$A$2:$N$404,2,0),0)</f>
        <v>0</v>
      </c>
      <c r="D343" s="10">
        <f>IFERROR(VLOOKUP(B343,'STATUS INVEST FII'!$A$2:$N$404,4,0)/100,0)</f>
        <v>0</v>
      </c>
      <c r="E343" s="11">
        <f>IFERROR(VLOOKUP(B343,'STATUS INVEST FII'!$A$2:$N$404,6,0),0)</f>
        <v>0</v>
      </c>
      <c r="F343" s="12">
        <f>IFERROR(VLOOKUP(B343,'STATUS INVEST FII'!$A$2:$N$404,8,0)/100,0)</f>
        <v>0</v>
      </c>
      <c r="G343" s="13">
        <f>IFERROR(VLOOKUP(B343,'STATUS INVEST FII'!$A$2:$N$404,9,0)/100,0)</f>
        <v>0</v>
      </c>
      <c r="H343" s="13">
        <f>IFERROR(VLOOKUP(B343,'STATUS INVEST FII'!$A$2:$N$404,10,0)/100,0)</f>
        <v>0</v>
      </c>
      <c r="I343" s="20">
        <f>IFERROR(VLOOKUP(B343,'STATUS INVEST FII'!$A$2:$N$404,11,0),0)</f>
        <v>0</v>
      </c>
      <c r="J343" s="24" t="str">
        <f>IFERROR(VLOOKUP(B343,'ATIVOS-GESTÃO'!$A$1:$C$329,2),"-")</f>
        <v>MULTI</v>
      </c>
      <c r="K343" s="24" t="str">
        <f>IFERROR(VLOOKUP(B343,'ATIVOS-GESTÃO'!$A$1:$C$329,3),"-")</f>
        <v>MULTI</v>
      </c>
      <c r="L343" s="20" t="str">
        <f>IFERROR(VLOOKUP(B343,'STATUS INVEST FII'!$A$2:$N$404,13,0),"-")</f>
        <v>-</v>
      </c>
      <c r="M343" s="20" t="str">
        <f>IFERROR(VLOOKUP(B343,'DATA-COM'!A:B,2,FALSE),"-")</f>
        <v>-</v>
      </c>
      <c r="N343" s="51" t="str">
        <f>IFERROR(VLOOKUP(B343,'STATUS INVEST FII'!$A$2:$N$404,12,0),"-")</f>
        <v>-</v>
      </c>
      <c r="O343" s="54">
        <f>IFERROR(VLOOKUP(B343,'STATUS INVEST FII'!$A$2:$N$404,7,0),0)</f>
        <v>0</v>
      </c>
    </row>
    <row r="344" spans="2:15" x14ac:dyDescent="0.25">
      <c r="B344" s="126" t="s">
        <v>301</v>
      </c>
      <c r="C344" s="9">
        <f>IFERROR(VLOOKUP(B344,'STATUS INVEST FII'!$A$2:$N$404,2,0),0)</f>
        <v>102.12</v>
      </c>
      <c r="D344" s="10">
        <f>IFERROR(VLOOKUP(B344,'STATUS INVEST FII'!$A$2:$N$404,4,0)/100,0)</f>
        <v>0.1081</v>
      </c>
      <c r="E344" s="11">
        <f>IFERROR(VLOOKUP(B344,'STATUS INVEST FII'!$A$2:$N$404,6,0),0)</f>
        <v>1.02</v>
      </c>
      <c r="F344" s="12">
        <f>IFERROR(VLOOKUP(B344,'STATUS INVEST FII'!$A$2:$N$404,8,0)/100,0)</f>
        <v>8.0299999999999996E-2</v>
      </c>
      <c r="G344" s="13">
        <f>IFERROR(VLOOKUP(B344,'STATUS INVEST FII'!$A$2:$N$404,9,0)/100,0)</f>
        <v>0</v>
      </c>
      <c r="H344" s="13">
        <f>IFERROR(VLOOKUP(B344,'STATUS INVEST FII'!$A$2:$N$404,10,0)/100,0)</f>
        <v>0</v>
      </c>
      <c r="I344" s="20">
        <f>IFERROR(VLOOKUP(B344,'STATUS INVEST FII'!$A$2:$N$404,11,0),0)</f>
        <v>1105317680.8800001</v>
      </c>
      <c r="J344" s="24" t="str">
        <f>IFERROR(VLOOKUP(B344,'ATIVOS-GESTÃO'!$A$1:$C$329,2),"-")</f>
        <v>MULTI</v>
      </c>
      <c r="K344" s="24" t="str">
        <f>IFERROR(VLOOKUP(B344,'ATIVOS-GESTÃO'!$A$1:$C$329,3),"-")</f>
        <v>MULTI</v>
      </c>
      <c r="L344" s="20" t="str">
        <f>IFERROR(VLOOKUP(B344,'STATUS INVEST FII'!$A$2:$N$404,13,0),"-")</f>
        <v>Ativa</v>
      </c>
      <c r="M344" s="20" t="str">
        <f>IFERROR(VLOOKUP(B344,'DATA-COM'!A:B,2,FALSE),"-")</f>
        <v xml:space="preserve">Último </v>
      </c>
      <c r="N344" s="51">
        <f>IFERROR(VLOOKUP(B344,'STATUS INVEST FII'!$A$2:$N$404,12,0),"-")</f>
        <v>44338</v>
      </c>
      <c r="O344" s="54">
        <f>IFERROR(VLOOKUP(B344,'STATUS INVEST FII'!$A$2:$N$404,7,0),0)</f>
        <v>3524292.79</v>
      </c>
    </row>
    <row r="345" spans="2:15" x14ac:dyDescent="0.25">
      <c r="B345" s="126" t="s">
        <v>483</v>
      </c>
      <c r="C345" s="9">
        <f>IFERROR(VLOOKUP(B345,'STATUS INVEST FII'!$A$2:$N$404,2,0),0)</f>
        <v>0</v>
      </c>
      <c r="D345" s="10">
        <f>IFERROR(VLOOKUP(B345,'STATUS INVEST FII'!$A$2:$N$404,4,0)/100,0)</f>
        <v>0</v>
      </c>
      <c r="E345" s="11">
        <f>IFERROR(VLOOKUP(B345,'STATUS INVEST FII'!$A$2:$N$404,6,0),0)</f>
        <v>0</v>
      </c>
      <c r="F345" s="12">
        <f>IFERROR(VLOOKUP(B345,'STATUS INVEST FII'!$A$2:$N$404,8,0)/100,0)</f>
        <v>0</v>
      </c>
      <c r="G345" s="13">
        <f>IFERROR(VLOOKUP(B345,'STATUS INVEST FII'!$A$2:$N$404,9,0)/100,0)</f>
        <v>0</v>
      </c>
      <c r="H345" s="13">
        <f>IFERROR(VLOOKUP(B345,'STATUS INVEST FII'!$A$2:$N$404,10,0)/100,0)</f>
        <v>0</v>
      </c>
      <c r="I345" s="20">
        <f>IFERROR(VLOOKUP(B345,'STATUS INVEST FII'!$A$2:$N$404,11,0),0)</f>
        <v>0</v>
      </c>
      <c r="J345" s="24" t="str">
        <f>IFERROR(VLOOKUP(B345,'ATIVOS-GESTÃO'!$A$1:$C$329,2),"-")</f>
        <v>MULTI</v>
      </c>
      <c r="K345" s="24" t="str">
        <f>IFERROR(VLOOKUP(B345,'ATIVOS-GESTÃO'!$A$1:$C$329,3),"-")</f>
        <v>MULTI</v>
      </c>
      <c r="L345" s="20" t="str">
        <f>IFERROR(VLOOKUP(B345,'STATUS INVEST FII'!$A$2:$N$404,13,0),"-")</f>
        <v>-</v>
      </c>
      <c r="M345" s="20" t="str">
        <f>IFERROR(VLOOKUP(B345,'DATA-COM'!A:B,2,FALSE),"-")</f>
        <v>-</v>
      </c>
      <c r="N345" s="51" t="str">
        <f>IFERROR(VLOOKUP(B345,'STATUS INVEST FII'!$A$2:$N$404,12,0),"-")</f>
        <v>-</v>
      </c>
      <c r="O345" s="54">
        <f>IFERROR(VLOOKUP(B345,'STATUS INVEST FII'!$A$2:$N$404,7,0),0)</f>
        <v>0</v>
      </c>
    </row>
    <row r="346" spans="2:15" ht="15.75" thickBot="1" x14ac:dyDescent="0.3">
      <c r="B346" s="135" t="s">
        <v>484</v>
      </c>
      <c r="C346" s="14">
        <f>IFERROR(VLOOKUP(B346,'STATUS INVEST FII'!$A$2:$N$404,2,0),0)</f>
        <v>0</v>
      </c>
      <c r="D346" s="15">
        <f>IFERROR(VLOOKUP(B346,'STATUS INVEST FII'!$A$2:$N$404,4,0)/100,0)</f>
        <v>0</v>
      </c>
      <c r="E346" s="16">
        <f>IFERROR(VLOOKUP(B346,'STATUS INVEST FII'!$A$2:$N$404,6,0),0)</f>
        <v>0</v>
      </c>
      <c r="F346" s="17">
        <f>IFERROR(VLOOKUP(B346,'STATUS INVEST FII'!$A$2:$N$404,8,0)/100,0)</f>
        <v>0</v>
      </c>
      <c r="G346" s="13">
        <f>IFERROR(VLOOKUP(B346,'STATUS INVEST FII'!$A$2:$N$404,9,0)/100,0)</f>
        <v>0</v>
      </c>
      <c r="H346" s="13">
        <f>IFERROR(VLOOKUP(B346,'STATUS INVEST FII'!$A$2:$N$404,10,0)/100,0)</f>
        <v>0</v>
      </c>
      <c r="I346" s="21">
        <f>IFERROR(VLOOKUP(B346,'STATUS INVEST FII'!$A$2:$N$404,11,0),0)</f>
        <v>0</v>
      </c>
      <c r="J346" s="25" t="str">
        <f>IFERROR(VLOOKUP(B346,'ATIVOS-GESTÃO'!$A$1:$C$329,2),"-")</f>
        <v>MULTI</v>
      </c>
      <c r="K346" s="25" t="str">
        <f>IFERROR(VLOOKUP(B346,'ATIVOS-GESTÃO'!$A$1:$C$329,3),"-")</f>
        <v>MULTI</v>
      </c>
      <c r="L346" s="21" t="str">
        <f>IFERROR(VLOOKUP(B346,'STATUS INVEST FII'!$A$2:$N$404,13,0),"-")</f>
        <v>-</v>
      </c>
      <c r="M346" s="21" t="str">
        <f>IFERROR(VLOOKUP(B346,'DATA-COM'!A:B,2,FALSE),"-")</f>
        <v>-</v>
      </c>
      <c r="N346" s="55" t="str">
        <f>IFERROR(VLOOKUP(B346,'STATUS INVEST FII'!$A$2:$N$404,12,0),"-")</f>
        <v>-</v>
      </c>
      <c r="O346" s="56">
        <f>IFERROR(VLOOKUP(B346,'STATUS INVEST FII'!$A$2:$N$404,7,0),0)</f>
        <v>0</v>
      </c>
    </row>
    <row r="347" spans="2:15" ht="15.75" thickBot="1" x14ac:dyDescent="0.3">
      <c r="B347" s="216" t="s">
        <v>296</v>
      </c>
      <c r="C347" s="217">
        <f>IFERROR(VLOOKUP(B347,'STATUS INVEST FII'!$A$2:$N$404,2,0),0)</f>
        <v>0</v>
      </c>
      <c r="D347" s="218">
        <f>IFERROR(VLOOKUP(B347,'STATUS INVEST FII'!$A$2:$N$404,4,0)/100,0)</f>
        <v>0</v>
      </c>
      <c r="E347" s="218">
        <f>IFERROR(VLOOKUP(B347,'STATUS INVEST FII'!$A$2:$N$404,6,0),0)</f>
        <v>0</v>
      </c>
      <c r="F347" s="218">
        <f>IFERROR(VLOOKUP(B347,'STATUS INVEST FII'!$A$2:$N$404,8,0)/100,0)</f>
        <v>0</v>
      </c>
      <c r="G347" s="218">
        <f>IFERROR(VLOOKUP(B347,'STATUS INVEST FII'!$A$2:$N$404,9,0)/100,0)</f>
        <v>0</v>
      </c>
      <c r="H347" s="218">
        <f>IFERROR(VLOOKUP(B347,'STATUS INVEST FII'!$A$2:$N$404,10,0)/100,0)</f>
        <v>0</v>
      </c>
      <c r="I347" s="218">
        <f>IFERROR(VLOOKUP(B347,'STATUS INVEST FII'!$A$2:$N$404,11,0),0)</f>
        <v>0</v>
      </c>
      <c r="J347" s="218" t="str">
        <f>IFERROR(VLOOKUP(B347,'ATIVOS-GESTÃO'!$A$1:$C$329,2),"-")</f>
        <v>MULTI</v>
      </c>
      <c r="K347" s="218" t="str">
        <f>IFERROR(VLOOKUP(B347,'ATIVOS-GESTÃO'!$A$1:$C$329,3),"-")</f>
        <v>MULTI</v>
      </c>
      <c r="L347" s="218" t="str">
        <f>IFERROR(VLOOKUP(B347,'STATUS INVEST FII'!$A$2:$N$404,13,0),"-")</f>
        <v>-</v>
      </c>
      <c r="M347" s="218" t="str">
        <f>IFERROR(VLOOKUP(B347,'DATA-COM'!A:B,2,FALSE),"-")</f>
        <v>-</v>
      </c>
      <c r="N347" s="218" t="str">
        <f>IFERROR(VLOOKUP(B347,'STATUS INVEST FII'!$A$2:$N$404,12,0),"-")</f>
        <v>-</v>
      </c>
      <c r="O347" s="219">
        <f>IFERROR(VLOOKUP(B347,'STATUS INVEST FII'!$A$2:$N$404,7,0),0)</f>
        <v>0</v>
      </c>
    </row>
    <row r="348" spans="2:15" x14ac:dyDescent="0.25">
      <c r="B348" s="132" t="s">
        <v>457</v>
      </c>
      <c r="C348" s="4">
        <f>IFERROR(VLOOKUP(B348,'STATUS INVEST FII'!$A$2:$N$404,2,0),0)</f>
        <v>10.42</v>
      </c>
      <c r="D348" s="5">
        <f>IFERROR(VLOOKUP(B348,'STATUS INVEST FII'!$A$2:$N$404,4,0)/100,0)</f>
        <v>1.15E-2</v>
      </c>
      <c r="E348" s="6">
        <f>IFERROR(VLOOKUP(B348,'STATUS INVEST FII'!$A$2:$N$404,6,0),0)</f>
        <v>1.07</v>
      </c>
      <c r="F348" s="7">
        <f>IFERROR(VLOOKUP(B348,'STATUS INVEST FII'!$A$2:$N$404,8,0)/100,0)</f>
        <v>0.28520000000000001</v>
      </c>
      <c r="G348" s="13">
        <f>IFERROR(VLOOKUP(B348,'STATUS INVEST FII'!$A$2:$N$404,9,0)/100,0)</f>
        <v>0</v>
      </c>
      <c r="H348" s="13">
        <f>IFERROR(VLOOKUP(B348,'STATUS INVEST FII'!$A$2:$N$404,10,0)/100,0)</f>
        <v>0</v>
      </c>
      <c r="I348" s="19">
        <f>IFERROR(VLOOKUP(B348,'STATUS INVEST FII'!$A$2:$N$404,11,0),0)</f>
        <v>39476292.409999996</v>
      </c>
      <c r="J348" s="23" t="str">
        <f>IFERROR(VLOOKUP(B348,'ATIVOS-GESTÃO'!$A$1:$C$329,2),"-")</f>
        <v>MONO</v>
      </c>
      <c r="K348" s="23" t="str">
        <f>IFERROR(VLOOKUP(B348,'ATIVOS-GESTÃO'!$A$1:$C$329,3),"-")</f>
        <v>MULTI</v>
      </c>
      <c r="L348" s="19" t="str">
        <f>IFERROR(VLOOKUP(B348,'STATUS INVEST FII'!$A$2:$N$404,13,0),"-")</f>
        <v>Ativa</v>
      </c>
      <c r="M348" s="19" t="str">
        <f>IFERROR(VLOOKUP(B348,'DATA-COM'!A:B,2,FALSE),"-")</f>
        <v>-</v>
      </c>
      <c r="N348" s="52">
        <f>IFERROR(VLOOKUP(B348,'STATUS INVEST FII'!$A$2:$N$404,12,0),"-")</f>
        <v>64</v>
      </c>
      <c r="O348" s="53">
        <f>IFERROR(VLOOKUP(B348,'STATUS INVEST FII'!$A$2:$N$404,7,0),0)</f>
        <v>3158.85</v>
      </c>
    </row>
    <row r="349" spans="2:15" x14ac:dyDescent="0.25">
      <c r="B349" s="132" t="s">
        <v>241</v>
      </c>
      <c r="C349" s="9">
        <f>IFERROR(VLOOKUP(B349,'STATUS INVEST FII'!$A$2:$N$404,2,0),0)</f>
        <v>1170.83</v>
      </c>
      <c r="D349" s="10">
        <f>IFERROR(VLOOKUP(B349,'STATUS INVEST FII'!$A$2:$N$404,4,0)/100,0)</f>
        <v>7.1599999999999997E-2</v>
      </c>
      <c r="E349" s="11">
        <f>IFERROR(VLOOKUP(B349,'STATUS INVEST FII'!$A$2:$N$404,6,0),0)</f>
        <v>1.0900000000000001</v>
      </c>
      <c r="F349" s="12">
        <f>IFERROR(VLOOKUP(B349,'STATUS INVEST FII'!$A$2:$N$404,8,0)/100,0)</f>
        <v>6.2199999999999998E-2</v>
      </c>
      <c r="G349" s="13">
        <f>IFERROR(VLOOKUP(B349,'STATUS INVEST FII'!$A$2:$N$404,9,0)/100,0)</f>
        <v>0</v>
      </c>
      <c r="H349" s="13">
        <f>IFERROR(VLOOKUP(B349,'STATUS INVEST FII'!$A$2:$N$404,10,0)/100,0)</f>
        <v>0</v>
      </c>
      <c r="I349" s="20">
        <f>IFERROR(VLOOKUP(B349,'STATUS INVEST FII'!$A$2:$N$404,11,0),0)</f>
        <v>133621510.12</v>
      </c>
      <c r="J349" s="24" t="str">
        <f>IFERROR(VLOOKUP(B349,'ATIVOS-GESTÃO'!$A$1:$C$329,2),"-")</f>
        <v>-</v>
      </c>
      <c r="K349" s="24" t="str">
        <f>IFERROR(VLOOKUP(B349,'ATIVOS-GESTÃO'!$A$1:$C$329,3),"-")</f>
        <v>-</v>
      </c>
      <c r="L349" s="20" t="str">
        <f>IFERROR(VLOOKUP(B349,'STATUS INVEST FII'!$A$2:$N$404,13,0),"-")</f>
        <v>Ativa</v>
      </c>
      <c r="M349" s="20" t="str">
        <f>IFERROR(VLOOKUP(B349,'DATA-COM'!A:B,2,FALSE),"-")</f>
        <v xml:space="preserve">Último </v>
      </c>
      <c r="N349" s="51">
        <f>IFERROR(VLOOKUP(B349,'STATUS INVEST FII'!$A$2:$N$404,12,0),"-")</f>
        <v>196</v>
      </c>
      <c r="O349" s="54">
        <f>IFERROR(VLOOKUP(B349,'STATUS INVEST FII'!$A$2:$N$404,7,0),0)</f>
        <v>109219.5</v>
      </c>
    </row>
    <row r="350" spans="2:15" x14ac:dyDescent="0.25">
      <c r="B350" s="126" t="s">
        <v>112</v>
      </c>
      <c r="C350" s="9">
        <f>IFERROR(VLOOKUP(B350,'STATUS INVEST FII'!$A$2:$N$404,2,0),0)</f>
        <v>2.34</v>
      </c>
      <c r="D350" s="10">
        <f>IFERROR(VLOOKUP(B350,'STATUS INVEST FII'!$A$2:$N$404,4,0)/100,0)</f>
        <v>0</v>
      </c>
      <c r="E350" s="11">
        <f>IFERROR(VLOOKUP(B350,'STATUS INVEST FII'!$A$2:$N$404,6,0),0)</f>
        <v>0.28999999999999998</v>
      </c>
      <c r="F350" s="12">
        <f>IFERROR(VLOOKUP(B350,'STATUS INVEST FII'!$A$2:$N$404,8,0)/100,0)</f>
        <v>2.9999999999999997E-4</v>
      </c>
      <c r="G350" s="13">
        <f>IFERROR(VLOOKUP(B350,'STATUS INVEST FII'!$A$2:$N$404,9,0)/100,0)</f>
        <v>0</v>
      </c>
      <c r="H350" s="13">
        <f>IFERROR(VLOOKUP(B350,'STATUS INVEST FII'!$A$2:$N$404,10,0)/100,0)</f>
        <v>-0.10460000000000001</v>
      </c>
      <c r="I350" s="20">
        <f>IFERROR(VLOOKUP(B350,'STATUS INVEST FII'!$A$2:$N$404,11,0),0)</f>
        <v>65775855.670000002</v>
      </c>
      <c r="J350" s="24" t="str">
        <f>IFERROR(VLOOKUP(B350,'ATIVOS-GESTÃO'!$A$1:$C$329,2),"-")</f>
        <v>MONO</v>
      </c>
      <c r="K350" s="24" t="str">
        <f>IFERROR(VLOOKUP(B350,'ATIVOS-GESTÃO'!$A$1:$C$329,3),"-")</f>
        <v>MULTI</v>
      </c>
      <c r="L350" s="20" t="str">
        <f>IFERROR(VLOOKUP(B350,'STATUS INVEST FII'!$A$2:$N$404,13,0),"-")</f>
        <v>Passiva</v>
      </c>
      <c r="M350" s="20" t="str">
        <f>IFERROR(VLOOKUP(B350,'DATA-COM'!A:B,2,FALSE),"-")</f>
        <v xml:space="preserve">Último </v>
      </c>
      <c r="N350" s="51">
        <f>IFERROR(VLOOKUP(B350,'STATUS INVEST FII'!$A$2:$N$404,12,0),"-")</f>
        <v>3191</v>
      </c>
      <c r="O350" s="54">
        <f>IFERROR(VLOOKUP(B350,'STATUS INVEST FII'!$A$2:$N$404,7,0),0)</f>
        <v>58806.76</v>
      </c>
    </row>
    <row r="351" spans="2:15" x14ac:dyDescent="0.25">
      <c r="B351" s="126" t="s">
        <v>309</v>
      </c>
      <c r="C351" s="9">
        <f>IFERROR(VLOOKUP(B351,'STATUS INVEST FII'!$A$2:$N$404,2,0),0)</f>
        <v>92</v>
      </c>
      <c r="D351" s="10">
        <f>IFERROR(VLOOKUP(B351,'STATUS INVEST FII'!$A$2:$N$404,4,0)/100,0)</f>
        <v>0</v>
      </c>
      <c r="E351" s="11">
        <f>IFERROR(VLOOKUP(B351,'STATUS INVEST FII'!$A$2:$N$404,6,0),0)</f>
        <v>0.88</v>
      </c>
      <c r="F351" s="12">
        <f>IFERROR(VLOOKUP(B351,'STATUS INVEST FII'!$A$2:$N$404,8,0)/100,0)</f>
        <v>9.1999999999999998E-3</v>
      </c>
      <c r="G351" s="13">
        <f>IFERROR(VLOOKUP(B351,'STATUS INVEST FII'!$A$2:$N$404,9,0)/100,0)</f>
        <v>0</v>
      </c>
      <c r="H351" s="13">
        <f>IFERROR(VLOOKUP(B351,'STATUS INVEST FII'!$A$2:$N$404,10,0)/100,0)</f>
        <v>0</v>
      </c>
      <c r="I351" s="20">
        <f>IFERROR(VLOOKUP(B351,'STATUS INVEST FII'!$A$2:$N$404,11,0),0)</f>
        <v>30022523.219999999</v>
      </c>
      <c r="J351" s="24" t="str">
        <f>IFERROR(VLOOKUP(B351,'ATIVOS-GESTÃO'!$A$1:$C$329,2),"-")</f>
        <v>MULTI</v>
      </c>
      <c r="K351" s="24" t="str">
        <f>IFERROR(VLOOKUP(B351,'ATIVOS-GESTÃO'!$A$1:$C$329,3),"-")</f>
        <v>MULTI</v>
      </c>
      <c r="L351" s="20" t="str">
        <f>IFERROR(VLOOKUP(B351,'STATUS INVEST FII'!$A$2:$N$404,13,0),"-")</f>
        <v>Ativa</v>
      </c>
      <c r="M351" s="20" t="str">
        <f>IFERROR(VLOOKUP(B351,'DATA-COM'!A:B,2,FALSE),"-")</f>
        <v>-</v>
      </c>
      <c r="N351" s="51">
        <f>IFERROR(VLOOKUP(B351,'STATUS INVEST FII'!$A$2:$N$404,12,0),"-")</f>
        <v>76</v>
      </c>
      <c r="O351" s="54">
        <f>IFERROR(VLOOKUP(B351,'STATUS INVEST FII'!$A$2:$N$404,7,0),0)</f>
        <v>664</v>
      </c>
    </row>
    <row r="352" spans="2:15" x14ac:dyDescent="0.25">
      <c r="B352" s="126" t="s">
        <v>247</v>
      </c>
      <c r="C352" s="9">
        <f>IFERROR(VLOOKUP(B352,'STATUS INVEST FII'!$A$2:$N$404,2,0),0)</f>
        <v>72</v>
      </c>
      <c r="D352" s="10">
        <f>IFERROR(VLOOKUP(B352,'STATUS INVEST FII'!$A$2:$N$404,4,0)/100,0)</f>
        <v>8.4600000000000009E-2</v>
      </c>
      <c r="E352" s="11">
        <f>IFERROR(VLOOKUP(B352,'STATUS INVEST FII'!$A$2:$N$404,6,0),0)</f>
        <v>0.78</v>
      </c>
      <c r="F352" s="12">
        <f>IFERROR(VLOOKUP(B352,'STATUS INVEST FII'!$A$2:$N$404,8,0)/100,0)</f>
        <v>0.12740000000000001</v>
      </c>
      <c r="G352" s="13">
        <f>IFERROR(VLOOKUP(B352,'STATUS INVEST FII'!$A$2:$N$404,9,0)/100,0)</f>
        <v>0</v>
      </c>
      <c r="H352" s="13">
        <f>IFERROR(VLOOKUP(B352,'STATUS INVEST FII'!$A$2:$N$404,10,0)/100,0)</f>
        <v>0</v>
      </c>
      <c r="I352" s="20">
        <f>IFERROR(VLOOKUP(B352,'STATUS INVEST FII'!$A$2:$N$404,11,0),0)</f>
        <v>53159376.060000002</v>
      </c>
      <c r="J352" s="24" t="str">
        <f>IFERROR(VLOOKUP(B352,'ATIVOS-GESTÃO'!$A$1:$C$329,2),"-")</f>
        <v>-</v>
      </c>
      <c r="K352" s="24" t="str">
        <f>IFERROR(VLOOKUP(B352,'ATIVOS-GESTÃO'!$A$1:$C$329,3),"-")</f>
        <v>-</v>
      </c>
      <c r="L352" s="20" t="str">
        <f>IFERROR(VLOOKUP(B352,'STATUS INVEST FII'!$A$2:$N$404,13,0),"-")</f>
        <v>Ativa</v>
      </c>
      <c r="M352" s="20" t="str">
        <f>IFERROR(VLOOKUP(B352,'DATA-COM'!A:B,2,FALSE),"-")</f>
        <v xml:space="preserve">Último </v>
      </c>
      <c r="N352" s="51">
        <f>IFERROR(VLOOKUP(B352,'STATUS INVEST FII'!$A$2:$N$404,12,0),"-")</f>
        <v>2132</v>
      </c>
      <c r="O352" s="54">
        <f>IFERROR(VLOOKUP(B352,'STATUS INVEST FII'!$A$2:$N$404,7,0),0)</f>
        <v>12966.44</v>
      </c>
    </row>
    <row r="353" spans="2:15" x14ac:dyDescent="0.25">
      <c r="B353" s="126" t="s">
        <v>336</v>
      </c>
      <c r="C353" s="9">
        <f>IFERROR(VLOOKUP(B353,'STATUS INVEST FII'!$A$2:$N$404,2,0),0)</f>
        <v>74</v>
      </c>
      <c r="D353" s="10">
        <f>IFERROR(VLOOKUP(B353,'STATUS INVEST FII'!$A$2:$N$404,4,0)/100,0)</f>
        <v>0.1016</v>
      </c>
      <c r="E353" s="11">
        <f>IFERROR(VLOOKUP(B353,'STATUS INVEST FII'!$A$2:$N$404,6,0),0)</f>
        <v>0.74</v>
      </c>
      <c r="F353" s="12">
        <f>IFERROR(VLOOKUP(B353,'STATUS INVEST FII'!$A$2:$N$404,8,0)/100,0)</f>
        <v>0.02</v>
      </c>
      <c r="G353" s="13">
        <f>IFERROR(VLOOKUP(B353,'STATUS INVEST FII'!$A$2:$N$404,9,0)/100,0)</f>
        <v>0</v>
      </c>
      <c r="H353" s="13">
        <f>IFERROR(VLOOKUP(B353,'STATUS INVEST FII'!$A$2:$N$404,10,0)/100,0)</f>
        <v>0</v>
      </c>
      <c r="I353" s="20">
        <f>IFERROR(VLOOKUP(B353,'STATUS INVEST FII'!$A$2:$N$404,11,0),0)</f>
        <v>150241671.08000001</v>
      </c>
      <c r="J353" s="24" t="str">
        <f>IFERROR(VLOOKUP(B353,'ATIVOS-GESTÃO'!$A$1:$C$329,2),"-")</f>
        <v>MULTI</v>
      </c>
      <c r="K353" s="24" t="str">
        <f>IFERROR(VLOOKUP(B353,'ATIVOS-GESTÃO'!$A$1:$C$329,3),"-")</f>
        <v>MULTI</v>
      </c>
      <c r="L353" s="20" t="str">
        <f>IFERROR(VLOOKUP(B353,'STATUS INVEST FII'!$A$2:$N$404,13,0),"-")</f>
        <v>Ativa</v>
      </c>
      <c r="M353" s="20" t="str">
        <f>IFERROR(VLOOKUP(B353,'DATA-COM'!A:B,2,FALSE),"-")</f>
        <v xml:space="preserve">Último </v>
      </c>
      <c r="N353" s="51">
        <f>IFERROR(VLOOKUP(B353,'STATUS INVEST FII'!$A$2:$N$404,12,0),"-")</f>
        <v>2561</v>
      </c>
      <c r="O353" s="54">
        <f>IFERROR(VLOOKUP(B353,'STATUS INVEST FII'!$A$2:$N$404,7,0),0)</f>
        <v>172887.06</v>
      </c>
    </row>
    <row r="354" spans="2:15" x14ac:dyDescent="0.25">
      <c r="B354" s="126" t="s">
        <v>222</v>
      </c>
      <c r="C354" s="9">
        <f>IFERROR(VLOOKUP(B354,'STATUS INVEST FII'!$A$2:$N$404,2,0),0)</f>
        <v>2517</v>
      </c>
      <c r="D354" s="10">
        <f>IFERROR(VLOOKUP(B354,'STATUS INVEST FII'!$A$2:$N$404,4,0)/100,0)</f>
        <v>0</v>
      </c>
      <c r="E354" s="11">
        <f>IFERROR(VLOOKUP(B354,'STATUS INVEST FII'!$A$2:$N$404,6,0),0)</f>
        <v>24.51</v>
      </c>
      <c r="F354" s="12">
        <f>IFERROR(VLOOKUP(B354,'STATUS INVEST FII'!$A$2:$N$404,8,0)/100,0)</f>
        <v>7.4400000000000008E-2</v>
      </c>
      <c r="G354" s="13">
        <f>IFERROR(VLOOKUP(B354,'STATUS INVEST FII'!$A$2:$N$404,9,0)/100,0)</f>
        <v>0</v>
      </c>
      <c r="H354" s="13">
        <f>IFERROR(VLOOKUP(B354,'STATUS INVEST FII'!$A$2:$N$404,10,0)/100,0)</f>
        <v>0</v>
      </c>
      <c r="I354" s="20">
        <f>IFERROR(VLOOKUP(B354,'STATUS INVEST FII'!$A$2:$N$404,11,0),0)</f>
        <v>22046334.140000001</v>
      </c>
      <c r="J354" s="24" t="str">
        <f>IFERROR(VLOOKUP(B354,'ATIVOS-GESTÃO'!$A$1:$C$329,2),"-")</f>
        <v>-</v>
      </c>
      <c r="K354" s="24" t="str">
        <f>IFERROR(VLOOKUP(B354,'ATIVOS-GESTÃO'!$A$1:$C$329,3),"-")</f>
        <v>-</v>
      </c>
      <c r="L354" s="20" t="str">
        <f>IFERROR(VLOOKUP(B354,'STATUS INVEST FII'!$A$2:$N$404,13,0),"-")</f>
        <v>Ativa</v>
      </c>
      <c r="M354" s="20" t="str">
        <f>IFERROR(VLOOKUP(B354,'DATA-COM'!A:B,2,FALSE),"-")</f>
        <v xml:space="preserve">Último </v>
      </c>
      <c r="N354" s="51">
        <f>IFERROR(VLOOKUP(B354,'STATUS INVEST FII'!$A$2:$N$404,12,0),"-")</f>
        <v>8</v>
      </c>
      <c r="O354" s="54">
        <f>IFERROR(VLOOKUP(B354,'STATUS INVEST FII'!$A$2:$N$404,7,0),0)</f>
        <v>0</v>
      </c>
    </row>
    <row r="355" spans="2:15" x14ac:dyDescent="0.25">
      <c r="B355" s="126" t="s">
        <v>245</v>
      </c>
      <c r="C355" s="9">
        <f>IFERROR(VLOOKUP(B355,'STATUS INVEST FII'!$A$2:$N$404,2,0),0)</f>
        <v>13.2</v>
      </c>
      <c r="D355" s="10">
        <f>IFERROR(VLOOKUP(B355,'STATUS INVEST FII'!$A$2:$N$404,4,0)/100,0)</f>
        <v>0.10490000000000001</v>
      </c>
      <c r="E355" s="11">
        <f>IFERROR(VLOOKUP(B355,'STATUS INVEST FII'!$A$2:$N$404,6,0),0)</f>
        <v>1.96</v>
      </c>
      <c r="F355" s="12">
        <f>IFERROR(VLOOKUP(B355,'STATUS INVEST FII'!$A$2:$N$404,8,0)/100,0)</f>
        <v>8.6999999999999994E-2</v>
      </c>
      <c r="G355" s="13">
        <f>IFERROR(VLOOKUP(B355,'STATUS INVEST FII'!$A$2:$N$404,9,0)/100,0)</f>
        <v>0</v>
      </c>
      <c r="H355" s="13">
        <f>IFERROR(VLOOKUP(B355,'STATUS INVEST FII'!$A$2:$N$404,10,0)/100,0)</f>
        <v>0</v>
      </c>
      <c r="I355" s="20">
        <f>IFERROR(VLOOKUP(B355,'STATUS INVEST FII'!$A$2:$N$404,11,0),0)</f>
        <v>51109817.07</v>
      </c>
      <c r="J355" s="24" t="str">
        <f>IFERROR(VLOOKUP(B355,'ATIVOS-GESTÃO'!$A$1:$C$329,2),"-")</f>
        <v>-</v>
      </c>
      <c r="K355" s="24" t="str">
        <f>IFERROR(VLOOKUP(B355,'ATIVOS-GESTÃO'!$A$1:$C$329,3),"-")</f>
        <v>-</v>
      </c>
      <c r="L355" s="20" t="str">
        <f>IFERROR(VLOOKUP(B355,'STATUS INVEST FII'!$A$2:$N$404,13,0),"-")</f>
        <v>Ativa</v>
      </c>
      <c r="M355" s="20" t="str">
        <f>IFERROR(VLOOKUP(B355,'DATA-COM'!A:B,2,FALSE),"-")</f>
        <v>-</v>
      </c>
      <c r="N355" s="51">
        <f>IFERROR(VLOOKUP(B355,'STATUS INVEST FII'!$A$2:$N$404,12,0),"-")</f>
        <v>573</v>
      </c>
      <c r="O355" s="54">
        <f>IFERROR(VLOOKUP(B355,'STATUS INVEST FII'!$A$2:$N$404,7,0),0)</f>
        <v>6235.26</v>
      </c>
    </row>
    <row r="356" spans="2:15" x14ac:dyDescent="0.25">
      <c r="B356" s="126" t="s">
        <v>156</v>
      </c>
      <c r="C356" s="9">
        <f>IFERROR(VLOOKUP(B356,'STATUS INVEST FII'!$A$2:$N$404,2,0),0)</f>
        <v>0.88</v>
      </c>
      <c r="D356" s="10">
        <f>IFERROR(VLOOKUP(B356,'STATUS INVEST FII'!$A$2:$N$404,4,0)/100,0)</f>
        <v>7.9899999999999999E-2</v>
      </c>
      <c r="E356" s="11">
        <f>IFERROR(VLOOKUP(B356,'STATUS INVEST FII'!$A$2:$N$404,6,0),0)</f>
        <v>0.75</v>
      </c>
      <c r="F356" s="12">
        <f>IFERROR(VLOOKUP(B356,'STATUS INVEST FII'!$A$2:$N$404,8,0)/100,0)</f>
        <v>0.86360000000000003</v>
      </c>
      <c r="G356" s="13">
        <f>IFERROR(VLOOKUP(B356,'STATUS INVEST FII'!$A$2:$N$404,9,0)/100,0)</f>
        <v>0</v>
      </c>
      <c r="H356" s="13">
        <f>IFERROR(VLOOKUP(B356,'STATUS INVEST FII'!$A$2:$N$404,10,0)/100,0)</f>
        <v>-0.55189999999999995</v>
      </c>
      <c r="I356" s="20">
        <f>IFERROR(VLOOKUP(B356,'STATUS INVEST FII'!$A$2:$N$404,11,0),0)</f>
        <v>21958560.949999999</v>
      </c>
      <c r="J356" s="24" t="str">
        <f>IFERROR(VLOOKUP(B356,'ATIVOS-GESTÃO'!$A$1:$C$329,2),"-")</f>
        <v>-</v>
      </c>
      <c r="K356" s="24" t="str">
        <f>IFERROR(VLOOKUP(B356,'ATIVOS-GESTÃO'!$A$1:$C$329,3),"-")</f>
        <v>-</v>
      </c>
      <c r="L356" s="20" t="str">
        <f>IFERROR(VLOOKUP(B356,'STATUS INVEST FII'!$A$2:$N$404,13,0),"-")</f>
        <v>Ativa</v>
      </c>
      <c r="M356" s="20" t="str">
        <f>IFERROR(VLOOKUP(B356,'DATA-COM'!A:B,2,FALSE),"-")</f>
        <v>-</v>
      </c>
      <c r="N356" s="51">
        <f>IFERROR(VLOOKUP(B356,'STATUS INVEST FII'!$A$2:$N$404,12,0),"-")</f>
        <v>6102</v>
      </c>
      <c r="O356" s="54">
        <f>IFERROR(VLOOKUP(B356,'STATUS INVEST FII'!$A$2:$N$404,7,0),0)</f>
        <v>10215.26</v>
      </c>
    </row>
    <row r="357" spans="2:15" x14ac:dyDescent="0.25">
      <c r="B357" s="126" t="s">
        <v>270</v>
      </c>
      <c r="C357" s="9">
        <f>IFERROR(VLOOKUP(B357,'STATUS INVEST FII'!$A$2:$N$404,2,0),0)</f>
        <v>150</v>
      </c>
      <c r="D357" s="10">
        <f>IFERROR(VLOOKUP(B357,'STATUS INVEST FII'!$A$2:$N$404,4,0)/100,0)</f>
        <v>0.1222</v>
      </c>
      <c r="E357" s="11">
        <f>IFERROR(VLOOKUP(B357,'STATUS INVEST FII'!$A$2:$N$404,6,0),0)</f>
        <v>13.17</v>
      </c>
      <c r="F357" s="12">
        <f>IFERROR(VLOOKUP(B357,'STATUS INVEST FII'!$A$2:$N$404,8,0)/100,0)</f>
        <v>1.131</v>
      </c>
      <c r="G357" s="13">
        <f>IFERROR(VLOOKUP(B357,'STATUS INVEST FII'!$A$2:$N$404,9,0)/100,0)</f>
        <v>0</v>
      </c>
      <c r="H357" s="13">
        <f>IFERROR(VLOOKUP(B357,'STATUS INVEST FII'!$A$2:$N$404,10,0)/100,0)</f>
        <v>0</v>
      </c>
      <c r="I357" s="20">
        <f>IFERROR(VLOOKUP(B357,'STATUS INVEST FII'!$A$2:$N$404,11,0),0)</f>
        <v>1413361.57</v>
      </c>
      <c r="J357" s="24" t="str">
        <f>IFERROR(VLOOKUP(B357,'ATIVOS-GESTÃO'!$A$1:$C$329,2),"-")</f>
        <v>-</v>
      </c>
      <c r="K357" s="24" t="str">
        <f>IFERROR(VLOOKUP(B357,'ATIVOS-GESTÃO'!$A$1:$C$329,3),"-")</f>
        <v>-</v>
      </c>
      <c r="L357" s="20" t="str">
        <f>IFERROR(VLOOKUP(B357,'STATUS INVEST FII'!$A$2:$N$404,13,0),"-")</f>
        <v>Ativa</v>
      </c>
      <c r="M357" s="20" t="str">
        <f>IFERROR(VLOOKUP(B357,'DATA-COM'!A:B,2,FALSE),"-")</f>
        <v>-</v>
      </c>
      <c r="N357" s="51">
        <f>IFERROR(VLOOKUP(B357,'STATUS INVEST FII'!$A$2:$N$404,12,0),"-")</f>
        <v>164</v>
      </c>
      <c r="O357" s="54">
        <f>IFERROR(VLOOKUP(B357,'STATUS INVEST FII'!$A$2:$N$404,7,0),0)</f>
        <v>2395</v>
      </c>
    </row>
    <row r="358" spans="2:15" x14ac:dyDescent="0.25">
      <c r="B358" s="126" t="s">
        <v>217</v>
      </c>
      <c r="C358" s="9">
        <f>IFERROR(VLOOKUP(B358,'STATUS INVEST FII'!$A$2:$N$404,2,0),0)</f>
        <v>107</v>
      </c>
      <c r="D358" s="10">
        <f>IFERROR(VLOOKUP(B358,'STATUS INVEST FII'!$A$2:$N$404,4,0)/100,0)</f>
        <v>7.8899999999999998E-2</v>
      </c>
      <c r="E358" s="11">
        <f>IFERROR(VLOOKUP(B358,'STATUS INVEST FII'!$A$2:$N$404,6,0),0)</f>
        <v>1.77</v>
      </c>
      <c r="F358" s="12">
        <f>IFERROR(VLOOKUP(B358,'STATUS INVEST FII'!$A$2:$N$404,8,0)/100,0)</f>
        <v>0.28620000000000001</v>
      </c>
      <c r="G358" s="13">
        <f>IFERROR(VLOOKUP(B358,'STATUS INVEST FII'!$A$2:$N$404,9,0)/100,0)</f>
        <v>0</v>
      </c>
      <c r="H358" s="13">
        <f>IFERROR(VLOOKUP(B358,'STATUS INVEST FII'!$A$2:$N$404,10,0)/100,0)</f>
        <v>0</v>
      </c>
      <c r="I358" s="20">
        <f>IFERROR(VLOOKUP(B358,'STATUS INVEST FII'!$A$2:$N$404,11,0),0)</f>
        <v>425557771.5</v>
      </c>
      <c r="J358" s="24" t="str">
        <f>IFERROR(VLOOKUP(B358,'ATIVOS-GESTÃO'!$A$1:$C$329,2),"-")</f>
        <v>-</v>
      </c>
      <c r="K358" s="24" t="str">
        <f>IFERROR(VLOOKUP(B358,'ATIVOS-GESTÃO'!$A$1:$C$329,3),"-")</f>
        <v>-</v>
      </c>
      <c r="L358" s="20" t="str">
        <f>IFERROR(VLOOKUP(B358,'STATUS INVEST FII'!$A$2:$N$404,13,0),"-")</f>
        <v>Ativa</v>
      </c>
      <c r="M358" s="20" t="str">
        <f>IFERROR(VLOOKUP(B358,'DATA-COM'!A:B,2,FALSE),"-")</f>
        <v xml:space="preserve">Último </v>
      </c>
      <c r="N358" s="51">
        <f>IFERROR(VLOOKUP(B358,'STATUS INVEST FII'!$A$2:$N$404,12,0),"-")</f>
        <v>386</v>
      </c>
      <c r="O358" s="54">
        <f>IFERROR(VLOOKUP(B358,'STATUS INVEST FII'!$A$2:$N$404,7,0),0)</f>
        <v>173932.96</v>
      </c>
    </row>
    <row r="359" spans="2:15" x14ac:dyDescent="0.25">
      <c r="B359" s="126" t="s">
        <v>158</v>
      </c>
      <c r="C359" s="9">
        <f>IFERROR(VLOOKUP(B359,'STATUS INVEST FII'!$A$2:$N$404,2,0),0)</f>
        <v>87.28</v>
      </c>
      <c r="D359" s="10">
        <f>IFERROR(VLOOKUP(B359,'STATUS INVEST FII'!$A$2:$N$404,4,0)/100,0)</f>
        <v>7.0499999999999993E-2</v>
      </c>
      <c r="E359" s="11">
        <f>IFERROR(VLOOKUP(B359,'STATUS INVEST FII'!$A$2:$N$404,6,0),0)</f>
        <v>0.7</v>
      </c>
      <c r="F359" s="12">
        <f>IFERROR(VLOOKUP(B359,'STATUS INVEST FII'!$A$2:$N$404,8,0)/100,0)</f>
        <v>6.5000000000000006E-3</v>
      </c>
      <c r="G359" s="13">
        <f>IFERROR(VLOOKUP(B359,'STATUS INVEST FII'!$A$2:$N$404,9,0)/100,0)</f>
        <v>0</v>
      </c>
      <c r="H359" s="13">
        <f>IFERROR(VLOOKUP(B359,'STATUS INVEST FII'!$A$2:$N$404,10,0)/100,0)</f>
        <v>0</v>
      </c>
      <c r="I359" s="20">
        <f>IFERROR(VLOOKUP(B359,'STATUS INVEST FII'!$A$2:$N$404,11,0),0)</f>
        <v>112423181.15000001</v>
      </c>
      <c r="J359" s="24" t="str">
        <f>IFERROR(VLOOKUP(B359,'ATIVOS-GESTÃO'!$A$1:$C$329,2),"-")</f>
        <v>-</v>
      </c>
      <c r="K359" s="24" t="str">
        <f>IFERROR(VLOOKUP(B359,'ATIVOS-GESTÃO'!$A$1:$C$329,3),"-")</f>
        <v>-</v>
      </c>
      <c r="L359" s="20" t="str">
        <f>IFERROR(VLOOKUP(B359,'STATUS INVEST FII'!$A$2:$N$404,13,0),"-")</f>
        <v>Ativa</v>
      </c>
      <c r="M359" s="20" t="str">
        <f>IFERROR(VLOOKUP(B359,'DATA-COM'!A:B,2,FALSE),"-")</f>
        <v xml:space="preserve">Último </v>
      </c>
      <c r="N359" s="51">
        <f>IFERROR(VLOOKUP(B359,'STATUS INVEST FII'!$A$2:$N$404,12,0),"-")</f>
        <v>4184</v>
      </c>
      <c r="O359" s="54">
        <f>IFERROR(VLOOKUP(B359,'STATUS INVEST FII'!$A$2:$N$404,7,0),0)</f>
        <v>12534.85</v>
      </c>
    </row>
    <row r="360" spans="2:15" x14ac:dyDescent="0.25">
      <c r="B360" s="126" t="s">
        <v>271</v>
      </c>
      <c r="C360" s="9">
        <f>IFERROR(VLOOKUP(B360,'STATUS INVEST FII'!$A$2:$N$404,2,0),0)</f>
        <v>1.44</v>
      </c>
      <c r="D360" s="10">
        <f>IFERROR(VLOOKUP(B360,'STATUS INVEST FII'!$A$2:$N$404,4,0)/100,0)</f>
        <v>8.6999999999999994E-3</v>
      </c>
      <c r="E360" s="11">
        <f>IFERROR(VLOOKUP(B360,'STATUS INVEST FII'!$A$2:$N$404,6,0),0)</f>
        <v>3.95</v>
      </c>
      <c r="F360" s="12">
        <f>IFERROR(VLOOKUP(B360,'STATUS INVEST FII'!$A$2:$N$404,8,0)/100,0)</f>
        <v>0.16010000000000002</v>
      </c>
      <c r="G360" s="13">
        <f>IFERROR(VLOOKUP(B360,'STATUS INVEST FII'!$A$2:$N$404,9,0)/100,0)</f>
        <v>0</v>
      </c>
      <c r="H360" s="13">
        <f>IFERROR(VLOOKUP(B360,'STATUS INVEST FII'!$A$2:$N$404,10,0)/100,0)</f>
        <v>0</v>
      </c>
      <c r="I360" s="20">
        <f>IFERROR(VLOOKUP(B360,'STATUS INVEST FII'!$A$2:$N$404,11,0),0)</f>
        <v>19002842.359999999</v>
      </c>
      <c r="J360" s="24" t="str">
        <f>IFERROR(VLOOKUP(B360,'ATIVOS-GESTÃO'!$A$1:$C$329,2),"-")</f>
        <v>-</v>
      </c>
      <c r="K360" s="24" t="str">
        <f>IFERROR(VLOOKUP(B360,'ATIVOS-GESTÃO'!$A$1:$C$329,3),"-")</f>
        <v>-</v>
      </c>
      <c r="L360" s="20" t="str">
        <f>IFERROR(VLOOKUP(B360,'STATUS INVEST FII'!$A$2:$N$404,13,0),"-")</f>
        <v>Ativa</v>
      </c>
      <c r="M360" s="20" t="str">
        <f>IFERROR(VLOOKUP(B360,'DATA-COM'!A:B,2,FALSE),"-")</f>
        <v xml:space="preserve">Quinto </v>
      </c>
      <c r="N360" s="51">
        <f>IFERROR(VLOOKUP(B360,'STATUS INVEST FII'!$A$2:$N$404,12,0),"-")</f>
        <v>1244</v>
      </c>
      <c r="O360" s="54">
        <f>IFERROR(VLOOKUP(B360,'STATUS INVEST FII'!$A$2:$N$404,7,0),0)</f>
        <v>3190.21</v>
      </c>
    </row>
    <row r="361" spans="2:15" x14ac:dyDescent="0.25">
      <c r="B361" s="126" t="s">
        <v>175</v>
      </c>
      <c r="C361" s="9">
        <f>IFERROR(VLOOKUP(B361,'STATUS INVEST FII'!$A$2:$N$404,2,0),0)</f>
        <v>7</v>
      </c>
      <c r="D361" s="10">
        <f>IFERROR(VLOOKUP(B361,'STATUS INVEST FII'!$A$2:$N$404,4,0)/100,0)</f>
        <v>0.33630000000000004</v>
      </c>
      <c r="E361" s="11">
        <f>IFERROR(VLOOKUP(B361,'STATUS INVEST FII'!$A$2:$N$404,6,0),0)</f>
        <v>0.28000000000000003</v>
      </c>
      <c r="F361" s="12">
        <f>IFERROR(VLOOKUP(B361,'STATUS INVEST FII'!$A$2:$N$404,8,0)/100,0)</f>
        <v>0.2278</v>
      </c>
      <c r="G361" s="13">
        <f>IFERROR(VLOOKUP(B361,'STATUS INVEST FII'!$A$2:$N$404,9,0)/100,0)</f>
        <v>0.18989999999999999</v>
      </c>
      <c r="H361" s="13">
        <f>IFERROR(VLOOKUP(B361,'STATUS INVEST FII'!$A$2:$N$404,10,0)/100,0)</f>
        <v>-0.69129999999999991</v>
      </c>
      <c r="I361" s="20">
        <f>IFERROR(VLOOKUP(B361,'STATUS INVEST FII'!$A$2:$N$404,11,0),0)</f>
        <v>3217007.07</v>
      </c>
      <c r="J361" s="24" t="str">
        <f>IFERROR(VLOOKUP(B361,'ATIVOS-GESTÃO'!$A$1:$C$329,2),"-")</f>
        <v>-</v>
      </c>
      <c r="K361" s="24" t="str">
        <f>IFERROR(VLOOKUP(B361,'ATIVOS-GESTÃO'!$A$1:$C$329,3),"-")</f>
        <v>-</v>
      </c>
      <c r="L361" s="20" t="str">
        <f>IFERROR(VLOOKUP(B361,'STATUS INVEST FII'!$A$2:$N$404,13,0),"-")</f>
        <v>Ativa</v>
      </c>
      <c r="M361" s="20" t="str">
        <f>IFERROR(VLOOKUP(B361,'DATA-COM'!A:B,2,FALSE),"-")</f>
        <v xml:space="preserve">Último </v>
      </c>
      <c r="N361" s="51">
        <f>IFERROR(VLOOKUP(B361,'STATUS INVEST FII'!$A$2:$N$404,12,0),"-")</f>
        <v>1015</v>
      </c>
      <c r="O361" s="54">
        <f>IFERROR(VLOOKUP(B361,'STATUS INVEST FII'!$A$2:$N$404,7,0),0)</f>
        <v>681.45</v>
      </c>
    </row>
    <row r="362" spans="2:15" x14ac:dyDescent="0.25">
      <c r="B362" s="126" t="s">
        <v>254</v>
      </c>
      <c r="C362" s="9">
        <f>IFERROR(VLOOKUP(B362,'STATUS INVEST FII'!$A$2:$N$404,2,0),0)</f>
        <v>74.8</v>
      </c>
      <c r="D362" s="10">
        <f>IFERROR(VLOOKUP(B362,'STATUS INVEST FII'!$A$2:$N$404,4,0)/100,0)</f>
        <v>0</v>
      </c>
      <c r="E362" s="11">
        <f>IFERROR(VLOOKUP(B362,'STATUS INVEST FII'!$A$2:$N$404,6,0),0)</f>
        <v>0.79</v>
      </c>
      <c r="F362" s="12">
        <f>IFERROR(VLOOKUP(B362,'STATUS INVEST FII'!$A$2:$N$404,8,0)/100,0)</f>
        <v>0.371</v>
      </c>
      <c r="G362" s="13">
        <f>IFERROR(VLOOKUP(B362,'STATUS INVEST FII'!$A$2:$N$404,9,0)/100,0)</f>
        <v>0</v>
      </c>
      <c r="H362" s="13">
        <f>IFERROR(VLOOKUP(B362,'STATUS INVEST FII'!$A$2:$N$404,10,0)/100,0)</f>
        <v>0</v>
      </c>
      <c r="I362" s="20">
        <f>IFERROR(VLOOKUP(B362,'STATUS INVEST FII'!$A$2:$N$404,11,0),0)</f>
        <v>146886360.66999999</v>
      </c>
      <c r="J362" s="24" t="str">
        <f>IFERROR(VLOOKUP(B362,'ATIVOS-GESTÃO'!$A$1:$C$329,2),"-")</f>
        <v>-</v>
      </c>
      <c r="K362" s="24" t="str">
        <f>IFERROR(VLOOKUP(B362,'ATIVOS-GESTÃO'!$A$1:$C$329,3),"-")</f>
        <v>-</v>
      </c>
      <c r="L362" s="20" t="str">
        <f>IFERROR(VLOOKUP(B362,'STATUS INVEST FII'!$A$2:$N$404,13,0),"-")</f>
        <v>Ativa</v>
      </c>
      <c r="M362" s="20" t="str">
        <f>IFERROR(VLOOKUP(B362,'DATA-COM'!A:B,2,FALSE),"-")</f>
        <v>-</v>
      </c>
      <c r="N362" s="51">
        <f>IFERROR(VLOOKUP(B362,'STATUS INVEST FII'!$A$2:$N$404,12,0),"-")</f>
        <v>1346</v>
      </c>
      <c r="O362" s="54">
        <f>IFERROR(VLOOKUP(B362,'STATUS INVEST FII'!$A$2:$N$404,7,0),0)</f>
        <v>31861.68</v>
      </c>
    </row>
    <row r="363" spans="2:15" x14ac:dyDescent="0.25">
      <c r="B363" s="126" t="s">
        <v>275</v>
      </c>
      <c r="C363" s="9">
        <f>IFERROR(VLOOKUP(B363,'STATUS INVEST FII'!$A$2:$N$404,2,0),0)</f>
        <v>63</v>
      </c>
      <c r="D363" s="10">
        <f>IFERROR(VLOOKUP(B363,'STATUS INVEST FII'!$A$2:$N$404,4,0)/100,0)</f>
        <v>7.7800000000000008E-2</v>
      </c>
      <c r="E363" s="11">
        <f>IFERROR(VLOOKUP(B363,'STATUS INVEST FII'!$A$2:$N$404,6,0),0)</f>
        <v>0.68</v>
      </c>
      <c r="F363" s="12">
        <f>IFERROR(VLOOKUP(B363,'STATUS INVEST FII'!$A$2:$N$404,8,0)/100,0)</f>
        <v>5.4800000000000001E-2</v>
      </c>
      <c r="G363" s="13">
        <f>IFERROR(VLOOKUP(B363,'STATUS INVEST FII'!$A$2:$N$404,9,0)/100,0)</f>
        <v>0</v>
      </c>
      <c r="H363" s="13">
        <f>IFERROR(VLOOKUP(B363,'STATUS INVEST FII'!$A$2:$N$404,10,0)/100,0)</f>
        <v>0</v>
      </c>
      <c r="I363" s="20">
        <f>IFERROR(VLOOKUP(B363,'STATUS INVEST FII'!$A$2:$N$404,11,0),0)</f>
        <v>129916212.29000001</v>
      </c>
      <c r="J363" s="24" t="str">
        <f>IFERROR(VLOOKUP(B363,'ATIVOS-GESTÃO'!$A$1:$C$329,2),"-")</f>
        <v>-</v>
      </c>
      <c r="K363" s="24" t="str">
        <f>IFERROR(VLOOKUP(B363,'ATIVOS-GESTÃO'!$A$1:$C$329,3),"-")</f>
        <v>-</v>
      </c>
      <c r="L363" s="20" t="str">
        <f>IFERROR(VLOOKUP(B363,'STATUS INVEST FII'!$A$2:$N$404,13,0),"-")</f>
        <v>Ativa</v>
      </c>
      <c r="M363" s="20" t="str">
        <f>IFERROR(VLOOKUP(B363,'DATA-COM'!A:B,2,FALSE),"-")</f>
        <v xml:space="preserve">Último </v>
      </c>
      <c r="N363" s="51">
        <f>IFERROR(VLOOKUP(B363,'STATUS INVEST FII'!$A$2:$N$404,12,0),"-")</f>
        <v>1189</v>
      </c>
      <c r="O363" s="54">
        <f>IFERROR(VLOOKUP(B363,'STATUS INVEST FII'!$A$2:$N$404,7,0),0)</f>
        <v>17444.14</v>
      </c>
    </row>
    <row r="364" spans="2:15" x14ac:dyDescent="0.25">
      <c r="B364" s="126" t="s">
        <v>259</v>
      </c>
      <c r="C364" s="9">
        <f>IFERROR(VLOOKUP(B364,'STATUS INVEST FII'!$A$2:$N$404,2,0),0)</f>
        <v>1300</v>
      </c>
      <c r="D364" s="10">
        <f>IFERROR(VLOOKUP(B364,'STATUS INVEST FII'!$A$2:$N$404,4,0)/100,0)</f>
        <v>1.8700000000000001E-2</v>
      </c>
      <c r="E364" s="11">
        <f>IFERROR(VLOOKUP(B364,'STATUS INVEST FII'!$A$2:$N$404,6,0),0)</f>
        <v>1.17</v>
      </c>
      <c r="F364" s="12">
        <f>IFERROR(VLOOKUP(B364,'STATUS INVEST FII'!$A$2:$N$404,8,0)/100,0)</f>
        <v>4.5000000000000005E-3</v>
      </c>
      <c r="G364" s="13">
        <f>IFERROR(VLOOKUP(B364,'STATUS INVEST FII'!$A$2:$N$404,9,0)/100,0)</f>
        <v>0</v>
      </c>
      <c r="H364" s="13">
        <f>IFERROR(VLOOKUP(B364,'STATUS INVEST FII'!$A$2:$N$404,10,0)/100,0)</f>
        <v>0</v>
      </c>
      <c r="I364" s="20">
        <f>IFERROR(VLOOKUP(B364,'STATUS INVEST FII'!$A$2:$N$404,11,0),0)</f>
        <v>165660378.91999999</v>
      </c>
      <c r="J364" s="24" t="str">
        <f>IFERROR(VLOOKUP(B364,'ATIVOS-GESTÃO'!$A$1:$C$329,2),"-")</f>
        <v>-</v>
      </c>
      <c r="K364" s="24" t="str">
        <f>IFERROR(VLOOKUP(B364,'ATIVOS-GESTÃO'!$A$1:$C$329,3),"-")</f>
        <v>-</v>
      </c>
      <c r="L364" s="20" t="str">
        <f>IFERROR(VLOOKUP(B364,'STATUS INVEST FII'!$A$2:$N$404,13,0),"-")</f>
        <v>Ativa</v>
      </c>
      <c r="M364" s="20" t="str">
        <f>IFERROR(VLOOKUP(B364,'DATA-COM'!A:B,2,FALSE),"-")</f>
        <v xml:space="preserve">Último </v>
      </c>
      <c r="N364" s="51">
        <f>IFERROR(VLOOKUP(B364,'STATUS INVEST FII'!$A$2:$N$404,12,0),"-")</f>
        <v>106</v>
      </c>
      <c r="O364" s="54">
        <f>IFERROR(VLOOKUP(B364,'STATUS INVEST FII'!$A$2:$N$404,7,0),0)</f>
        <v>84500</v>
      </c>
    </row>
    <row r="365" spans="2:15" ht="15.75" thickBot="1" x14ac:dyDescent="0.3">
      <c r="B365" s="135" t="s">
        <v>476</v>
      </c>
      <c r="C365" s="14">
        <f>IFERROR(VLOOKUP(B365,'STATUS INVEST FII'!$A$2:$N$404,2,0),0)</f>
        <v>77.5</v>
      </c>
      <c r="D365" s="15">
        <f>IFERROR(VLOOKUP(B365,'STATUS INVEST FII'!$A$2:$N$404,4,0)/100,0)</f>
        <v>6.9199999999999998E-2</v>
      </c>
      <c r="E365" s="16">
        <f>IFERROR(VLOOKUP(B365,'STATUS INVEST FII'!$A$2:$N$404,6,0),0)</f>
        <v>0.65</v>
      </c>
      <c r="F365" s="17">
        <f>IFERROR(VLOOKUP(B365,'STATUS INVEST FII'!$A$2:$N$404,8,0)/100,0)</f>
        <v>1.1200000000000002E-2</v>
      </c>
      <c r="G365" s="13">
        <f>IFERROR(VLOOKUP(B365,'STATUS INVEST FII'!$A$2:$N$404,9,0)/100,0)</f>
        <v>0</v>
      </c>
      <c r="H365" s="13">
        <f>IFERROR(VLOOKUP(B365,'STATUS INVEST FII'!$A$2:$N$404,10,0)/100,0)</f>
        <v>0</v>
      </c>
      <c r="I365" s="21">
        <f>IFERROR(VLOOKUP(B365,'STATUS INVEST FII'!$A$2:$N$404,11,0),0)</f>
        <v>239192558.80000001</v>
      </c>
      <c r="J365" s="25" t="str">
        <f>IFERROR(VLOOKUP(B365,'ATIVOS-GESTÃO'!$A$1:$C$329,2),"-")</f>
        <v>MULTI</v>
      </c>
      <c r="K365" s="25" t="str">
        <f>IFERROR(VLOOKUP(B365,'ATIVOS-GESTÃO'!$A$1:$C$329,3),"-")</f>
        <v>MULTI</v>
      </c>
      <c r="L365" s="21" t="str">
        <f>IFERROR(VLOOKUP(B365,'STATUS INVEST FII'!$A$2:$N$404,13,0),"-")</f>
        <v>Ativa</v>
      </c>
      <c r="M365" s="21" t="str">
        <f>IFERROR(VLOOKUP(B365,'DATA-COM'!A:B,2,FALSE),"-")</f>
        <v xml:space="preserve">Último </v>
      </c>
      <c r="N365" s="55">
        <f>IFERROR(VLOOKUP(B365,'STATUS INVEST FII'!$A$2:$N$404,12,0),"-")</f>
        <v>1944</v>
      </c>
      <c r="O365" s="56">
        <f>IFERROR(VLOOKUP(B365,'STATUS INVEST FII'!$A$2:$N$404,7,0),0)</f>
        <v>53186.15</v>
      </c>
    </row>
  </sheetData>
  <sortState xmlns:xlrd2="http://schemas.microsoft.com/office/spreadsheetml/2017/richdata2" ref="B25:O68">
    <sortCondition ref="B25:B68"/>
  </sortState>
  <mergeCells count="19">
    <mergeCell ref="B15:C15"/>
    <mergeCell ref="B21:C21"/>
    <mergeCell ref="B23:C23"/>
    <mergeCell ref="B16:C16"/>
    <mergeCell ref="B17:C17"/>
    <mergeCell ref="B18:C18"/>
    <mergeCell ref="B19:C19"/>
    <mergeCell ref="B20:C20"/>
    <mergeCell ref="B22:C22"/>
    <mergeCell ref="B10:C10"/>
    <mergeCell ref="B11:C11"/>
    <mergeCell ref="B12:C12"/>
    <mergeCell ref="B13:C13"/>
    <mergeCell ref="B14:C14"/>
    <mergeCell ref="B6:C6"/>
    <mergeCell ref="B5:C5"/>
    <mergeCell ref="B8:C8"/>
    <mergeCell ref="B9:C9"/>
    <mergeCell ref="J4:O6"/>
  </mergeCells>
  <conditionalFormatting sqref="E281:E285 E275:E279 E310:E315 E317:E321 E162:E193 E26:E68 E70:E75 E77:E92 E94:E160 E195:E236 E238:E273 E287:E308 E324:E336 E338:E346">
    <cfRule type="cellIs" dxfId="43" priority="109" operator="lessThan">
      <formula>1</formula>
    </cfRule>
  </conditionalFormatting>
  <conditionalFormatting sqref="E25">
    <cfRule type="cellIs" dxfId="42" priority="108" operator="lessThan">
      <formula>1</formula>
    </cfRule>
  </conditionalFormatting>
  <conditionalFormatting sqref="D281:D285 D275:D279 D86 D310:D315 D317:D321 D162:D193 D25:D68 D70:D75 D94:D160 D195:D236 D238:D273 D287:D308 D324:D336 D338:D346">
    <cfRule type="cellIs" dxfId="41" priority="90" operator="greaterThan">
      <formula>0.06</formula>
    </cfRule>
  </conditionalFormatting>
  <conditionalFormatting sqref="D77:D92">
    <cfRule type="cellIs" dxfId="40" priority="87" operator="greaterThan">
      <formula>0.06</formula>
    </cfRule>
  </conditionalFormatting>
  <conditionalFormatting sqref="E9">
    <cfRule type="cellIs" dxfId="39" priority="61" operator="lessThan">
      <formula>1</formula>
    </cfRule>
  </conditionalFormatting>
  <conditionalFormatting sqref="E10:E23">
    <cfRule type="cellIs" dxfId="38" priority="60" operator="lessThan">
      <formula>1</formula>
    </cfRule>
  </conditionalFormatting>
  <conditionalFormatting sqref="D9:D23">
    <cfRule type="cellIs" dxfId="37" priority="59" operator="greaterThan">
      <formula>0.06</formula>
    </cfRule>
  </conditionalFormatting>
  <conditionalFormatting sqref="G25 G162:H193 G94:H160 G195:H236 G238:H273 G287:H308 G324:H336 G338:H346">
    <cfRule type="cellIs" dxfId="36" priority="57" operator="lessThanOrEqual">
      <formula>0</formula>
    </cfRule>
    <cfRule type="cellIs" dxfId="35" priority="58" operator="greaterThan">
      <formula>0</formula>
    </cfRule>
  </conditionalFormatting>
  <conditionalFormatting sqref="H25">
    <cfRule type="cellIs" dxfId="34" priority="49" operator="lessThanOrEqual">
      <formula>0</formula>
    </cfRule>
    <cfRule type="cellIs" dxfId="33" priority="50" operator="greaterThan">
      <formula>0</formula>
    </cfRule>
  </conditionalFormatting>
  <conditionalFormatting sqref="G26:G68">
    <cfRule type="cellIs" dxfId="32" priority="47" operator="lessThanOrEqual">
      <formula>0</formula>
    </cfRule>
    <cfRule type="cellIs" dxfId="31" priority="48" operator="greaterThan">
      <formula>0</formula>
    </cfRule>
  </conditionalFormatting>
  <conditionalFormatting sqref="H26:H68">
    <cfRule type="cellIs" dxfId="30" priority="45" operator="lessThanOrEqual">
      <formula>0</formula>
    </cfRule>
    <cfRule type="cellIs" dxfId="29" priority="46" operator="greaterThan">
      <formula>0</formula>
    </cfRule>
  </conditionalFormatting>
  <conditionalFormatting sqref="G9">
    <cfRule type="cellIs" dxfId="28" priority="43" operator="lessThanOrEqual">
      <formula>0</formula>
    </cfRule>
    <cfRule type="cellIs" dxfId="27" priority="44" operator="greaterThan">
      <formula>0</formula>
    </cfRule>
  </conditionalFormatting>
  <conditionalFormatting sqref="H9">
    <cfRule type="cellIs" dxfId="26" priority="41" operator="lessThanOrEqual">
      <formula>0</formula>
    </cfRule>
    <cfRule type="cellIs" dxfId="25" priority="42" operator="greaterThan">
      <formula>0</formula>
    </cfRule>
  </conditionalFormatting>
  <conditionalFormatting sqref="G10:H23">
    <cfRule type="cellIs" dxfId="24" priority="39" operator="lessThanOrEqual">
      <formula>0</formula>
    </cfRule>
    <cfRule type="cellIs" dxfId="23" priority="40" operator="greaterThan">
      <formula>0</formula>
    </cfRule>
  </conditionalFormatting>
  <conditionalFormatting sqref="G70:H75">
    <cfRule type="cellIs" dxfId="22" priority="37" operator="lessThanOrEqual">
      <formula>0</formula>
    </cfRule>
    <cfRule type="cellIs" dxfId="21" priority="38" operator="greaterThan">
      <formula>0</formula>
    </cfRule>
  </conditionalFormatting>
  <conditionalFormatting sqref="G77:H92">
    <cfRule type="cellIs" dxfId="20" priority="35" operator="lessThanOrEqual">
      <formula>0</formula>
    </cfRule>
    <cfRule type="cellIs" dxfId="19" priority="36" operator="greaterThan">
      <formula>0</formula>
    </cfRule>
  </conditionalFormatting>
  <conditionalFormatting sqref="G275:H279">
    <cfRule type="cellIs" dxfId="18" priority="25" operator="lessThanOrEqual">
      <formula>0</formula>
    </cfRule>
    <cfRule type="cellIs" dxfId="17" priority="26" operator="greaterThan">
      <formula>0</formula>
    </cfRule>
  </conditionalFormatting>
  <conditionalFormatting sqref="G281:H285">
    <cfRule type="cellIs" dxfId="16" priority="23" operator="lessThanOrEqual">
      <formula>0</formula>
    </cfRule>
    <cfRule type="cellIs" dxfId="15" priority="24" operator="greaterThan">
      <formula>0</formula>
    </cfRule>
  </conditionalFormatting>
  <conditionalFormatting sqref="G310:H315">
    <cfRule type="cellIs" dxfId="14" priority="19" operator="lessThanOrEqual">
      <formula>0</formula>
    </cfRule>
    <cfRule type="cellIs" dxfId="13" priority="20" operator="greaterThan">
      <formula>0</formula>
    </cfRule>
  </conditionalFormatting>
  <conditionalFormatting sqref="G317:H321">
    <cfRule type="cellIs" dxfId="12" priority="17" operator="lessThanOrEqual">
      <formula>0</formula>
    </cfRule>
    <cfRule type="cellIs" dxfId="11" priority="18" operator="greaterThan">
      <formula>0</formula>
    </cfRule>
  </conditionalFormatting>
  <conditionalFormatting sqref="E348:E365">
    <cfRule type="cellIs" dxfId="10" priority="8" operator="lessThan">
      <formula>1</formula>
    </cfRule>
  </conditionalFormatting>
  <conditionalFormatting sqref="D348:D365">
    <cfRule type="cellIs" dxfId="9" priority="7" operator="greaterThan">
      <formula>0.06</formula>
    </cfRule>
  </conditionalFormatting>
  <conditionalFormatting sqref="G348:H365">
    <cfRule type="cellIs" dxfId="8" priority="5" operator="lessThanOrEqual">
      <formula>0</formula>
    </cfRule>
    <cfRule type="cellIs" dxfId="7" priority="6" operator="greaterThan">
      <formula>0</formula>
    </cfRule>
  </conditionalFormatting>
  <conditionalFormatting sqref="G323:H323">
    <cfRule type="cellIs" dxfId="6" priority="1" operator="lessThanOrEqual">
      <formula>0</formula>
    </cfRule>
    <cfRule type="cellIs" dxfId="5" priority="2" operator="greaterThan">
      <formula>0</formula>
    </cfRule>
  </conditionalFormatting>
  <conditionalFormatting sqref="E323">
    <cfRule type="cellIs" dxfId="4" priority="4" operator="lessThan">
      <formula>1</formula>
    </cfRule>
  </conditionalFormatting>
  <conditionalFormatting sqref="D323">
    <cfRule type="cellIs" dxfId="3" priority="3" operator="greaterThan">
      <formula>0.06</formula>
    </cfRule>
  </conditionalFormatting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56" orientation="portrait" r:id="rId1"/>
  <rowBreaks count="1" manualBreakCount="1">
    <brk id="193" max="1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44575-8D00-4E26-926D-A84F9FB122A6}">
  <dimension ref="B1:I55"/>
  <sheetViews>
    <sheetView zoomScale="130" zoomScaleNormal="130" workbookViewId="0">
      <selection activeCell="J42" sqref="J42"/>
    </sheetView>
  </sheetViews>
  <sheetFormatPr defaultColWidth="8.85546875" defaultRowHeight="15" x14ac:dyDescent="0.25"/>
  <cols>
    <col min="1" max="1" width="3" customWidth="1"/>
    <col min="2" max="2" width="21.85546875" bestFit="1" customWidth="1"/>
    <col min="3" max="3" width="16.7109375" bestFit="1" customWidth="1"/>
    <col min="4" max="4" width="20.42578125" customWidth="1"/>
    <col min="5" max="5" width="19.28515625" bestFit="1" customWidth="1"/>
    <col min="6" max="6" width="18.42578125" style="1" customWidth="1"/>
    <col min="7" max="7" width="6.7109375" customWidth="1"/>
    <col min="8" max="8" width="11.140625" bestFit="1" customWidth="1"/>
  </cols>
  <sheetData>
    <row r="1" spans="2:9" ht="21.75" customHeight="1" x14ac:dyDescent="0.25">
      <c r="B1" s="80"/>
      <c r="C1" s="66"/>
      <c r="D1" s="66"/>
      <c r="E1" s="66"/>
      <c r="F1" s="81"/>
    </row>
    <row r="2" spans="2:9" ht="46.5" customHeight="1" x14ac:dyDescent="0.25">
      <c r="B2" s="184"/>
      <c r="C2" s="183"/>
      <c r="D2" s="183"/>
      <c r="E2" s="183"/>
      <c r="F2" s="185"/>
    </row>
    <row r="3" spans="2:9" ht="18" customHeight="1" x14ac:dyDescent="0.25">
      <c r="B3" s="280" t="s">
        <v>433</v>
      </c>
      <c r="C3" s="280"/>
      <c r="D3" s="280"/>
      <c r="E3" s="280"/>
      <c r="F3" s="280"/>
    </row>
    <row r="4" spans="2:9" s="2" customFormat="1" ht="4.5" customHeight="1" thickBot="1" x14ac:dyDescent="0.3">
      <c r="B4" s="122"/>
      <c r="C4" s="125"/>
      <c r="D4" s="122"/>
      <c r="E4" s="122"/>
      <c r="F4" s="123"/>
      <c r="H4" s="186"/>
    </row>
    <row r="5" spans="2:9" s="2" customFormat="1" ht="15.75" thickBot="1" x14ac:dyDescent="0.3">
      <c r="B5" s="196" t="s">
        <v>410</v>
      </c>
      <c r="C5" s="124" t="s">
        <v>29</v>
      </c>
      <c r="D5" s="122"/>
      <c r="E5" s="122"/>
      <c r="F5" s="123"/>
      <c r="I5" s="182"/>
    </row>
    <row r="6" spans="2:9" s="2" customFormat="1" ht="15.75" thickBot="1" x14ac:dyDescent="0.3">
      <c r="B6" s="196" t="s">
        <v>420</v>
      </c>
      <c r="C6" s="197">
        <f>VLOOKUP(C5,'STATUS INVEST FII'!$A$2:$N$404,2,0)</f>
        <v>115.75</v>
      </c>
      <c r="D6" s="122"/>
      <c r="E6" s="122"/>
      <c r="F6" s="123"/>
      <c r="I6" s="122"/>
    </row>
    <row r="7" spans="2:9" s="2" customFormat="1" ht="15.75" thickBot="1" x14ac:dyDescent="0.3">
      <c r="B7" s="196" t="s">
        <v>0</v>
      </c>
      <c r="C7" s="198">
        <f>VLOOKUP(C5,'STATUS INVEST FII'!$A$2:$N$404,4,0)/100</f>
        <v>6.6699999999999995E-2</v>
      </c>
      <c r="D7" s="122"/>
      <c r="E7" s="122"/>
      <c r="F7" s="123"/>
    </row>
    <row r="8" spans="2:9" s="2" customFormat="1" ht="15.75" thickBot="1" x14ac:dyDescent="0.3">
      <c r="B8" s="196" t="s">
        <v>401</v>
      </c>
      <c r="C8" s="195">
        <f>(C6*C7)/12</f>
        <v>0.64337708333333332</v>
      </c>
      <c r="D8" s="122"/>
      <c r="E8" s="122"/>
      <c r="F8" s="123"/>
    </row>
    <row r="9" spans="2:9" ht="15.75" thickBot="1" x14ac:dyDescent="0.3"/>
    <row r="10" spans="2:9" ht="15.75" thickBot="1" x14ac:dyDescent="0.3">
      <c r="B10" s="273" t="s">
        <v>386</v>
      </c>
      <c r="C10" s="274"/>
      <c r="F10" s="275" t="s">
        <v>387</v>
      </c>
    </row>
    <row r="11" spans="2:9" ht="15.75" thickBot="1" x14ac:dyDescent="0.3">
      <c r="B11" s="82" t="s">
        <v>388</v>
      </c>
      <c r="C11" s="83">
        <f>D17</f>
        <v>6.1799999999999994E-2</v>
      </c>
      <c r="F11" s="276"/>
    </row>
    <row r="12" spans="2:9" ht="15.75" thickBot="1" x14ac:dyDescent="0.3">
      <c r="B12" s="84" t="s">
        <v>389</v>
      </c>
      <c r="C12" s="85">
        <v>0.04</v>
      </c>
      <c r="E12" s="138" t="s">
        <v>390</v>
      </c>
      <c r="F12" s="86">
        <v>0.02</v>
      </c>
    </row>
    <row r="13" spans="2:9" ht="15.75" thickBot="1" x14ac:dyDescent="0.3">
      <c r="B13" s="84" t="s">
        <v>391</v>
      </c>
      <c r="C13" s="87">
        <f>F17</f>
        <v>7.1799999999999989E-2</v>
      </c>
      <c r="E13" s="140" t="s">
        <v>392</v>
      </c>
      <c r="F13" s="88">
        <v>0.03</v>
      </c>
    </row>
    <row r="14" spans="2:9" ht="15.75" thickBot="1" x14ac:dyDescent="0.3">
      <c r="B14" s="89" t="s">
        <v>393</v>
      </c>
      <c r="C14" s="199">
        <v>10</v>
      </c>
      <c r="E14" s="142" t="s">
        <v>394</v>
      </c>
      <c r="F14" s="90">
        <v>0.04</v>
      </c>
    </row>
    <row r="15" spans="2:9" ht="15.75" thickBot="1" x14ac:dyDescent="0.3"/>
    <row r="16" spans="2:9" s="95" customFormat="1" ht="30.75" thickBot="1" x14ac:dyDescent="0.3">
      <c r="B16" s="91" t="s">
        <v>395</v>
      </c>
      <c r="C16" s="92" t="s">
        <v>387</v>
      </c>
      <c r="D16" s="93" t="s">
        <v>388</v>
      </c>
      <c r="E16" s="92" t="s">
        <v>396</v>
      </c>
      <c r="F16" s="94" t="s">
        <v>391</v>
      </c>
    </row>
    <row r="17" spans="2:6" ht="15.75" thickBot="1" x14ac:dyDescent="0.3">
      <c r="B17" s="96">
        <v>4.1799999999999997E-2</v>
      </c>
      <c r="C17" s="97">
        <v>0.02</v>
      </c>
      <c r="D17" s="98">
        <f>C17+B17</f>
        <v>6.1799999999999994E-2</v>
      </c>
      <c r="E17" s="200">
        <v>0.01</v>
      </c>
      <c r="F17" s="99">
        <f>D17+E17</f>
        <v>7.1799999999999989E-2</v>
      </c>
    </row>
    <row r="18" spans="2:6" x14ac:dyDescent="0.25">
      <c r="B18" s="100">
        <v>0.04</v>
      </c>
      <c r="C18" s="101">
        <v>0.04</v>
      </c>
      <c r="D18" s="102">
        <f t="shared" ref="D18:D20" si="0">C18+B18</f>
        <v>0.08</v>
      </c>
      <c r="E18" s="201">
        <v>0.01</v>
      </c>
      <c r="F18" s="103">
        <f t="shared" ref="F18:F20" si="1">D18+E18</f>
        <v>0.09</v>
      </c>
    </row>
    <row r="19" spans="2:6" x14ac:dyDescent="0.25">
      <c r="B19" s="100">
        <v>3.5000000000000003E-2</v>
      </c>
      <c r="C19" s="101">
        <v>0.04</v>
      </c>
      <c r="D19" s="102">
        <f t="shared" si="0"/>
        <v>7.5000000000000011E-2</v>
      </c>
      <c r="E19" s="201">
        <v>0.01</v>
      </c>
      <c r="F19" s="104">
        <f t="shared" si="1"/>
        <v>8.5000000000000006E-2</v>
      </c>
    </row>
    <row r="20" spans="2:6" ht="15.75" thickBot="1" x14ac:dyDescent="0.3">
      <c r="B20" s="105">
        <v>0.03</v>
      </c>
      <c r="C20" s="106">
        <v>0.04</v>
      </c>
      <c r="D20" s="107">
        <f t="shared" si="0"/>
        <v>7.0000000000000007E-2</v>
      </c>
      <c r="E20" s="202">
        <v>0.01</v>
      </c>
      <c r="F20" s="108">
        <f t="shared" si="1"/>
        <v>0.08</v>
      </c>
    </row>
    <row r="21" spans="2:6" ht="15.75" thickBot="1" x14ac:dyDescent="0.3"/>
    <row r="22" spans="2:6" ht="15.75" thickBot="1" x14ac:dyDescent="0.3">
      <c r="B22" s="277" t="s">
        <v>397</v>
      </c>
      <c r="C22" s="278"/>
      <c r="D22" s="278"/>
      <c r="E22" s="279"/>
    </row>
    <row r="23" spans="2:6" s="95" customFormat="1" ht="30.75" thickBot="1" x14ac:dyDescent="0.3">
      <c r="B23" s="91" t="s">
        <v>398</v>
      </c>
      <c r="C23" s="93" t="s">
        <v>399</v>
      </c>
      <c r="D23" s="92" t="s">
        <v>400</v>
      </c>
      <c r="E23" s="94" t="s">
        <v>401</v>
      </c>
      <c r="F23" s="22"/>
    </row>
    <row r="24" spans="2:6" ht="15.75" thickBot="1" x14ac:dyDescent="0.3">
      <c r="B24" s="240">
        <v>1</v>
      </c>
      <c r="C24" s="241">
        <f>E24*12</f>
        <v>7.7205250000000003</v>
      </c>
      <c r="D24" s="249">
        <f t="shared" ref="D24:D33" si="2">C24/(1+$C$13)^B24</f>
        <v>7.2033261802575108</v>
      </c>
      <c r="E24" s="248">
        <f>C8</f>
        <v>0.64337708333333332</v>
      </c>
      <c r="F24" s="109"/>
    </row>
    <row r="25" spans="2:6" x14ac:dyDescent="0.25">
      <c r="B25" s="243">
        <v>2</v>
      </c>
      <c r="C25" s="157">
        <f>C24*$C$12+C24</f>
        <v>8.0293460000000003</v>
      </c>
      <c r="D25" s="250">
        <f t="shared" si="2"/>
        <v>6.9896055490462858</v>
      </c>
      <c r="E25" s="109"/>
      <c r="F25" s="109"/>
    </row>
    <row r="26" spans="2:6" x14ac:dyDescent="0.25">
      <c r="B26" s="243">
        <v>3</v>
      </c>
      <c r="C26" s="157">
        <f t="shared" ref="C26:C33" si="3">C25*$C$12+C25</f>
        <v>8.3505198400000005</v>
      </c>
      <c r="D26" s="250">
        <f t="shared" si="2"/>
        <v>6.7822259479456397</v>
      </c>
      <c r="E26" s="1"/>
    </row>
    <row r="27" spans="2:6" x14ac:dyDescent="0.25">
      <c r="B27" s="243">
        <v>4</v>
      </c>
      <c r="C27" s="157">
        <f t="shared" si="3"/>
        <v>8.6845406336000011</v>
      </c>
      <c r="D27" s="250">
        <f t="shared" si="2"/>
        <v>6.5809992404025603</v>
      </c>
      <c r="E27" s="1"/>
    </row>
    <row r="28" spans="2:6" x14ac:dyDescent="0.25">
      <c r="B28" s="243">
        <v>5</v>
      </c>
      <c r="C28" s="157">
        <f t="shared" si="3"/>
        <v>9.0319222589440002</v>
      </c>
      <c r="D28" s="250">
        <f t="shared" si="2"/>
        <v>6.3857428718218525</v>
      </c>
      <c r="E28" s="1"/>
    </row>
    <row r="29" spans="2:6" x14ac:dyDescent="0.25">
      <c r="B29" s="243">
        <v>6</v>
      </c>
      <c r="C29" s="157">
        <f t="shared" si="3"/>
        <v>9.3931991493017595</v>
      </c>
      <c r="D29" s="250">
        <f t="shared" si="2"/>
        <v>6.1962797039510411</v>
      </c>
      <c r="E29" s="1"/>
    </row>
    <row r="30" spans="2:6" x14ac:dyDescent="0.25">
      <c r="B30" s="243">
        <v>7</v>
      </c>
      <c r="C30" s="157">
        <f t="shared" si="3"/>
        <v>9.7689271152738293</v>
      </c>
      <c r="D30" s="250">
        <f t="shared" si="2"/>
        <v>6.0124378541790273</v>
      </c>
      <c r="E30" s="1"/>
    </row>
    <row r="31" spans="2:6" x14ac:dyDescent="0.25">
      <c r="B31" s="243">
        <v>8</v>
      </c>
      <c r="C31" s="157">
        <f t="shared" si="3"/>
        <v>10.159684199884783</v>
      </c>
      <c r="D31" s="250">
        <f t="shared" si="2"/>
        <v>5.8340505396027122</v>
      </c>
      <c r="E31" s="1"/>
    </row>
    <row r="32" spans="2:6" x14ac:dyDescent="0.25">
      <c r="B32" s="243">
        <v>9</v>
      </c>
      <c r="C32" s="157">
        <f t="shared" si="3"/>
        <v>10.566071567880174</v>
      </c>
      <c r="D32" s="250">
        <f t="shared" si="2"/>
        <v>5.6609559257201152</v>
      </c>
      <c r="E32" s="1"/>
    </row>
    <row r="33" spans="2:8" ht="15.75" thickBot="1" x14ac:dyDescent="0.3">
      <c r="B33" s="244">
        <v>10</v>
      </c>
      <c r="C33" s="165">
        <f t="shared" si="3"/>
        <v>10.988714430595381</v>
      </c>
      <c r="D33" s="251">
        <f t="shared" si="2"/>
        <v>5.4929969796127249</v>
      </c>
      <c r="E33" s="1"/>
    </row>
    <row r="34" spans="2:8" ht="15.75" thickBot="1" x14ac:dyDescent="0.3">
      <c r="B34" s="245" t="s">
        <v>402</v>
      </c>
      <c r="C34" s="246">
        <f>C33/C11</f>
        <v>177.81091311643013</v>
      </c>
      <c r="D34" s="247">
        <f>C34/(1+$C$13)^B33</f>
        <v>88.883446272050577</v>
      </c>
      <c r="F34" s="109"/>
    </row>
    <row r="35" spans="2:8" ht="15.75" thickBot="1" x14ac:dyDescent="0.3">
      <c r="B35" s="110" t="s">
        <v>403</v>
      </c>
      <c r="C35" s="111"/>
      <c r="D35" s="112">
        <f>SUM(D24:D34)</f>
        <v>152.02206706459006</v>
      </c>
    </row>
    <row r="36" spans="2:8" ht="15.75" thickBot="1" x14ac:dyDescent="0.3">
      <c r="B36" s="110" t="s">
        <v>408</v>
      </c>
      <c r="C36" s="111"/>
      <c r="D36" s="112">
        <f>C6</f>
        <v>115.75</v>
      </c>
    </row>
    <row r="37" spans="2:8" ht="15.75" thickBot="1" x14ac:dyDescent="0.3">
      <c r="B37" s="110" t="s">
        <v>409</v>
      </c>
      <c r="C37" s="111"/>
      <c r="D37" s="120">
        <f>(D35-D36)/D35</f>
        <v>0.23859738105770553</v>
      </c>
    </row>
    <row r="38" spans="2:8" ht="15.75" thickBot="1" x14ac:dyDescent="0.3"/>
    <row r="39" spans="2:8" ht="15.75" thickBot="1" x14ac:dyDescent="0.3">
      <c r="B39" s="277" t="s">
        <v>404</v>
      </c>
      <c r="C39" s="278"/>
      <c r="D39" s="278"/>
      <c r="E39" s="278"/>
      <c r="F39" s="278"/>
      <c r="G39" s="278"/>
      <c r="H39" s="279"/>
    </row>
    <row r="40" spans="2:8" ht="30.75" thickBot="1" x14ac:dyDescent="0.3">
      <c r="B40" s="91" t="s">
        <v>398</v>
      </c>
      <c r="C40" s="93" t="s">
        <v>399</v>
      </c>
      <c r="D40" s="92" t="s">
        <v>400</v>
      </c>
      <c r="E40" s="113" t="s">
        <v>405</v>
      </c>
      <c r="F40" s="91" t="s">
        <v>398</v>
      </c>
      <c r="G40" s="91" t="s">
        <v>406</v>
      </c>
      <c r="H40" s="91" t="s">
        <v>407</v>
      </c>
    </row>
    <row r="41" spans="2:8" ht="15.75" thickBot="1" x14ac:dyDescent="0.3">
      <c r="B41" s="240">
        <v>1</v>
      </c>
      <c r="C41" s="241">
        <f>E41*12</f>
        <v>7.7205250000000003</v>
      </c>
      <c r="D41" s="242">
        <f>C41/(1+$C$13)^B41</f>
        <v>7.2033261802575108</v>
      </c>
      <c r="E41" s="255">
        <f>C8</f>
        <v>0.64337708333333332</v>
      </c>
      <c r="F41" s="114">
        <v>2022</v>
      </c>
      <c r="G41" s="115">
        <v>0.04</v>
      </c>
      <c r="H41" s="252">
        <f>E41*G41+E41</f>
        <v>0.66911216666666662</v>
      </c>
    </row>
    <row r="42" spans="2:8" x14ac:dyDescent="0.25">
      <c r="B42" s="243">
        <v>2</v>
      </c>
      <c r="C42" s="253">
        <f t="shared" ref="C42:C50" si="4">E42*12</f>
        <v>8.0293460000000003</v>
      </c>
      <c r="D42" s="253">
        <f t="shared" ref="D42:D50" si="5">C42/(1+$C$13)^B42</f>
        <v>6.9896055490462858</v>
      </c>
      <c r="E42" s="150">
        <f>H41</f>
        <v>0.66911216666666662</v>
      </c>
      <c r="F42" s="116">
        <v>2023</v>
      </c>
      <c r="G42" s="117">
        <v>3.5000000000000003E-2</v>
      </c>
      <c r="H42" s="158">
        <f>E42*G42+E42</f>
        <v>0.6925310925</v>
      </c>
    </row>
    <row r="43" spans="2:8" x14ac:dyDescent="0.25">
      <c r="B43" s="243">
        <v>3</v>
      </c>
      <c r="C43" s="253">
        <f t="shared" si="4"/>
        <v>8.3103731100000005</v>
      </c>
      <c r="D43" s="253">
        <f t="shared" si="5"/>
        <v>6.7496190924266708</v>
      </c>
      <c r="E43" s="156">
        <f>H42</f>
        <v>0.6925310925</v>
      </c>
      <c r="F43" s="116">
        <v>2024</v>
      </c>
      <c r="G43" s="117">
        <v>3.2500000000000001E-2</v>
      </c>
      <c r="H43" s="158">
        <f t="shared" ref="H43:H50" si="6">E43*G43+E43</f>
        <v>0.71503835300624996</v>
      </c>
    </row>
    <row r="44" spans="2:8" x14ac:dyDescent="0.25">
      <c r="B44" s="243">
        <v>4</v>
      </c>
      <c r="C44" s="253">
        <f t="shared" si="4"/>
        <v>8.580460236075</v>
      </c>
      <c r="D44" s="253">
        <f t="shared" si="5"/>
        <v>6.5021288607301138</v>
      </c>
      <c r="E44" s="156">
        <f t="shared" ref="E44:E50" si="7">H43</f>
        <v>0.71503835300624996</v>
      </c>
      <c r="F44" s="116">
        <v>2025</v>
      </c>
      <c r="G44" s="117">
        <v>3.2500000000000001E-2</v>
      </c>
      <c r="H44" s="158">
        <f t="shared" si="6"/>
        <v>0.73827709947895304</v>
      </c>
    </row>
    <row r="45" spans="2:8" x14ac:dyDescent="0.25">
      <c r="B45" s="243">
        <v>5</v>
      </c>
      <c r="C45" s="253">
        <f t="shared" si="4"/>
        <v>8.859325193747436</v>
      </c>
      <c r="D45" s="253">
        <f t="shared" si="5"/>
        <v>6.2637134248029858</v>
      </c>
      <c r="E45" s="156">
        <f t="shared" si="7"/>
        <v>0.73827709947895304</v>
      </c>
      <c r="F45" s="116">
        <v>2026</v>
      </c>
      <c r="G45" s="117">
        <v>3.2500000000000001E-2</v>
      </c>
      <c r="H45" s="158">
        <f t="shared" si="6"/>
        <v>0.76227110521201902</v>
      </c>
    </row>
    <row r="46" spans="2:8" x14ac:dyDescent="0.25">
      <c r="B46" s="243">
        <v>6</v>
      </c>
      <c r="C46" s="253">
        <f t="shared" si="4"/>
        <v>9.1472532625442291</v>
      </c>
      <c r="D46" s="253">
        <f t="shared" si="5"/>
        <v>6.0340400364891611</v>
      </c>
      <c r="E46" s="156">
        <f t="shared" si="7"/>
        <v>0.76227110521201902</v>
      </c>
      <c r="F46" s="116">
        <v>2027</v>
      </c>
      <c r="G46" s="117">
        <v>3.2500000000000001E-2</v>
      </c>
      <c r="H46" s="158">
        <f t="shared" si="6"/>
        <v>0.78704491613140959</v>
      </c>
    </row>
    <row r="47" spans="2:8" x14ac:dyDescent="0.25">
      <c r="B47" s="243">
        <v>7</v>
      </c>
      <c r="C47" s="253">
        <f t="shared" si="4"/>
        <v>9.4445389935769146</v>
      </c>
      <c r="D47" s="253">
        <f t="shared" si="5"/>
        <v>5.8127881486052031</v>
      </c>
      <c r="E47" s="156">
        <f t="shared" si="7"/>
        <v>0.78704491613140959</v>
      </c>
      <c r="F47" s="116">
        <v>2028</v>
      </c>
      <c r="G47" s="117">
        <v>3.2500000000000001E-2</v>
      </c>
      <c r="H47" s="158">
        <f t="shared" si="6"/>
        <v>0.81262387590568042</v>
      </c>
    </row>
    <row r="48" spans="2:8" x14ac:dyDescent="0.25">
      <c r="B48" s="243">
        <v>8</v>
      </c>
      <c r="C48" s="253">
        <f t="shared" si="4"/>
        <v>9.7514865108681654</v>
      </c>
      <c r="D48" s="253">
        <f t="shared" si="5"/>
        <v>5.599648967563791</v>
      </c>
      <c r="E48" s="156">
        <f t="shared" si="7"/>
        <v>0.81262387590568042</v>
      </c>
      <c r="F48" s="116">
        <v>2029</v>
      </c>
      <c r="G48" s="117">
        <v>3.2500000000000001E-2</v>
      </c>
      <c r="H48" s="158">
        <f t="shared" si="6"/>
        <v>0.83903415187261499</v>
      </c>
    </row>
    <row r="49" spans="2:8" x14ac:dyDescent="0.25">
      <c r="B49" s="243">
        <v>9</v>
      </c>
      <c r="C49" s="253">
        <f t="shared" si="4"/>
        <v>10.068409822471381</v>
      </c>
      <c r="D49" s="253">
        <f t="shared" si="5"/>
        <v>5.3943250224012074</v>
      </c>
      <c r="E49" s="156">
        <f t="shared" si="7"/>
        <v>0.83903415187261499</v>
      </c>
      <c r="F49" s="116">
        <v>2030</v>
      </c>
      <c r="G49" s="117">
        <v>3.2500000000000001E-2</v>
      </c>
      <c r="H49" s="158">
        <f t="shared" si="6"/>
        <v>0.86630276180847499</v>
      </c>
    </row>
    <row r="50" spans="2:8" ht="15.75" thickBot="1" x14ac:dyDescent="0.3">
      <c r="B50" s="244">
        <v>10</v>
      </c>
      <c r="C50" s="254">
        <f t="shared" si="4"/>
        <v>10.395633141701699</v>
      </c>
      <c r="D50" s="254">
        <f t="shared" si="5"/>
        <v>5.1965297496074312</v>
      </c>
      <c r="E50" s="164">
        <f t="shared" si="7"/>
        <v>0.86630276180847499</v>
      </c>
      <c r="F50" s="118">
        <v>2031</v>
      </c>
      <c r="G50" s="119">
        <v>3.2500000000000001E-2</v>
      </c>
      <c r="H50" s="166">
        <f t="shared" si="6"/>
        <v>0.8944576015672504</v>
      </c>
    </row>
    <row r="51" spans="2:8" ht="15.75" thickBot="1" x14ac:dyDescent="0.3">
      <c r="B51" s="245" t="s">
        <v>402</v>
      </c>
      <c r="C51" s="246">
        <f>C50/$C$11</f>
        <v>168.2141285065</v>
      </c>
      <c r="D51" s="247">
        <f>C51/(1+$C$13)^B50</f>
        <v>84.086241903032871</v>
      </c>
    </row>
    <row r="52" spans="2:8" ht="15.75" thickBot="1" x14ac:dyDescent="0.3">
      <c r="B52" s="110" t="s">
        <v>403</v>
      </c>
      <c r="C52" s="111"/>
      <c r="D52" s="112">
        <f>SUM(D41:D51)</f>
        <v>145.83196693496322</v>
      </c>
    </row>
    <row r="53" spans="2:8" ht="15.75" thickBot="1" x14ac:dyDescent="0.3">
      <c r="B53" s="110" t="s">
        <v>408</v>
      </c>
      <c r="C53" s="111"/>
      <c r="D53" s="112">
        <f>C6</f>
        <v>115.75</v>
      </c>
    </row>
    <row r="54" spans="2:8" ht="15.75" thickBot="1" x14ac:dyDescent="0.3">
      <c r="B54" s="110" t="s">
        <v>409</v>
      </c>
      <c r="C54" s="111"/>
      <c r="D54" s="120">
        <f>(D52-D53)/D52</f>
        <v>0.2062782774395335</v>
      </c>
    </row>
    <row r="55" spans="2:8" x14ac:dyDescent="0.25">
      <c r="D55" s="121"/>
    </row>
  </sheetData>
  <mergeCells count="5">
    <mergeCell ref="B10:C10"/>
    <mergeCell ref="F10:F11"/>
    <mergeCell ref="B22:E22"/>
    <mergeCell ref="B39:H39"/>
    <mergeCell ref="B3:F3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2E80E-A3E5-4CA1-A3C7-2887947ABCAF}">
  <dimension ref="B1:K39"/>
  <sheetViews>
    <sheetView topLeftCell="A25" zoomScale="130" zoomScaleNormal="130" workbookViewId="0">
      <selection activeCell="H38" sqref="H38"/>
    </sheetView>
  </sheetViews>
  <sheetFormatPr defaultColWidth="8.85546875" defaultRowHeight="15" x14ac:dyDescent="0.25"/>
  <cols>
    <col min="1" max="1" width="2.42578125" customWidth="1"/>
    <col min="2" max="2" width="20.140625" bestFit="1" customWidth="1"/>
    <col min="3" max="3" width="18.140625" bestFit="1" customWidth="1"/>
    <col min="4" max="4" width="10.7109375" bestFit="1" customWidth="1"/>
    <col min="6" max="6" width="12.7109375" bestFit="1" customWidth="1"/>
    <col min="7" max="7" width="9.7109375" bestFit="1" customWidth="1"/>
    <col min="8" max="8" width="20.28515625" bestFit="1" customWidth="1"/>
    <col min="9" max="9" width="18.140625" bestFit="1" customWidth="1"/>
    <col min="10" max="10" width="19.28515625" bestFit="1" customWidth="1"/>
  </cols>
  <sheetData>
    <row r="1" spans="2:10" ht="21.75" customHeight="1" x14ac:dyDescent="0.25">
      <c r="B1" s="187"/>
      <c r="C1" s="188"/>
      <c r="D1" s="188"/>
      <c r="E1" s="188"/>
      <c r="F1" s="189"/>
      <c r="G1" s="188"/>
      <c r="H1" s="188"/>
      <c r="I1" s="188"/>
      <c r="J1" s="190"/>
    </row>
    <row r="2" spans="2:10" ht="46.5" customHeight="1" thickBot="1" x14ac:dyDescent="0.3">
      <c r="B2" s="191"/>
      <c r="C2" s="192"/>
      <c r="D2" s="192"/>
      <c r="E2" s="192"/>
      <c r="F2" s="193"/>
      <c r="G2" s="192"/>
      <c r="H2" s="192"/>
      <c r="I2" s="192"/>
      <c r="J2" s="194"/>
    </row>
    <row r="3" spans="2:10" ht="18" customHeight="1" thickBot="1" x14ac:dyDescent="0.3">
      <c r="B3" s="280" t="s">
        <v>412</v>
      </c>
      <c r="C3" s="280"/>
      <c r="D3" s="280"/>
      <c r="E3" s="280"/>
      <c r="F3" s="280"/>
      <c r="G3" s="280"/>
      <c r="H3" s="280"/>
      <c r="I3" s="280"/>
      <c r="J3" s="280"/>
    </row>
    <row r="4" spans="2:10" ht="15.75" thickBot="1" x14ac:dyDescent="0.3">
      <c r="B4" s="281" t="s">
        <v>413</v>
      </c>
      <c r="C4" s="282"/>
    </row>
    <row r="5" spans="2:10" x14ac:dyDescent="0.25">
      <c r="B5" s="138" t="s">
        <v>414</v>
      </c>
      <c r="C5" s="139">
        <v>5.5E-2</v>
      </c>
    </row>
    <row r="6" spans="2:10" x14ac:dyDescent="0.25">
      <c r="B6" s="140" t="s">
        <v>406</v>
      </c>
      <c r="C6" s="141">
        <v>0.05</v>
      </c>
    </row>
    <row r="7" spans="2:10" x14ac:dyDescent="0.25">
      <c r="B7" s="140" t="s">
        <v>415</v>
      </c>
      <c r="C7" s="141">
        <v>0.18</v>
      </c>
    </row>
    <row r="8" spans="2:10" x14ac:dyDescent="0.25">
      <c r="B8" s="140" t="s">
        <v>416</v>
      </c>
      <c r="C8" s="141">
        <v>0.18</v>
      </c>
    </row>
    <row r="9" spans="2:10" x14ac:dyDescent="0.25">
      <c r="B9" s="140" t="s">
        <v>417</v>
      </c>
      <c r="C9" s="141">
        <v>0.03</v>
      </c>
    </row>
    <row r="10" spans="2:10" x14ac:dyDescent="0.25">
      <c r="B10" s="140" t="s">
        <v>418</v>
      </c>
      <c r="C10" s="141">
        <v>0.01</v>
      </c>
    </row>
    <row r="11" spans="2:10" x14ac:dyDescent="0.25">
      <c r="B11" s="140" t="s">
        <v>419</v>
      </c>
      <c r="C11" s="54">
        <v>99.29</v>
      </c>
    </row>
    <row r="12" spans="2:10" ht="15.75" thickBot="1" x14ac:dyDescent="0.3">
      <c r="B12" s="142" t="s">
        <v>420</v>
      </c>
      <c r="C12" s="56">
        <v>129.62</v>
      </c>
    </row>
    <row r="13" spans="2:10" ht="15.75" thickBot="1" x14ac:dyDescent="0.3"/>
    <row r="14" spans="2:10" ht="16.5" thickBot="1" x14ac:dyDescent="0.3">
      <c r="B14" s="283" t="s">
        <v>421</v>
      </c>
      <c r="C14" s="284"/>
      <c r="D14" s="284"/>
      <c r="E14" s="284"/>
      <c r="F14" s="284"/>
      <c r="G14" s="284"/>
      <c r="H14" s="284"/>
      <c r="I14" s="284"/>
      <c r="J14" s="285"/>
    </row>
    <row r="15" spans="2:10" ht="15.75" thickBot="1" x14ac:dyDescent="0.3">
      <c r="B15" s="143" t="s">
        <v>422</v>
      </c>
      <c r="C15" s="144" t="s">
        <v>423</v>
      </c>
      <c r="D15" s="144" t="s">
        <v>424</v>
      </c>
      <c r="E15" s="144" t="s">
        <v>425</v>
      </c>
      <c r="F15" s="144" t="s">
        <v>426</v>
      </c>
      <c r="G15" s="144" t="s">
        <v>427</v>
      </c>
      <c r="H15" s="144" t="s">
        <v>419</v>
      </c>
      <c r="I15" s="144" t="s">
        <v>428</v>
      </c>
      <c r="J15" s="145" t="s">
        <v>401</v>
      </c>
    </row>
    <row r="16" spans="2:10" x14ac:dyDescent="0.25">
      <c r="B16" s="146" t="s">
        <v>414</v>
      </c>
      <c r="C16" s="147">
        <v>0.13439999999999999</v>
      </c>
      <c r="D16" s="148">
        <f>C5</f>
        <v>5.5E-2</v>
      </c>
      <c r="E16" s="147">
        <v>4.2799999999999998E-2</v>
      </c>
      <c r="F16" s="148">
        <f>E16+D16</f>
        <v>9.7799999999999998E-2</v>
      </c>
      <c r="G16" s="149">
        <f>$C$10</f>
        <v>0.01</v>
      </c>
      <c r="H16" s="150">
        <f>$C$11</f>
        <v>99.29</v>
      </c>
      <c r="I16" s="151">
        <f>(F16-G16)*C16*H16</f>
        <v>1.1716537728</v>
      </c>
      <c r="J16" s="152">
        <f>I16/12</f>
        <v>9.7637814400000009E-2</v>
      </c>
    </row>
    <row r="17" spans="2:11" x14ac:dyDescent="0.25">
      <c r="B17" s="140" t="s">
        <v>406</v>
      </c>
      <c r="C17" s="153">
        <v>0.28810000000000002</v>
      </c>
      <c r="D17" s="154">
        <f>C6</f>
        <v>0.05</v>
      </c>
      <c r="E17" s="153">
        <v>8.5300000000000001E-2</v>
      </c>
      <c r="F17" s="154">
        <f t="shared" ref="F17:F23" si="0">E17+D17</f>
        <v>0.1353</v>
      </c>
      <c r="G17" s="155">
        <f t="shared" ref="G17:G23" si="1">$C$10</f>
        <v>0.01</v>
      </c>
      <c r="H17" s="156">
        <f t="shared" ref="H17:H23" si="2">$C$11</f>
        <v>99.29</v>
      </c>
      <c r="I17" s="157">
        <f t="shared" ref="I17:I23" si="3">(F17-G17)*C17*H17</f>
        <v>3.5842627597000005</v>
      </c>
      <c r="J17" s="158">
        <f t="shared" ref="J17:J23" si="4">I17/12</f>
        <v>0.29868856330833338</v>
      </c>
    </row>
    <row r="18" spans="2:11" x14ac:dyDescent="0.25">
      <c r="B18" s="140" t="s">
        <v>415</v>
      </c>
      <c r="C18" s="153">
        <v>7.0099999999999996E-2</v>
      </c>
      <c r="D18" s="154">
        <f>C7</f>
        <v>0.18</v>
      </c>
      <c r="E18" s="153">
        <v>0.10589999999999999</v>
      </c>
      <c r="F18" s="154">
        <f t="shared" si="0"/>
        <v>0.28589999999999999</v>
      </c>
      <c r="G18" s="155">
        <f t="shared" si="1"/>
        <v>0.01</v>
      </c>
      <c r="H18" s="156">
        <f t="shared" si="2"/>
        <v>99.29</v>
      </c>
      <c r="I18" s="157">
        <f t="shared" si="3"/>
        <v>1.9203271811</v>
      </c>
      <c r="J18" s="158">
        <f t="shared" si="4"/>
        <v>0.16002726509166668</v>
      </c>
    </row>
    <row r="19" spans="2:11" x14ac:dyDescent="0.25">
      <c r="B19" s="140" t="s">
        <v>416</v>
      </c>
      <c r="C19" s="153">
        <v>9.1999999999999998E-3</v>
      </c>
      <c r="D19" s="154">
        <f>C8</f>
        <v>0.18</v>
      </c>
      <c r="E19" s="153">
        <v>4.5199999999999997E-2</v>
      </c>
      <c r="F19" s="154">
        <f t="shared" si="0"/>
        <v>0.22519999999999998</v>
      </c>
      <c r="G19" s="155">
        <f t="shared" si="1"/>
        <v>0.01</v>
      </c>
      <c r="H19" s="156">
        <f t="shared" si="2"/>
        <v>99.29</v>
      </c>
      <c r="I19" s="157">
        <f t="shared" si="3"/>
        <v>0.19657831359999997</v>
      </c>
      <c r="J19" s="158">
        <f t="shared" si="4"/>
        <v>1.6381526133333331E-2</v>
      </c>
    </row>
    <row r="20" spans="2:11" x14ac:dyDescent="0.25">
      <c r="B20" s="140" t="s">
        <v>417</v>
      </c>
      <c r="C20" s="153">
        <v>0</v>
      </c>
      <c r="D20" s="154">
        <v>0.03</v>
      </c>
      <c r="E20" s="153">
        <v>0.05</v>
      </c>
      <c r="F20" s="154">
        <f t="shared" si="0"/>
        <v>0.08</v>
      </c>
      <c r="G20" s="155">
        <f t="shared" si="1"/>
        <v>0.01</v>
      </c>
      <c r="H20" s="156">
        <f t="shared" si="2"/>
        <v>99.29</v>
      </c>
      <c r="I20" s="157">
        <f t="shared" si="3"/>
        <v>0</v>
      </c>
      <c r="J20" s="158">
        <f t="shared" si="4"/>
        <v>0</v>
      </c>
    </row>
    <row r="21" spans="2:11" x14ac:dyDescent="0.25">
      <c r="B21" s="140" t="s">
        <v>429</v>
      </c>
      <c r="C21" s="153">
        <v>0</v>
      </c>
      <c r="D21" s="154">
        <v>0.1</v>
      </c>
      <c r="E21" s="101">
        <v>0</v>
      </c>
      <c r="F21" s="154">
        <f t="shared" si="0"/>
        <v>0.1</v>
      </c>
      <c r="G21" s="155">
        <f t="shared" si="1"/>
        <v>0.01</v>
      </c>
      <c r="H21" s="156">
        <f t="shared" si="2"/>
        <v>99.29</v>
      </c>
      <c r="I21" s="157">
        <f t="shared" si="3"/>
        <v>0</v>
      </c>
      <c r="J21" s="158">
        <f t="shared" si="4"/>
        <v>0</v>
      </c>
    </row>
    <row r="22" spans="2:11" x14ac:dyDescent="0.25">
      <c r="B22" s="140" t="s">
        <v>410</v>
      </c>
      <c r="C22" s="153">
        <v>0.24510000000000001</v>
      </c>
      <c r="D22" s="159">
        <v>1.0000000000000001E-5</v>
      </c>
      <c r="E22" s="153">
        <v>9.9999999999999995E-7</v>
      </c>
      <c r="F22" s="154">
        <f t="shared" si="0"/>
        <v>1.1000000000000001E-5</v>
      </c>
      <c r="G22" s="155">
        <f t="shared" si="1"/>
        <v>0.01</v>
      </c>
      <c r="H22" s="156">
        <f t="shared" si="2"/>
        <v>99.29</v>
      </c>
      <c r="I22" s="181">
        <v>6.96</v>
      </c>
      <c r="J22" s="158">
        <f t="shared" si="4"/>
        <v>0.57999999999999996</v>
      </c>
    </row>
    <row r="23" spans="2:11" ht="15.75" thickBot="1" x14ac:dyDescent="0.3">
      <c r="B23" s="142" t="s">
        <v>283</v>
      </c>
      <c r="C23" s="119">
        <v>0.25309999999999999</v>
      </c>
      <c r="D23" s="160">
        <f>C5*99%</f>
        <v>5.4449999999999998E-2</v>
      </c>
      <c r="E23" s="161">
        <v>0</v>
      </c>
      <c r="F23" s="162">
        <f t="shared" si="0"/>
        <v>5.4449999999999998E-2</v>
      </c>
      <c r="G23" s="163">
        <f t="shared" si="1"/>
        <v>0.01</v>
      </c>
      <c r="H23" s="164">
        <f t="shared" si="2"/>
        <v>99.29</v>
      </c>
      <c r="I23" s="165">
        <f t="shared" si="3"/>
        <v>1.1170417905499999</v>
      </c>
      <c r="J23" s="166">
        <f t="shared" si="4"/>
        <v>9.3086815879166659E-2</v>
      </c>
      <c r="K23" s="127" t="s">
        <v>0</v>
      </c>
    </row>
    <row r="24" spans="2:11" ht="15.75" thickBot="1" x14ac:dyDescent="0.3">
      <c r="B24" s="167" t="s">
        <v>430</v>
      </c>
      <c r="C24" s="168">
        <f>SUM(C16:C23)</f>
        <v>1</v>
      </c>
      <c r="H24" s="169" t="s">
        <v>430</v>
      </c>
      <c r="I24" s="170">
        <f>SUM(I16:I23)</f>
        <v>14.94986381775</v>
      </c>
      <c r="J24" s="171">
        <f>SUM(J16:J23)</f>
        <v>1.2458219848125001</v>
      </c>
      <c r="K24" s="172">
        <f>J24/C12</f>
        <v>9.6113407252931653E-3</v>
      </c>
    </row>
    <row r="25" spans="2:11" ht="9.75" customHeight="1" x14ac:dyDescent="0.25"/>
    <row r="26" spans="2:11" ht="15.75" thickBot="1" x14ac:dyDescent="0.3"/>
    <row r="27" spans="2:11" ht="16.5" thickBot="1" x14ac:dyDescent="0.3">
      <c r="B27" s="286" t="s">
        <v>431</v>
      </c>
      <c r="C27" s="287"/>
      <c r="D27" s="288"/>
      <c r="E27" s="173"/>
      <c r="F27" s="173"/>
      <c r="G27" s="173"/>
      <c r="H27" s="173"/>
      <c r="I27" s="173"/>
      <c r="J27" s="173"/>
    </row>
    <row r="28" spans="2:11" ht="15.75" thickBot="1" x14ac:dyDescent="0.3">
      <c r="B28" s="174" t="s">
        <v>407</v>
      </c>
      <c r="C28" s="175" t="s">
        <v>0</v>
      </c>
      <c r="D28" s="176" t="s">
        <v>432</v>
      </c>
    </row>
    <row r="29" spans="2:11" x14ac:dyDescent="0.25">
      <c r="B29" s="177">
        <v>1</v>
      </c>
      <c r="C29" s="148">
        <f>$K$24</f>
        <v>9.6113407252931653E-3</v>
      </c>
      <c r="D29" s="152">
        <f>B29/C29</f>
        <v>104.04375711792258</v>
      </c>
    </row>
    <row r="30" spans="2:11" x14ac:dyDescent="0.25">
      <c r="B30" s="178">
        <v>1.05</v>
      </c>
      <c r="C30" s="154">
        <f t="shared" ref="C30:C38" si="5">$K$24</f>
        <v>9.6113407252931653E-3</v>
      </c>
      <c r="D30" s="158">
        <f t="shared" ref="D30:D38" si="6">B30/C30</f>
        <v>109.24594497381872</v>
      </c>
    </row>
    <row r="31" spans="2:11" x14ac:dyDescent="0.25">
      <c r="B31" s="178">
        <v>1.1000000000000001</v>
      </c>
      <c r="C31" s="154">
        <f t="shared" si="5"/>
        <v>9.6113407252931653E-3</v>
      </c>
      <c r="D31" s="158">
        <f t="shared" si="6"/>
        <v>114.44813282971485</v>
      </c>
    </row>
    <row r="32" spans="2:11" x14ac:dyDescent="0.25">
      <c r="B32" s="178">
        <v>1.1499999999999999</v>
      </c>
      <c r="C32" s="154">
        <f t="shared" si="5"/>
        <v>9.6113407252931653E-3</v>
      </c>
      <c r="D32" s="158">
        <f t="shared" si="6"/>
        <v>119.65032068561096</v>
      </c>
    </row>
    <row r="33" spans="2:4" x14ac:dyDescent="0.25">
      <c r="B33" s="178">
        <v>1.2</v>
      </c>
      <c r="C33" s="154">
        <f t="shared" si="5"/>
        <v>9.6113407252931653E-3</v>
      </c>
      <c r="D33" s="158">
        <f t="shared" si="6"/>
        <v>124.85250854150711</v>
      </c>
    </row>
    <row r="34" spans="2:4" x14ac:dyDescent="0.25">
      <c r="B34" s="178">
        <v>1.25</v>
      </c>
      <c r="C34" s="154">
        <f t="shared" si="5"/>
        <v>9.6113407252931653E-3</v>
      </c>
      <c r="D34" s="158">
        <f t="shared" si="6"/>
        <v>130.05469639740323</v>
      </c>
    </row>
    <row r="35" spans="2:4" x14ac:dyDescent="0.25">
      <c r="B35" s="178">
        <v>1.3</v>
      </c>
      <c r="C35" s="154">
        <f t="shared" si="5"/>
        <v>9.6113407252931653E-3</v>
      </c>
      <c r="D35" s="158">
        <f t="shared" si="6"/>
        <v>135.25688425329938</v>
      </c>
    </row>
    <row r="36" spans="2:4" x14ac:dyDescent="0.25">
      <c r="B36" s="178">
        <v>1.35</v>
      </c>
      <c r="C36" s="154">
        <f t="shared" si="5"/>
        <v>9.6113407252931653E-3</v>
      </c>
      <c r="D36" s="158">
        <f t="shared" si="6"/>
        <v>140.45907210919549</v>
      </c>
    </row>
    <row r="37" spans="2:4" x14ac:dyDescent="0.25">
      <c r="B37" s="178">
        <v>1.4</v>
      </c>
      <c r="C37" s="154">
        <f t="shared" si="5"/>
        <v>9.6113407252931653E-3</v>
      </c>
      <c r="D37" s="158">
        <f t="shared" si="6"/>
        <v>145.6612599650916</v>
      </c>
    </row>
    <row r="38" spans="2:4" ht="15.75" thickBot="1" x14ac:dyDescent="0.3">
      <c r="B38" s="179">
        <v>1.45</v>
      </c>
      <c r="C38" s="162">
        <f t="shared" si="5"/>
        <v>9.6113407252931653E-3</v>
      </c>
      <c r="D38" s="166">
        <f t="shared" si="6"/>
        <v>150.86344782098774</v>
      </c>
    </row>
    <row r="39" spans="2:4" x14ac:dyDescent="0.25">
      <c r="B39" s="180"/>
    </row>
  </sheetData>
  <mergeCells count="4">
    <mergeCell ref="B4:C4"/>
    <mergeCell ref="B14:J14"/>
    <mergeCell ref="B27:D27"/>
    <mergeCell ref="B3:J3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20DD9-AF34-4129-8E28-B2458166DD54}">
  <dimension ref="A1:N392"/>
  <sheetViews>
    <sheetView workbookViewId="0">
      <selection activeCell="F7" sqref="F7"/>
    </sheetView>
  </sheetViews>
  <sheetFormatPr defaultRowHeight="15" x14ac:dyDescent="0.25"/>
  <cols>
    <col min="1" max="1" width="9.42578125" bestFit="1" customWidth="1"/>
    <col min="3" max="3" width="21.28515625" bestFit="1" customWidth="1"/>
    <col min="4" max="4" width="8" bestFit="1" customWidth="1"/>
    <col min="5" max="5" width="28.140625" bestFit="1" customWidth="1"/>
    <col min="6" max="6" width="8" bestFit="1" customWidth="1"/>
    <col min="7" max="7" width="24.85546875" bestFit="1" customWidth="1"/>
    <col min="8" max="8" width="24.28515625" bestFit="1" customWidth="1"/>
    <col min="9" max="9" width="27.28515625" bestFit="1" customWidth="1"/>
    <col min="10" max="10" width="28.140625" bestFit="1" customWidth="1"/>
    <col min="11" max="11" width="15.140625" bestFit="1" customWidth="1"/>
    <col min="12" max="12" width="13.5703125" bestFit="1" customWidth="1"/>
    <col min="13" max="13" width="10.42578125" bestFit="1" customWidth="1"/>
    <col min="14" max="14" width="11.42578125" bestFit="1" customWidth="1"/>
  </cols>
  <sheetData>
    <row r="1" spans="1:14" x14ac:dyDescent="0.25">
      <c r="A1" t="s">
        <v>197</v>
      </c>
      <c r="B1" t="s">
        <v>198</v>
      </c>
      <c r="C1" t="s">
        <v>551</v>
      </c>
      <c r="D1" t="s">
        <v>0</v>
      </c>
      <c r="E1" t="s">
        <v>552</v>
      </c>
      <c r="F1" t="s">
        <v>1</v>
      </c>
      <c r="G1" t="s">
        <v>199</v>
      </c>
      <c r="H1" t="s">
        <v>200</v>
      </c>
      <c r="I1" t="s">
        <v>201</v>
      </c>
      <c r="J1" t="s">
        <v>202</v>
      </c>
      <c r="K1" t="s">
        <v>203</v>
      </c>
      <c r="L1" t="s">
        <v>204</v>
      </c>
      <c r="M1" t="s">
        <v>205</v>
      </c>
      <c r="N1" t="s">
        <v>553</v>
      </c>
    </row>
    <row r="2" spans="1:14" x14ac:dyDescent="0.25">
      <c r="A2" s="215" t="s">
        <v>460</v>
      </c>
      <c r="B2">
        <v>0</v>
      </c>
      <c r="C2" s="215" t="s">
        <v>491</v>
      </c>
      <c r="D2">
        <v>0</v>
      </c>
      <c r="E2">
        <v>901.44</v>
      </c>
      <c r="H2">
        <v>0.96</v>
      </c>
      <c r="K2">
        <v>49624125.799999997</v>
      </c>
      <c r="L2">
        <v>2</v>
      </c>
      <c r="M2" s="215" t="s">
        <v>208</v>
      </c>
      <c r="N2">
        <v>55050</v>
      </c>
    </row>
    <row r="3" spans="1:14" x14ac:dyDescent="0.25">
      <c r="A3" s="215" t="s">
        <v>192</v>
      </c>
      <c r="B3">
        <v>94.5</v>
      </c>
      <c r="C3" s="215" t="s">
        <v>491</v>
      </c>
      <c r="D3">
        <v>9.0299999999999994</v>
      </c>
      <c r="E3">
        <v>103.42</v>
      </c>
      <c r="F3">
        <v>0.9</v>
      </c>
      <c r="G3">
        <v>360571.15</v>
      </c>
      <c r="H3">
        <v>1.41</v>
      </c>
      <c r="K3">
        <v>238464430.38</v>
      </c>
      <c r="L3">
        <v>1400</v>
      </c>
      <c r="M3" s="215" t="s">
        <v>208</v>
      </c>
      <c r="N3">
        <v>2305771</v>
      </c>
    </row>
    <row r="4" spans="1:14" x14ac:dyDescent="0.25">
      <c r="A4" s="215" t="s">
        <v>435</v>
      </c>
      <c r="B4">
        <v>98.72</v>
      </c>
      <c r="C4" s="215" t="s">
        <v>491</v>
      </c>
      <c r="D4">
        <v>4.05</v>
      </c>
      <c r="E4">
        <v>103.32</v>
      </c>
      <c r="F4">
        <v>0.96</v>
      </c>
      <c r="G4">
        <v>708001.15</v>
      </c>
      <c r="H4">
        <v>21.68</v>
      </c>
      <c r="K4">
        <v>347622412.18000001</v>
      </c>
      <c r="L4">
        <v>9854</v>
      </c>
      <c r="M4" s="215" t="s">
        <v>208</v>
      </c>
      <c r="N4">
        <v>3364559</v>
      </c>
    </row>
    <row r="5" spans="1:14" x14ac:dyDescent="0.25">
      <c r="A5" s="215" t="s">
        <v>66</v>
      </c>
      <c r="B5">
        <v>101</v>
      </c>
      <c r="C5" s="215" t="s">
        <v>491</v>
      </c>
      <c r="D5">
        <v>4.5599999999999996</v>
      </c>
      <c r="E5">
        <v>125.51</v>
      </c>
      <c r="F5">
        <v>0.8</v>
      </c>
      <c r="G5">
        <v>865.22</v>
      </c>
      <c r="H5">
        <v>0.63</v>
      </c>
      <c r="I5">
        <v>-11.9</v>
      </c>
      <c r="J5">
        <v>-14.22</v>
      </c>
      <c r="K5">
        <v>58147226.590000004</v>
      </c>
      <c r="L5">
        <v>323</v>
      </c>
      <c r="M5" s="215" t="s">
        <v>208</v>
      </c>
      <c r="N5">
        <v>463277</v>
      </c>
    </row>
    <row r="6" spans="1:14" x14ac:dyDescent="0.25">
      <c r="A6" s="215" t="s">
        <v>360</v>
      </c>
      <c r="B6">
        <v>87.25</v>
      </c>
      <c r="C6" s="215" t="s">
        <v>491</v>
      </c>
      <c r="D6">
        <v>6.03</v>
      </c>
      <c r="E6">
        <v>97.46</v>
      </c>
      <c r="F6">
        <v>0.89</v>
      </c>
      <c r="G6">
        <v>9538.0499999999993</v>
      </c>
      <c r="H6">
        <v>1.73</v>
      </c>
      <c r="K6">
        <v>116953977.51000001</v>
      </c>
      <c r="L6">
        <v>319</v>
      </c>
      <c r="M6" s="215" t="s">
        <v>208</v>
      </c>
      <c r="N6">
        <v>1200000</v>
      </c>
    </row>
    <row r="7" spans="1:14" x14ac:dyDescent="0.25">
      <c r="A7" s="215" t="s">
        <v>98</v>
      </c>
      <c r="B7">
        <v>98.25</v>
      </c>
      <c r="C7" s="215" t="s">
        <v>491</v>
      </c>
      <c r="D7">
        <v>11.82</v>
      </c>
      <c r="E7">
        <v>107.65</v>
      </c>
      <c r="F7">
        <v>0.92</v>
      </c>
      <c r="G7">
        <v>101662.65</v>
      </c>
      <c r="H7">
        <v>4.62</v>
      </c>
      <c r="I7">
        <v>-1.32</v>
      </c>
      <c r="J7">
        <v>-9.9</v>
      </c>
      <c r="K7">
        <v>171161974.52000001</v>
      </c>
      <c r="L7">
        <v>9155</v>
      </c>
      <c r="M7" s="215" t="s">
        <v>206</v>
      </c>
      <c r="N7">
        <v>1590000</v>
      </c>
    </row>
    <row r="8" spans="1:14" x14ac:dyDescent="0.25">
      <c r="A8" s="215" t="s">
        <v>178</v>
      </c>
      <c r="B8">
        <v>46.04</v>
      </c>
      <c r="C8" s="215" t="s">
        <v>491</v>
      </c>
      <c r="D8">
        <v>2.6</v>
      </c>
      <c r="E8">
        <v>72.239999999999995</v>
      </c>
      <c r="F8">
        <v>0.65</v>
      </c>
      <c r="G8">
        <v>72969.119999999995</v>
      </c>
      <c r="H8">
        <v>2.68</v>
      </c>
      <c r="I8">
        <v>-48.65</v>
      </c>
      <c r="J8">
        <v>-19.22</v>
      </c>
      <c r="K8">
        <v>133766169.40000001</v>
      </c>
      <c r="L8">
        <v>10621</v>
      </c>
      <c r="M8" s="215" t="s">
        <v>206</v>
      </c>
      <c r="N8">
        <v>1851786</v>
      </c>
    </row>
    <row r="9" spans="1:14" x14ac:dyDescent="0.25">
      <c r="A9" s="215" t="s">
        <v>196</v>
      </c>
      <c r="B9">
        <v>73.36</v>
      </c>
      <c r="C9" s="215" t="s">
        <v>491</v>
      </c>
      <c r="D9">
        <v>11.9</v>
      </c>
      <c r="E9">
        <v>88.12</v>
      </c>
      <c r="F9">
        <v>0.84</v>
      </c>
      <c r="G9">
        <v>667701.47</v>
      </c>
      <c r="H9">
        <v>1.34</v>
      </c>
      <c r="K9">
        <v>381597067.91000003</v>
      </c>
      <c r="L9">
        <v>21382</v>
      </c>
      <c r="M9" s="215" t="s">
        <v>208</v>
      </c>
      <c r="N9">
        <v>4330214</v>
      </c>
    </row>
    <row r="10" spans="1:14" x14ac:dyDescent="0.25">
      <c r="A10" s="215" t="s">
        <v>120</v>
      </c>
      <c r="B10">
        <v>817.99</v>
      </c>
      <c r="C10" s="215" t="s">
        <v>491</v>
      </c>
      <c r="D10">
        <v>3.94</v>
      </c>
      <c r="E10">
        <v>888.39</v>
      </c>
      <c r="F10">
        <v>0.92</v>
      </c>
      <c r="G10">
        <v>106121.44</v>
      </c>
      <c r="H10">
        <v>0.77</v>
      </c>
      <c r="I10">
        <v>-6.55</v>
      </c>
      <c r="J10">
        <v>-5.12</v>
      </c>
      <c r="K10">
        <v>540984149.53999996</v>
      </c>
      <c r="L10">
        <v>2890</v>
      </c>
      <c r="M10" s="215" t="s">
        <v>206</v>
      </c>
      <c r="N10">
        <v>608950</v>
      </c>
    </row>
    <row r="11" spans="1:14" x14ac:dyDescent="0.25">
      <c r="A11" s="215" t="s">
        <v>106</v>
      </c>
      <c r="B11">
        <v>113.92</v>
      </c>
      <c r="C11" s="215" t="s">
        <v>491</v>
      </c>
      <c r="D11">
        <v>12.31</v>
      </c>
      <c r="E11">
        <v>131.66999999999999</v>
      </c>
      <c r="F11">
        <v>0.87</v>
      </c>
      <c r="G11">
        <v>3189018.85</v>
      </c>
      <c r="H11">
        <v>3.05</v>
      </c>
      <c r="I11">
        <v>9.48</v>
      </c>
      <c r="J11">
        <v>-2.68</v>
      </c>
      <c r="K11">
        <v>1489112733.4100001</v>
      </c>
      <c r="L11">
        <v>80923</v>
      </c>
      <c r="M11" s="215" t="s">
        <v>208</v>
      </c>
      <c r="N11">
        <v>11309571</v>
      </c>
    </row>
    <row r="12" spans="1:14" x14ac:dyDescent="0.25">
      <c r="A12" s="215" t="s">
        <v>231</v>
      </c>
      <c r="B12">
        <v>95.2</v>
      </c>
      <c r="C12" s="215" t="s">
        <v>491</v>
      </c>
      <c r="D12">
        <v>12.83</v>
      </c>
      <c r="E12">
        <v>95.53</v>
      </c>
      <c r="F12">
        <v>0.99</v>
      </c>
      <c r="G12">
        <v>420840.12</v>
      </c>
      <c r="H12">
        <v>1.95</v>
      </c>
      <c r="K12">
        <v>169441239.06</v>
      </c>
      <c r="L12">
        <v>5151</v>
      </c>
      <c r="M12" s="215" t="s">
        <v>208</v>
      </c>
      <c r="N12">
        <v>1773624</v>
      </c>
    </row>
    <row r="13" spans="1:14" x14ac:dyDescent="0.25">
      <c r="A13" s="215" t="s">
        <v>461</v>
      </c>
      <c r="B13">
        <v>76.510000000000005</v>
      </c>
      <c r="C13" s="215" t="s">
        <v>491</v>
      </c>
      <c r="D13">
        <v>0</v>
      </c>
      <c r="E13">
        <v>102.49</v>
      </c>
      <c r="F13">
        <v>0.76</v>
      </c>
      <c r="G13">
        <v>220823.38</v>
      </c>
      <c r="H13">
        <v>8.5500000000000007</v>
      </c>
      <c r="K13">
        <v>214266602.18000001</v>
      </c>
      <c r="L13">
        <v>12835</v>
      </c>
      <c r="M13" s="215" t="s">
        <v>206</v>
      </c>
      <c r="N13">
        <v>2090621</v>
      </c>
    </row>
    <row r="14" spans="1:14" x14ac:dyDescent="0.25">
      <c r="A14" s="215" t="s">
        <v>353</v>
      </c>
      <c r="B14">
        <v>0</v>
      </c>
      <c r="C14" s="215" t="s">
        <v>491</v>
      </c>
      <c r="D14">
        <v>0</v>
      </c>
      <c r="E14">
        <v>100.87</v>
      </c>
      <c r="H14">
        <v>3.49</v>
      </c>
      <c r="K14">
        <v>8025923.9900000002</v>
      </c>
      <c r="L14">
        <v>2</v>
      </c>
      <c r="M14" s="215" t="s">
        <v>206</v>
      </c>
      <c r="N14">
        <v>79565</v>
      </c>
    </row>
    <row r="15" spans="1:14" x14ac:dyDescent="0.25">
      <c r="A15" s="215" t="s">
        <v>193</v>
      </c>
      <c r="B15">
        <v>43.1</v>
      </c>
      <c r="C15" s="215" t="s">
        <v>491</v>
      </c>
      <c r="D15">
        <v>6.55</v>
      </c>
      <c r="E15">
        <v>75.7</v>
      </c>
      <c r="F15">
        <v>0.56999999999999995</v>
      </c>
      <c r="G15">
        <v>977.95</v>
      </c>
      <c r="H15">
        <v>0.15</v>
      </c>
      <c r="I15">
        <v>-14.31</v>
      </c>
      <c r="J15">
        <v>-17.940000000000001</v>
      </c>
      <c r="K15">
        <v>75133612.200000003</v>
      </c>
      <c r="L15">
        <v>208</v>
      </c>
      <c r="M15" s="215" t="s">
        <v>208</v>
      </c>
      <c r="N15">
        <v>992565</v>
      </c>
    </row>
    <row r="16" spans="1:14" x14ac:dyDescent="0.25">
      <c r="A16" s="215" t="s">
        <v>224</v>
      </c>
      <c r="B16">
        <v>0</v>
      </c>
      <c r="C16" s="215" t="s">
        <v>491</v>
      </c>
      <c r="D16">
        <v>0</v>
      </c>
      <c r="E16">
        <v>1394.05</v>
      </c>
      <c r="H16">
        <v>1.37</v>
      </c>
      <c r="I16">
        <v>-9.9</v>
      </c>
      <c r="K16">
        <v>2016750952.6500001</v>
      </c>
      <c r="L16">
        <v>3</v>
      </c>
      <c r="M16" s="215" t="s">
        <v>206</v>
      </c>
      <c r="N16">
        <v>1446687</v>
      </c>
    </row>
    <row r="17" spans="1:14" x14ac:dyDescent="0.25">
      <c r="A17" s="215" t="s">
        <v>161</v>
      </c>
      <c r="B17">
        <v>74.98</v>
      </c>
      <c r="C17" s="215" t="s">
        <v>491</v>
      </c>
      <c r="D17">
        <v>12.24</v>
      </c>
      <c r="E17">
        <v>82.99</v>
      </c>
      <c r="F17">
        <v>0.9</v>
      </c>
      <c r="G17">
        <v>41496.559999999998</v>
      </c>
      <c r="H17">
        <v>6.4</v>
      </c>
      <c r="K17">
        <v>25160753.050000001</v>
      </c>
      <c r="L17">
        <v>3789</v>
      </c>
      <c r="M17" s="215" t="s">
        <v>208</v>
      </c>
      <c r="N17">
        <v>303173</v>
      </c>
    </row>
    <row r="18" spans="1:14" x14ac:dyDescent="0.25">
      <c r="A18" s="215" t="s">
        <v>176</v>
      </c>
      <c r="B18">
        <v>122.49</v>
      </c>
      <c r="C18" s="215" t="s">
        <v>491</v>
      </c>
      <c r="D18">
        <v>10.24</v>
      </c>
      <c r="E18">
        <v>141.52000000000001</v>
      </c>
      <c r="F18">
        <v>0.87</v>
      </c>
      <c r="G18">
        <v>210674.41</v>
      </c>
      <c r="H18">
        <v>2.84</v>
      </c>
      <c r="I18">
        <v>0.03</v>
      </c>
      <c r="J18">
        <v>-8.33</v>
      </c>
      <c r="K18">
        <v>286090469.38</v>
      </c>
      <c r="L18">
        <v>12307</v>
      </c>
      <c r="M18" s="215" t="s">
        <v>208</v>
      </c>
      <c r="N18">
        <v>2021621</v>
      </c>
    </row>
    <row r="19" spans="1:14" x14ac:dyDescent="0.25">
      <c r="A19" s="215" t="s">
        <v>245</v>
      </c>
      <c r="B19">
        <v>13.2</v>
      </c>
      <c r="C19" s="215" t="s">
        <v>491</v>
      </c>
      <c r="D19">
        <v>10.49</v>
      </c>
      <c r="E19">
        <v>7.15</v>
      </c>
      <c r="F19">
        <v>1.96</v>
      </c>
      <c r="G19">
        <v>6235.26</v>
      </c>
      <c r="H19">
        <v>8.6999999999999993</v>
      </c>
      <c r="K19">
        <v>51109817.07</v>
      </c>
      <c r="L19">
        <v>573</v>
      </c>
      <c r="M19" s="215" t="s">
        <v>208</v>
      </c>
      <c r="N19">
        <v>7147934</v>
      </c>
    </row>
    <row r="20" spans="1:14" x14ac:dyDescent="0.25">
      <c r="A20" s="215" t="s">
        <v>305</v>
      </c>
      <c r="B20">
        <v>96</v>
      </c>
      <c r="C20" s="215" t="s">
        <v>491</v>
      </c>
      <c r="D20">
        <v>10.69</v>
      </c>
      <c r="E20">
        <v>91.95</v>
      </c>
      <c r="F20">
        <v>1.05</v>
      </c>
      <c r="G20">
        <v>10406.67</v>
      </c>
      <c r="H20">
        <v>4.6900000000000004</v>
      </c>
      <c r="K20">
        <v>428204347.48000002</v>
      </c>
      <c r="L20">
        <v>390</v>
      </c>
      <c r="M20" s="215" t="s">
        <v>208</v>
      </c>
      <c r="N20">
        <v>4656688</v>
      </c>
    </row>
    <row r="21" spans="1:14" x14ac:dyDescent="0.25">
      <c r="A21" s="215" t="s">
        <v>84</v>
      </c>
      <c r="B21">
        <v>138.5</v>
      </c>
      <c r="C21" s="215" t="s">
        <v>491</v>
      </c>
      <c r="D21">
        <v>33.21</v>
      </c>
      <c r="E21">
        <v>9.5399999999999991</v>
      </c>
      <c r="F21">
        <v>14.52</v>
      </c>
      <c r="G21">
        <v>53642.5</v>
      </c>
      <c r="H21">
        <v>140.47</v>
      </c>
      <c r="I21">
        <v>90.73</v>
      </c>
      <c r="J21">
        <v>3.76</v>
      </c>
      <c r="K21">
        <v>14050683.35</v>
      </c>
      <c r="L21">
        <v>2084</v>
      </c>
      <c r="M21" s="215" t="s">
        <v>206</v>
      </c>
      <c r="N21">
        <v>1472728</v>
      </c>
    </row>
    <row r="22" spans="1:14" x14ac:dyDescent="0.25">
      <c r="A22" s="215" t="s">
        <v>451</v>
      </c>
      <c r="B22">
        <v>10.01</v>
      </c>
      <c r="C22" s="215" t="s">
        <v>491</v>
      </c>
      <c r="D22">
        <v>7.49</v>
      </c>
      <c r="E22">
        <v>10.23</v>
      </c>
      <c r="F22">
        <v>0.98</v>
      </c>
      <c r="G22">
        <v>422407.71</v>
      </c>
      <c r="H22">
        <v>1.38</v>
      </c>
      <c r="K22">
        <v>84959465.620000005</v>
      </c>
      <c r="L22">
        <v>3436</v>
      </c>
      <c r="M22" s="215" t="s">
        <v>208</v>
      </c>
      <c r="N22">
        <v>0</v>
      </c>
    </row>
    <row r="23" spans="1:14" x14ac:dyDescent="0.25">
      <c r="A23" s="215" t="s">
        <v>333</v>
      </c>
      <c r="B23">
        <v>0</v>
      </c>
      <c r="C23" s="215" t="s">
        <v>491</v>
      </c>
      <c r="D23">
        <v>0</v>
      </c>
      <c r="E23">
        <v>133.22999999999999</v>
      </c>
      <c r="H23">
        <v>0.68</v>
      </c>
      <c r="K23">
        <v>103256976.12</v>
      </c>
      <c r="L23">
        <v>52</v>
      </c>
      <c r="M23" s="215" t="s">
        <v>208</v>
      </c>
      <c r="N23">
        <v>775015</v>
      </c>
    </row>
    <row r="24" spans="1:14" x14ac:dyDescent="0.25">
      <c r="A24" s="215" t="s">
        <v>265</v>
      </c>
      <c r="B24">
        <v>86.8</v>
      </c>
      <c r="C24" s="215" t="s">
        <v>491</v>
      </c>
      <c r="D24">
        <v>0</v>
      </c>
      <c r="E24">
        <v>80.03</v>
      </c>
      <c r="F24">
        <v>1.08</v>
      </c>
      <c r="H24">
        <v>3.36</v>
      </c>
      <c r="K24">
        <v>147391667.72999999</v>
      </c>
      <c r="L24">
        <v>11</v>
      </c>
      <c r="M24" s="215" t="s">
        <v>256</v>
      </c>
      <c r="N24">
        <v>1841677</v>
      </c>
    </row>
    <row r="25" spans="1:14" x14ac:dyDescent="0.25">
      <c r="A25" s="215" t="s">
        <v>42</v>
      </c>
      <c r="B25">
        <v>118.85</v>
      </c>
      <c r="C25" s="215" t="s">
        <v>491</v>
      </c>
      <c r="D25">
        <v>5.09</v>
      </c>
      <c r="E25">
        <v>198.16</v>
      </c>
      <c r="F25">
        <v>0.62</v>
      </c>
      <c r="G25">
        <v>165081.21</v>
      </c>
      <c r="H25">
        <v>1.62</v>
      </c>
      <c r="I25">
        <v>-19.149999999999999</v>
      </c>
      <c r="J25">
        <v>-13.75</v>
      </c>
      <c r="K25">
        <v>554879108.66999996</v>
      </c>
      <c r="L25">
        <v>4511</v>
      </c>
      <c r="M25" s="215" t="s">
        <v>206</v>
      </c>
      <c r="N25">
        <v>2800149</v>
      </c>
    </row>
    <row r="26" spans="1:14" x14ac:dyDescent="0.25">
      <c r="A26" s="215" t="s">
        <v>39</v>
      </c>
      <c r="B26">
        <v>96.84</v>
      </c>
      <c r="C26" s="215" t="s">
        <v>491</v>
      </c>
      <c r="D26">
        <v>7.61</v>
      </c>
      <c r="E26">
        <v>109.87</v>
      </c>
      <c r="F26">
        <v>0.89</v>
      </c>
      <c r="G26">
        <v>4241966.9400000004</v>
      </c>
      <c r="H26">
        <v>3.65</v>
      </c>
      <c r="I26">
        <v>-1.01</v>
      </c>
      <c r="J26">
        <v>-1.1499999999999999</v>
      </c>
      <c r="K26">
        <v>2977539295.4400001</v>
      </c>
      <c r="L26">
        <v>278468</v>
      </c>
      <c r="M26" s="215" t="s">
        <v>208</v>
      </c>
      <c r="N26">
        <v>27101061</v>
      </c>
    </row>
    <row r="27" spans="1:14" x14ac:dyDescent="0.25">
      <c r="A27" s="215" t="s">
        <v>194</v>
      </c>
      <c r="B27">
        <v>85.13</v>
      </c>
      <c r="C27" s="215" t="s">
        <v>491</v>
      </c>
      <c r="D27">
        <v>8.82</v>
      </c>
      <c r="E27">
        <v>109.77</v>
      </c>
      <c r="F27">
        <v>0.78</v>
      </c>
      <c r="G27">
        <v>556929.91</v>
      </c>
      <c r="H27">
        <v>5.51</v>
      </c>
      <c r="I27">
        <v>-4.0199999999999996</v>
      </c>
      <c r="J27">
        <v>-10.36</v>
      </c>
      <c r="K27">
        <v>784874389.67999995</v>
      </c>
      <c r="L27">
        <v>51617</v>
      </c>
      <c r="M27" s="215" t="s">
        <v>208</v>
      </c>
      <c r="N27">
        <v>7150402</v>
      </c>
    </row>
    <row r="28" spans="1:14" x14ac:dyDescent="0.25">
      <c r="A28" s="215" t="s">
        <v>184</v>
      </c>
      <c r="B28">
        <v>604</v>
      </c>
      <c r="C28" s="215" t="s">
        <v>491</v>
      </c>
      <c r="D28">
        <v>8.17</v>
      </c>
      <c r="E28">
        <v>672.63</v>
      </c>
      <c r="F28">
        <v>0.9</v>
      </c>
      <c r="G28">
        <v>15883.43</v>
      </c>
      <c r="H28">
        <v>38.29</v>
      </c>
      <c r="I28">
        <v>-5.93</v>
      </c>
      <c r="J28">
        <v>-14.37</v>
      </c>
      <c r="K28">
        <v>72295428.040000007</v>
      </c>
      <c r="L28">
        <v>926</v>
      </c>
      <c r="M28" s="215" t="s">
        <v>208</v>
      </c>
      <c r="N28">
        <v>107481</v>
      </c>
    </row>
    <row r="29" spans="1:14" x14ac:dyDescent="0.25">
      <c r="A29" s="215" t="s">
        <v>57</v>
      </c>
      <c r="B29">
        <v>106.24</v>
      </c>
      <c r="C29" s="215" t="s">
        <v>491</v>
      </c>
      <c r="D29">
        <v>12.36</v>
      </c>
      <c r="E29">
        <v>113.67</v>
      </c>
      <c r="F29">
        <v>0.94</v>
      </c>
      <c r="G29">
        <v>449072.76</v>
      </c>
      <c r="H29">
        <v>20.03</v>
      </c>
      <c r="I29">
        <v>0.54</v>
      </c>
      <c r="J29">
        <v>-0.65</v>
      </c>
      <c r="K29">
        <v>471387789.38</v>
      </c>
      <c r="L29">
        <v>29509</v>
      </c>
      <c r="M29" s="215" t="s">
        <v>208</v>
      </c>
      <c r="N29">
        <v>4146900</v>
      </c>
    </row>
    <row r="30" spans="1:14" x14ac:dyDescent="0.25">
      <c r="A30" s="215" t="s">
        <v>438</v>
      </c>
      <c r="B30">
        <v>102.99</v>
      </c>
      <c r="C30" s="215" t="s">
        <v>491</v>
      </c>
      <c r="D30">
        <v>5.56</v>
      </c>
      <c r="E30">
        <v>99.21</v>
      </c>
      <c r="F30">
        <v>1.04</v>
      </c>
      <c r="G30">
        <v>1790341</v>
      </c>
      <c r="H30">
        <v>1.2</v>
      </c>
      <c r="K30">
        <v>159458258.28</v>
      </c>
      <c r="L30">
        <v>12646</v>
      </c>
      <c r="M30" s="215" t="s">
        <v>208</v>
      </c>
      <c r="N30">
        <v>1607227</v>
      </c>
    </row>
    <row r="31" spans="1:14" x14ac:dyDescent="0.25">
      <c r="A31" s="215" t="s">
        <v>174</v>
      </c>
      <c r="B31">
        <v>19</v>
      </c>
      <c r="C31" s="215" t="s">
        <v>491</v>
      </c>
      <c r="D31">
        <v>0</v>
      </c>
      <c r="E31">
        <v>0</v>
      </c>
      <c r="I31">
        <v>-15.04</v>
      </c>
      <c r="J31">
        <v>-54.52</v>
      </c>
      <c r="K31">
        <v>0</v>
      </c>
      <c r="L31">
        <v>462</v>
      </c>
      <c r="M31" s="215" t="s">
        <v>208</v>
      </c>
      <c r="N31">
        <v>53100</v>
      </c>
    </row>
    <row r="32" spans="1:14" x14ac:dyDescent="0.25">
      <c r="A32" s="215" t="s">
        <v>323</v>
      </c>
      <c r="B32">
        <v>99.35</v>
      </c>
      <c r="C32" s="215" t="s">
        <v>491</v>
      </c>
      <c r="D32">
        <v>16</v>
      </c>
      <c r="E32">
        <v>100.37</v>
      </c>
      <c r="F32">
        <v>0.99</v>
      </c>
      <c r="G32">
        <v>388759.38</v>
      </c>
      <c r="H32">
        <v>3.81</v>
      </c>
      <c r="K32">
        <v>50185828.630000003</v>
      </c>
      <c r="L32">
        <v>842</v>
      </c>
      <c r="M32" s="215" t="s">
        <v>208</v>
      </c>
      <c r="N32">
        <v>500000</v>
      </c>
    </row>
    <row r="33" spans="1:14" x14ac:dyDescent="0.25">
      <c r="A33" s="215" t="s">
        <v>87</v>
      </c>
      <c r="B33">
        <v>94.75</v>
      </c>
      <c r="C33" s="215" t="s">
        <v>491</v>
      </c>
      <c r="D33">
        <v>5.85</v>
      </c>
      <c r="E33">
        <v>103.45</v>
      </c>
      <c r="F33">
        <v>0.92</v>
      </c>
      <c r="G33">
        <v>188962.68</v>
      </c>
      <c r="H33">
        <v>1.29</v>
      </c>
      <c r="I33">
        <v>1.24</v>
      </c>
      <c r="J33">
        <v>-0.31</v>
      </c>
      <c r="K33">
        <v>184635743.43000001</v>
      </c>
      <c r="L33">
        <v>4054</v>
      </c>
      <c r="M33" s="215" t="s">
        <v>206</v>
      </c>
      <c r="N33">
        <v>1784828</v>
      </c>
    </row>
    <row r="34" spans="1:14" x14ac:dyDescent="0.25">
      <c r="A34" s="215" t="s">
        <v>264</v>
      </c>
      <c r="B34">
        <v>21.39</v>
      </c>
      <c r="C34" s="215" t="s">
        <v>491</v>
      </c>
      <c r="D34">
        <v>44.45</v>
      </c>
      <c r="E34">
        <v>1187.3499999999999</v>
      </c>
      <c r="F34">
        <v>0.02</v>
      </c>
      <c r="H34">
        <v>2.6</v>
      </c>
      <c r="K34">
        <v>73945727.010000005</v>
      </c>
      <c r="L34">
        <v>51</v>
      </c>
      <c r="M34" s="215" t="s">
        <v>208</v>
      </c>
      <c r="N34">
        <v>62278</v>
      </c>
    </row>
    <row r="35" spans="1:14" x14ac:dyDescent="0.25">
      <c r="A35" s="215" t="s">
        <v>159</v>
      </c>
      <c r="B35">
        <v>81.3</v>
      </c>
      <c r="C35" s="215" t="s">
        <v>491</v>
      </c>
      <c r="D35">
        <v>10.029999999999999</v>
      </c>
      <c r="E35">
        <v>120.19</v>
      </c>
      <c r="F35">
        <v>0.68</v>
      </c>
      <c r="G35">
        <v>108483.26</v>
      </c>
      <c r="H35">
        <v>0.78</v>
      </c>
      <c r="I35">
        <v>-11.02</v>
      </c>
      <c r="J35">
        <v>-8.7100000000000009</v>
      </c>
      <c r="K35">
        <v>135294023.31999999</v>
      </c>
      <c r="L35">
        <v>4266</v>
      </c>
      <c r="M35" s="215" t="s">
        <v>206</v>
      </c>
      <c r="N35">
        <v>1125655</v>
      </c>
    </row>
    <row r="36" spans="1:14" x14ac:dyDescent="0.25">
      <c r="A36" s="215" t="s">
        <v>303</v>
      </c>
      <c r="B36">
        <v>89.26</v>
      </c>
      <c r="C36" s="215" t="s">
        <v>491</v>
      </c>
      <c r="D36">
        <v>8.15</v>
      </c>
      <c r="E36">
        <v>109.26</v>
      </c>
      <c r="F36">
        <v>0.81</v>
      </c>
      <c r="G36">
        <v>60942.32</v>
      </c>
      <c r="H36">
        <v>2.75</v>
      </c>
      <c r="I36">
        <v>15.5</v>
      </c>
      <c r="J36">
        <v>4.2699999999999996</v>
      </c>
      <c r="K36">
        <v>109089410.72</v>
      </c>
      <c r="L36">
        <v>1504</v>
      </c>
      <c r="M36" s="215" t="s">
        <v>208</v>
      </c>
      <c r="N36">
        <v>998405</v>
      </c>
    </row>
    <row r="37" spans="1:14" x14ac:dyDescent="0.25">
      <c r="A37" s="215" t="s">
        <v>14</v>
      </c>
      <c r="B37">
        <v>102.2</v>
      </c>
      <c r="C37" s="215" t="s">
        <v>491</v>
      </c>
      <c r="D37">
        <v>14.41</v>
      </c>
      <c r="E37">
        <v>97.67</v>
      </c>
      <c r="F37">
        <v>1.04</v>
      </c>
      <c r="G37">
        <v>11267403.380000001</v>
      </c>
      <c r="H37">
        <v>6.71</v>
      </c>
      <c r="I37">
        <v>19.87</v>
      </c>
      <c r="J37">
        <v>-2.4700000000000002</v>
      </c>
      <c r="K37">
        <v>6947622050.6700001</v>
      </c>
      <c r="L37">
        <v>64079</v>
      </c>
      <c r="M37" s="215" t="s">
        <v>208</v>
      </c>
      <c r="N37">
        <v>71134764</v>
      </c>
    </row>
    <row r="38" spans="1:14" x14ac:dyDescent="0.25">
      <c r="A38" s="215" t="s">
        <v>317</v>
      </c>
      <c r="B38">
        <v>97.1</v>
      </c>
      <c r="C38" s="215" t="s">
        <v>491</v>
      </c>
      <c r="D38">
        <v>10.38</v>
      </c>
      <c r="E38">
        <v>99.58</v>
      </c>
      <c r="F38">
        <v>0.98</v>
      </c>
      <c r="G38">
        <v>422071.09</v>
      </c>
      <c r="H38">
        <v>0.02</v>
      </c>
      <c r="K38">
        <v>558924528.85000002</v>
      </c>
      <c r="L38">
        <v>6245</v>
      </c>
      <c r="M38" s="215" t="s">
        <v>208</v>
      </c>
      <c r="N38">
        <v>5613031</v>
      </c>
    </row>
    <row r="39" spans="1:14" x14ac:dyDescent="0.25">
      <c r="A39" s="215" t="s">
        <v>324</v>
      </c>
      <c r="B39">
        <v>78.650000000000006</v>
      </c>
      <c r="C39" s="215" t="s">
        <v>491</v>
      </c>
      <c r="D39">
        <v>8.25</v>
      </c>
      <c r="E39">
        <v>96.17</v>
      </c>
      <c r="F39">
        <v>0.83</v>
      </c>
      <c r="G39">
        <v>184483.76</v>
      </c>
      <c r="H39">
        <v>1.1299999999999999</v>
      </c>
      <c r="K39">
        <v>377409172.94999999</v>
      </c>
      <c r="L39">
        <v>13139</v>
      </c>
      <c r="M39" s="215" t="s">
        <v>208</v>
      </c>
      <c r="N39">
        <v>3924500</v>
      </c>
    </row>
    <row r="40" spans="1:14" x14ac:dyDescent="0.25">
      <c r="A40" s="215" t="s">
        <v>59</v>
      </c>
      <c r="B40">
        <v>2140</v>
      </c>
      <c r="C40" s="215" t="s">
        <v>491</v>
      </c>
      <c r="D40">
        <v>15.39</v>
      </c>
      <c r="E40">
        <v>2848.33</v>
      </c>
      <c r="F40">
        <v>0.76</v>
      </c>
      <c r="G40">
        <v>421366.59</v>
      </c>
      <c r="H40">
        <v>7.63</v>
      </c>
      <c r="I40">
        <v>3.3</v>
      </c>
      <c r="J40">
        <v>-1.93</v>
      </c>
      <c r="K40">
        <v>370283007.23000002</v>
      </c>
      <c r="L40">
        <v>8903</v>
      </c>
      <c r="M40" s="215" t="s">
        <v>206</v>
      </c>
      <c r="N40">
        <v>130000</v>
      </c>
    </row>
    <row r="41" spans="1:14" x14ac:dyDescent="0.25">
      <c r="A41" s="215" t="s">
        <v>369</v>
      </c>
      <c r="B41">
        <v>1002</v>
      </c>
      <c r="C41" s="215" t="s">
        <v>491</v>
      </c>
      <c r="D41">
        <v>0</v>
      </c>
      <c r="E41">
        <v>996.62</v>
      </c>
      <c r="F41">
        <v>1.01</v>
      </c>
      <c r="G41">
        <v>10600.8</v>
      </c>
      <c r="H41">
        <v>17.73</v>
      </c>
      <c r="K41">
        <v>77233058.840000004</v>
      </c>
      <c r="L41">
        <v>66</v>
      </c>
      <c r="M41" s="215" t="s">
        <v>208</v>
      </c>
      <c r="N41">
        <v>77495</v>
      </c>
    </row>
    <row r="42" spans="1:14" x14ac:dyDescent="0.25">
      <c r="A42" s="215" t="s">
        <v>310</v>
      </c>
      <c r="B42">
        <v>101.56</v>
      </c>
      <c r="C42" s="215" t="s">
        <v>491</v>
      </c>
      <c r="D42">
        <v>15.6</v>
      </c>
      <c r="E42">
        <v>97.01</v>
      </c>
      <c r="F42">
        <v>1.05</v>
      </c>
      <c r="G42">
        <v>6402875.2400000002</v>
      </c>
      <c r="H42">
        <v>5.28</v>
      </c>
      <c r="K42">
        <v>1348941632.3299999</v>
      </c>
      <c r="L42">
        <v>83740</v>
      </c>
      <c r="M42" s="215" t="s">
        <v>208</v>
      </c>
      <c r="N42">
        <v>13905815</v>
      </c>
    </row>
    <row r="43" spans="1:14" x14ac:dyDescent="0.25">
      <c r="A43" s="215" t="s">
        <v>494</v>
      </c>
      <c r="B43">
        <v>0</v>
      </c>
      <c r="C43" s="215" t="s">
        <v>491</v>
      </c>
      <c r="D43">
        <v>0</v>
      </c>
      <c r="E43">
        <v>100.59</v>
      </c>
      <c r="H43">
        <v>47.28</v>
      </c>
      <c r="K43">
        <v>9053375.8599999994</v>
      </c>
      <c r="L43">
        <v>3</v>
      </c>
      <c r="M43" s="215" t="s">
        <v>208</v>
      </c>
      <c r="N43">
        <v>90000</v>
      </c>
    </row>
    <row r="44" spans="1:14" x14ac:dyDescent="0.25">
      <c r="A44" s="215" t="s">
        <v>127</v>
      </c>
      <c r="B44">
        <v>107.98</v>
      </c>
      <c r="C44" s="215" t="s">
        <v>491</v>
      </c>
      <c r="D44">
        <v>13.85</v>
      </c>
      <c r="E44">
        <v>99.96</v>
      </c>
      <c r="F44">
        <v>1.08</v>
      </c>
      <c r="G44">
        <v>1526549.38</v>
      </c>
      <c r="H44">
        <v>4.59</v>
      </c>
      <c r="K44">
        <v>287765894.45999998</v>
      </c>
      <c r="L44">
        <v>10203</v>
      </c>
      <c r="M44" s="215" t="s">
        <v>208</v>
      </c>
      <c r="N44">
        <v>43410</v>
      </c>
    </row>
    <row r="45" spans="1:14" x14ac:dyDescent="0.25">
      <c r="A45" s="215" t="s">
        <v>54</v>
      </c>
      <c r="B45">
        <v>80.58</v>
      </c>
      <c r="C45" s="215" t="s">
        <v>491</v>
      </c>
      <c r="D45">
        <v>0</v>
      </c>
      <c r="E45">
        <v>128.49</v>
      </c>
      <c r="F45">
        <v>0.63</v>
      </c>
      <c r="G45">
        <v>106243.59</v>
      </c>
      <c r="H45">
        <v>1.17</v>
      </c>
      <c r="I45">
        <v>8.6</v>
      </c>
      <c r="J45">
        <v>-18.87</v>
      </c>
      <c r="K45">
        <v>161517402.88</v>
      </c>
      <c r="L45">
        <v>23804</v>
      </c>
      <c r="M45" s="215" t="s">
        <v>208</v>
      </c>
      <c r="N45">
        <v>1257022</v>
      </c>
    </row>
    <row r="46" spans="1:14" x14ac:dyDescent="0.25">
      <c r="A46" s="215" t="s">
        <v>258</v>
      </c>
      <c r="B46">
        <v>100</v>
      </c>
      <c r="C46" s="215" t="s">
        <v>491</v>
      </c>
      <c r="D46">
        <v>2.83</v>
      </c>
      <c r="E46">
        <v>95.86</v>
      </c>
      <c r="F46">
        <v>1.04</v>
      </c>
      <c r="G46">
        <v>1046.75</v>
      </c>
      <c r="H46">
        <v>17.72</v>
      </c>
      <c r="K46">
        <v>30981067.969999999</v>
      </c>
      <c r="L46">
        <v>78</v>
      </c>
      <c r="M46" s="215" t="s">
        <v>208</v>
      </c>
      <c r="N46">
        <v>323200</v>
      </c>
    </row>
    <row r="47" spans="1:14" x14ac:dyDescent="0.25">
      <c r="A47" s="215" t="s">
        <v>351</v>
      </c>
      <c r="B47">
        <v>107.5</v>
      </c>
      <c r="C47" s="215" t="s">
        <v>491</v>
      </c>
      <c r="D47">
        <v>8.4</v>
      </c>
      <c r="E47">
        <v>108.02</v>
      </c>
      <c r="F47">
        <v>1</v>
      </c>
      <c r="G47">
        <v>391313.82</v>
      </c>
      <c r="H47">
        <v>8.7899999999999991</v>
      </c>
      <c r="K47">
        <v>30024831.539999999</v>
      </c>
      <c r="L47">
        <v>254</v>
      </c>
      <c r="M47" s="215" t="s">
        <v>208</v>
      </c>
      <c r="N47">
        <v>277951</v>
      </c>
    </row>
    <row r="48" spans="1:14" x14ac:dyDescent="0.25">
      <c r="A48" s="215" t="s">
        <v>21</v>
      </c>
      <c r="B48">
        <v>109.74</v>
      </c>
      <c r="C48" s="215" t="s">
        <v>491</v>
      </c>
      <c r="D48">
        <v>13.4</v>
      </c>
      <c r="E48">
        <v>106.62</v>
      </c>
      <c r="F48">
        <v>1.03</v>
      </c>
      <c r="G48">
        <v>1061524.6200000001</v>
      </c>
      <c r="H48">
        <v>5.37</v>
      </c>
      <c r="I48">
        <v>13.5</v>
      </c>
      <c r="J48">
        <v>-1.38</v>
      </c>
      <c r="K48">
        <v>667242431.60000002</v>
      </c>
      <c r="L48">
        <v>45575</v>
      </c>
      <c r="M48" s="215" t="s">
        <v>208</v>
      </c>
      <c r="N48">
        <v>6257873</v>
      </c>
    </row>
    <row r="49" spans="1:14" x14ac:dyDescent="0.25">
      <c r="A49" s="215" t="s">
        <v>345</v>
      </c>
      <c r="B49">
        <v>114.15</v>
      </c>
      <c r="C49" s="215" t="s">
        <v>491</v>
      </c>
      <c r="D49">
        <v>0</v>
      </c>
      <c r="E49">
        <v>108.16</v>
      </c>
      <c r="F49">
        <v>1.06</v>
      </c>
      <c r="G49">
        <v>500.33</v>
      </c>
      <c r="H49">
        <v>1.4</v>
      </c>
      <c r="K49">
        <v>89900270.489999995</v>
      </c>
      <c r="L49">
        <v>125</v>
      </c>
      <c r="M49" s="215" t="s">
        <v>208</v>
      </c>
      <c r="N49">
        <v>831197</v>
      </c>
    </row>
    <row r="50" spans="1:14" x14ac:dyDescent="0.25">
      <c r="A50" s="215" t="s">
        <v>11</v>
      </c>
      <c r="B50">
        <v>9.36</v>
      </c>
      <c r="C50" s="215" t="s">
        <v>491</v>
      </c>
      <c r="D50">
        <v>11.87</v>
      </c>
      <c r="E50">
        <v>13.48</v>
      </c>
      <c r="F50">
        <v>0.7</v>
      </c>
      <c r="G50">
        <v>743061.03</v>
      </c>
      <c r="H50">
        <v>0.81</v>
      </c>
      <c r="K50">
        <v>472438792.00999999</v>
      </c>
      <c r="L50">
        <v>100183</v>
      </c>
      <c r="M50" s="215" t="s">
        <v>208</v>
      </c>
      <c r="N50">
        <v>35051354</v>
      </c>
    </row>
    <row r="51" spans="1:14" x14ac:dyDescent="0.25">
      <c r="A51" s="215" t="s">
        <v>170</v>
      </c>
      <c r="B51">
        <v>87.09</v>
      </c>
      <c r="C51" s="215" t="s">
        <v>491</v>
      </c>
      <c r="D51">
        <v>12.52</v>
      </c>
      <c r="E51">
        <v>91.58</v>
      </c>
      <c r="F51">
        <v>0.95</v>
      </c>
      <c r="G51">
        <v>436080.76</v>
      </c>
      <c r="H51">
        <v>15.17</v>
      </c>
      <c r="K51">
        <v>193164792.78</v>
      </c>
      <c r="L51">
        <v>9740</v>
      </c>
      <c r="M51" s="215" t="s">
        <v>208</v>
      </c>
      <c r="N51">
        <v>2109169</v>
      </c>
    </row>
    <row r="52" spans="1:14" x14ac:dyDescent="0.25">
      <c r="A52" s="215" t="s">
        <v>53</v>
      </c>
      <c r="B52">
        <v>11.7</v>
      </c>
      <c r="C52" s="215" t="s">
        <v>491</v>
      </c>
      <c r="D52">
        <v>7.62</v>
      </c>
      <c r="E52">
        <v>12.7</v>
      </c>
      <c r="F52">
        <v>0.92</v>
      </c>
      <c r="G52">
        <v>2386.56</v>
      </c>
      <c r="H52">
        <v>1.04</v>
      </c>
      <c r="I52">
        <v>5.24</v>
      </c>
      <c r="J52">
        <v>-26.28</v>
      </c>
      <c r="K52">
        <v>526887304.45999998</v>
      </c>
      <c r="L52">
        <v>2455</v>
      </c>
      <c r="M52" s="215" t="s">
        <v>208</v>
      </c>
      <c r="N52">
        <v>41494533</v>
      </c>
    </row>
    <row r="53" spans="1:14" x14ac:dyDescent="0.25">
      <c r="A53" s="215" t="s">
        <v>94</v>
      </c>
      <c r="B53">
        <v>80.5</v>
      </c>
      <c r="C53" s="215" t="s">
        <v>491</v>
      </c>
      <c r="D53">
        <v>8.25</v>
      </c>
      <c r="E53">
        <v>102.05</v>
      </c>
      <c r="F53">
        <v>0.79</v>
      </c>
      <c r="G53">
        <v>82254.179999999993</v>
      </c>
      <c r="H53">
        <v>0.74</v>
      </c>
      <c r="K53">
        <v>278887088.13</v>
      </c>
      <c r="L53">
        <v>9904</v>
      </c>
      <c r="M53" s="215" t="s">
        <v>208</v>
      </c>
      <c r="N53">
        <v>2732860</v>
      </c>
    </row>
    <row r="54" spans="1:14" x14ac:dyDescent="0.25">
      <c r="A54" s="215" t="s">
        <v>26</v>
      </c>
      <c r="B54">
        <v>101.34</v>
      </c>
      <c r="C54" s="215" t="s">
        <v>491</v>
      </c>
      <c r="D54">
        <v>10.050000000000001</v>
      </c>
      <c r="E54">
        <v>98.73</v>
      </c>
      <c r="F54">
        <v>1.04</v>
      </c>
      <c r="G54">
        <v>3574618.03</v>
      </c>
      <c r="H54">
        <v>2.21</v>
      </c>
      <c r="I54">
        <v>13.43</v>
      </c>
      <c r="J54">
        <v>-1.21</v>
      </c>
      <c r="K54">
        <v>1023024300.27</v>
      </c>
      <c r="L54">
        <v>88521</v>
      </c>
      <c r="M54" s="215" t="s">
        <v>208</v>
      </c>
      <c r="N54">
        <v>10362300</v>
      </c>
    </row>
    <row r="55" spans="1:14" x14ac:dyDescent="0.25">
      <c r="A55" s="215" t="s">
        <v>355</v>
      </c>
      <c r="B55">
        <v>99.9</v>
      </c>
      <c r="C55" s="215" t="s">
        <v>491</v>
      </c>
      <c r="D55">
        <v>6.57</v>
      </c>
      <c r="E55">
        <v>100.18</v>
      </c>
      <c r="F55">
        <v>0.99</v>
      </c>
      <c r="G55">
        <v>13336.81</v>
      </c>
      <c r="H55">
        <v>5.93</v>
      </c>
      <c r="K55">
        <v>157469483.91</v>
      </c>
      <c r="L55">
        <v>59</v>
      </c>
      <c r="M55" s="215" t="s">
        <v>208</v>
      </c>
      <c r="N55">
        <v>1571900</v>
      </c>
    </row>
    <row r="56" spans="1:14" x14ac:dyDescent="0.25">
      <c r="A56" s="215" t="s">
        <v>493</v>
      </c>
      <c r="B56">
        <v>71</v>
      </c>
      <c r="C56" s="215" t="s">
        <v>491</v>
      </c>
      <c r="D56">
        <v>6.91</v>
      </c>
      <c r="E56">
        <v>80.44</v>
      </c>
      <c r="F56">
        <v>0.89</v>
      </c>
      <c r="G56">
        <v>29382.15</v>
      </c>
      <c r="H56">
        <v>0.81</v>
      </c>
      <c r="K56">
        <v>72433178.980000004</v>
      </c>
      <c r="L56">
        <v>5493</v>
      </c>
      <c r="M56" s="215" t="s">
        <v>206</v>
      </c>
      <c r="N56">
        <v>900494</v>
      </c>
    </row>
    <row r="57" spans="1:14" x14ac:dyDescent="0.25">
      <c r="A57" s="215" t="s">
        <v>496</v>
      </c>
      <c r="B57">
        <v>82.08</v>
      </c>
      <c r="C57" s="215" t="s">
        <v>491</v>
      </c>
      <c r="D57">
        <v>11.36</v>
      </c>
      <c r="E57">
        <v>88.9</v>
      </c>
      <c r="F57">
        <v>0.92</v>
      </c>
      <c r="G57">
        <v>52291.03</v>
      </c>
      <c r="H57">
        <v>1.19</v>
      </c>
      <c r="K57">
        <v>66511511.829999998</v>
      </c>
      <c r="L57">
        <v>2303</v>
      </c>
      <c r="M57" s="215" t="s">
        <v>206</v>
      </c>
      <c r="N57">
        <v>748151</v>
      </c>
    </row>
    <row r="58" spans="1:14" x14ac:dyDescent="0.25">
      <c r="A58" s="215" t="s">
        <v>85</v>
      </c>
      <c r="B58">
        <v>108.84</v>
      </c>
      <c r="C58" s="215" t="s">
        <v>491</v>
      </c>
      <c r="D58">
        <v>4.51</v>
      </c>
      <c r="E58">
        <v>202.43</v>
      </c>
      <c r="F58">
        <v>0.53</v>
      </c>
      <c r="G58">
        <v>17390.650000000001</v>
      </c>
      <c r="H58">
        <v>0.65</v>
      </c>
      <c r="I58">
        <v>-18.920000000000002</v>
      </c>
      <c r="J58">
        <v>-18.27</v>
      </c>
      <c r="K58">
        <v>796690441.59000003</v>
      </c>
      <c r="L58">
        <v>818</v>
      </c>
      <c r="M58" s="215" t="s">
        <v>206</v>
      </c>
      <c r="N58">
        <v>3935562</v>
      </c>
    </row>
    <row r="59" spans="1:14" x14ac:dyDescent="0.25">
      <c r="A59" s="215" t="s">
        <v>261</v>
      </c>
      <c r="B59">
        <v>385.03</v>
      </c>
      <c r="C59" s="215" t="s">
        <v>491</v>
      </c>
      <c r="D59">
        <v>0</v>
      </c>
      <c r="E59">
        <v>867.04</v>
      </c>
      <c r="F59">
        <v>0.44</v>
      </c>
      <c r="G59">
        <v>641.83000000000004</v>
      </c>
      <c r="H59">
        <v>2.04</v>
      </c>
      <c r="J59">
        <v>-2.4700000000000002</v>
      </c>
      <c r="K59">
        <v>93758734.489999995</v>
      </c>
      <c r="L59">
        <v>37</v>
      </c>
      <c r="M59" s="215" t="s">
        <v>208</v>
      </c>
      <c r="N59">
        <v>108136</v>
      </c>
    </row>
    <row r="60" spans="1:14" x14ac:dyDescent="0.25">
      <c r="A60" s="215" t="s">
        <v>250</v>
      </c>
      <c r="B60">
        <v>29.9</v>
      </c>
      <c r="C60" s="215" t="s">
        <v>491</v>
      </c>
      <c r="D60">
        <v>0.67</v>
      </c>
      <c r="E60">
        <v>63</v>
      </c>
      <c r="F60">
        <v>0.47</v>
      </c>
      <c r="G60">
        <v>2138</v>
      </c>
      <c r="H60">
        <v>24.4</v>
      </c>
      <c r="K60">
        <v>123631708.20999999</v>
      </c>
      <c r="L60">
        <v>1</v>
      </c>
      <c r="M60" s="215" t="s">
        <v>208</v>
      </c>
      <c r="N60">
        <v>1962500</v>
      </c>
    </row>
    <row r="61" spans="1:14" x14ac:dyDescent="0.25">
      <c r="A61" s="215" t="s">
        <v>447</v>
      </c>
      <c r="B61">
        <v>0</v>
      </c>
      <c r="C61" s="215" t="s">
        <v>491</v>
      </c>
      <c r="D61">
        <v>0</v>
      </c>
      <c r="E61">
        <v>96.55</v>
      </c>
      <c r="H61">
        <v>0.02</v>
      </c>
      <c r="K61">
        <v>293507090.83999997</v>
      </c>
      <c r="L61">
        <v>1</v>
      </c>
      <c r="M61" s="215" t="s">
        <v>208</v>
      </c>
      <c r="N61">
        <v>3040000</v>
      </c>
    </row>
    <row r="62" spans="1:14" x14ac:dyDescent="0.25">
      <c r="A62" s="215" t="s">
        <v>103</v>
      </c>
      <c r="B62">
        <v>46.79</v>
      </c>
      <c r="C62" s="215" t="s">
        <v>491</v>
      </c>
      <c r="D62">
        <v>12.07</v>
      </c>
      <c r="E62">
        <v>73.819999999999993</v>
      </c>
      <c r="F62">
        <v>0.64</v>
      </c>
      <c r="G62">
        <v>188508.88</v>
      </c>
      <c r="H62">
        <v>2.36</v>
      </c>
      <c r="K62">
        <v>183157219.55000001</v>
      </c>
      <c r="L62">
        <v>6690</v>
      </c>
      <c r="M62" s="215" t="s">
        <v>208</v>
      </c>
      <c r="N62">
        <v>2481284</v>
      </c>
    </row>
    <row r="63" spans="1:14" x14ac:dyDescent="0.25">
      <c r="A63" s="215" t="s">
        <v>25</v>
      </c>
      <c r="B63">
        <v>9.39</v>
      </c>
      <c r="C63" s="215" t="s">
        <v>491</v>
      </c>
      <c r="D63">
        <v>10.220000000000001</v>
      </c>
      <c r="E63">
        <v>10.24</v>
      </c>
      <c r="F63">
        <v>0.92</v>
      </c>
      <c r="G63">
        <v>8719871.7899999991</v>
      </c>
      <c r="H63">
        <v>1.39</v>
      </c>
      <c r="I63">
        <v>-0.34</v>
      </c>
      <c r="J63">
        <v>-5.05</v>
      </c>
      <c r="K63">
        <v>2315148318.21</v>
      </c>
      <c r="L63">
        <v>503710</v>
      </c>
      <c r="M63" s="215" t="s">
        <v>208</v>
      </c>
      <c r="N63">
        <v>226039663</v>
      </c>
    </row>
    <row r="64" spans="1:14" x14ac:dyDescent="0.25">
      <c r="A64" s="215" t="s">
        <v>144</v>
      </c>
      <c r="B64">
        <v>117.07</v>
      </c>
      <c r="C64" s="215" t="s">
        <v>491</v>
      </c>
      <c r="D64">
        <v>5.66</v>
      </c>
      <c r="E64">
        <v>156.65</v>
      </c>
      <c r="F64">
        <v>0.75</v>
      </c>
      <c r="G64">
        <v>63993.59</v>
      </c>
      <c r="H64">
        <v>2.5499999999999998</v>
      </c>
      <c r="I64">
        <v>-8.76</v>
      </c>
      <c r="J64">
        <v>-4.49</v>
      </c>
      <c r="K64">
        <v>216285100.83000001</v>
      </c>
      <c r="L64">
        <v>20147</v>
      </c>
      <c r="M64" s="215" t="s">
        <v>208</v>
      </c>
      <c r="N64">
        <v>1380670</v>
      </c>
    </row>
    <row r="65" spans="1:14" x14ac:dyDescent="0.25">
      <c r="A65" s="215" t="s">
        <v>150</v>
      </c>
      <c r="B65">
        <v>71.25</v>
      </c>
      <c r="C65" s="215" t="s">
        <v>491</v>
      </c>
      <c r="D65">
        <v>9</v>
      </c>
      <c r="E65">
        <v>89.67</v>
      </c>
      <c r="F65">
        <v>0.79</v>
      </c>
      <c r="G65">
        <v>399139.71</v>
      </c>
      <c r="H65">
        <v>5.78</v>
      </c>
      <c r="K65">
        <v>256769477.40000001</v>
      </c>
      <c r="L65">
        <v>9174</v>
      </c>
      <c r="M65" s="215" t="s">
        <v>208</v>
      </c>
      <c r="N65">
        <v>2863597</v>
      </c>
    </row>
    <row r="66" spans="1:14" x14ac:dyDescent="0.25">
      <c r="A66" s="215" t="s">
        <v>154</v>
      </c>
      <c r="B66">
        <v>75.47</v>
      </c>
      <c r="C66" s="215" t="s">
        <v>491</v>
      </c>
      <c r="D66">
        <v>8.43</v>
      </c>
      <c r="E66">
        <v>114.05</v>
      </c>
      <c r="F66">
        <v>0.66</v>
      </c>
      <c r="G66">
        <v>1857008.79</v>
      </c>
      <c r="H66">
        <v>0.11</v>
      </c>
      <c r="I66">
        <v>-2.4</v>
      </c>
      <c r="J66">
        <v>-10.95</v>
      </c>
      <c r="K66">
        <v>2368441112.9099998</v>
      </c>
      <c r="L66">
        <v>53025</v>
      </c>
      <c r="M66" s="215" t="s">
        <v>208</v>
      </c>
      <c r="N66">
        <v>20767328</v>
      </c>
    </row>
    <row r="67" spans="1:14" x14ac:dyDescent="0.25">
      <c r="A67" s="215" t="s">
        <v>347</v>
      </c>
      <c r="B67">
        <v>1156.93</v>
      </c>
      <c r="C67" s="215" t="s">
        <v>491</v>
      </c>
      <c r="D67">
        <v>7.44</v>
      </c>
      <c r="E67">
        <v>1008.16</v>
      </c>
      <c r="F67">
        <v>1.1499999999999999</v>
      </c>
      <c r="G67">
        <v>1156</v>
      </c>
      <c r="H67">
        <v>1.01</v>
      </c>
      <c r="K67">
        <v>63395863.039999999</v>
      </c>
      <c r="L67">
        <v>52</v>
      </c>
      <c r="M67" s="215" t="s">
        <v>208</v>
      </c>
      <c r="N67">
        <v>62883</v>
      </c>
    </row>
    <row r="68" spans="1:14" x14ac:dyDescent="0.25">
      <c r="A68" s="215" t="s">
        <v>456</v>
      </c>
      <c r="B68">
        <v>96.15</v>
      </c>
      <c r="C68" s="215" t="s">
        <v>491</v>
      </c>
      <c r="D68">
        <v>10.51</v>
      </c>
      <c r="E68">
        <v>97.64</v>
      </c>
      <c r="F68">
        <v>0.98</v>
      </c>
      <c r="G68">
        <v>404498.26</v>
      </c>
      <c r="H68">
        <v>10.039999999999999</v>
      </c>
      <c r="K68">
        <v>78400846.069999993</v>
      </c>
      <c r="L68">
        <v>957</v>
      </c>
      <c r="M68" s="215" t="s">
        <v>208</v>
      </c>
      <c r="N68">
        <v>802921</v>
      </c>
    </row>
    <row r="69" spans="1:14" x14ac:dyDescent="0.25">
      <c r="A69" s="215" t="s">
        <v>222</v>
      </c>
      <c r="B69">
        <v>2517</v>
      </c>
      <c r="C69" s="215" t="s">
        <v>491</v>
      </c>
      <c r="D69">
        <v>0</v>
      </c>
      <c r="E69">
        <v>102.7</v>
      </c>
      <c r="F69">
        <v>24.51</v>
      </c>
      <c r="H69">
        <v>7.44</v>
      </c>
      <c r="K69">
        <v>22046334.140000001</v>
      </c>
      <c r="L69">
        <v>8</v>
      </c>
      <c r="M69" s="215" t="s">
        <v>208</v>
      </c>
      <c r="N69">
        <v>214674</v>
      </c>
    </row>
    <row r="70" spans="1:14" x14ac:dyDescent="0.25">
      <c r="A70" s="215" t="s">
        <v>448</v>
      </c>
      <c r="B70">
        <v>80.819999999999993</v>
      </c>
      <c r="C70" s="215" t="s">
        <v>491</v>
      </c>
      <c r="D70">
        <v>5.39</v>
      </c>
      <c r="E70">
        <v>91.92</v>
      </c>
      <c r="F70">
        <v>0.88</v>
      </c>
      <c r="G70">
        <v>24387</v>
      </c>
      <c r="H70">
        <v>12.47</v>
      </c>
      <c r="K70">
        <v>101203645.63</v>
      </c>
      <c r="L70">
        <v>216</v>
      </c>
      <c r="M70" s="215" t="s">
        <v>208</v>
      </c>
      <c r="N70">
        <v>1100950</v>
      </c>
    </row>
    <row r="71" spans="1:14" x14ac:dyDescent="0.25">
      <c r="A71" s="215" t="s">
        <v>440</v>
      </c>
      <c r="B71">
        <v>0</v>
      </c>
      <c r="C71" s="215" t="s">
        <v>491</v>
      </c>
      <c r="D71">
        <v>0</v>
      </c>
      <c r="E71">
        <v>92.72</v>
      </c>
      <c r="H71">
        <v>47.83</v>
      </c>
      <c r="K71">
        <v>12054238.189999999</v>
      </c>
      <c r="L71">
        <v>2</v>
      </c>
      <c r="M71" s="215" t="s">
        <v>208</v>
      </c>
      <c r="N71">
        <v>130000</v>
      </c>
    </row>
    <row r="72" spans="1:14" x14ac:dyDescent="0.25">
      <c r="A72" s="215" t="s">
        <v>55</v>
      </c>
      <c r="B72">
        <v>87</v>
      </c>
      <c r="C72" s="215" t="s">
        <v>491</v>
      </c>
      <c r="D72">
        <v>9.6999999999999993</v>
      </c>
      <c r="E72">
        <v>98.6</v>
      </c>
      <c r="F72">
        <v>0.88</v>
      </c>
      <c r="G72">
        <v>31353</v>
      </c>
      <c r="H72">
        <v>0.94</v>
      </c>
      <c r="K72">
        <v>129541875.37</v>
      </c>
      <c r="L72">
        <v>643</v>
      </c>
      <c r="M72" s="215" t="s">
        <v>208</v>
      </c>
      <c r="N72">
        <v>1313784</v>
      </c>
    </row>
    <row r="73" spans="1:14" x14ac:dyDescent="0.25">
      <c r="A73" s="215" t="s">
        <v>132</v>
      </c>
      <c r="B73">
        <v>64.02</v>
      </c>
      <c r="C73" s="215" t="s">
        <v>491</v>
      </c>
      <c r="D73">
        <v>10.78</v>
      </c>
      <c r="E73">
        <v>79.180000000000007</v>
      </c>
      <c r="F73">
        <v>0.81</v>
      </c>
      <c r="G73">
        <v>435273.35</v>
      </c>
      <c r="H73">
        <v>3.96</v>
      </c>
      <c r="I73">
        <v>-8.94</v>
      </c>
      <c r="J73">
        <v>-12.71</v>
      </c>
      <c r="K73">
        <v>355694653.81</v>
      </c>
      <c r="L73">
        <v>20529</v>
      </c>
      <c r="M73" s="215" t="s">
        <v>208</v>
      </c>
      <c r="N73">
        <v>4492326</v>
      </c>
    </row>
    <row r="74" spans="1:14" x14ac:dyDescent="0.25">
      <c r="A74" s="215" t="s">
        <v>164</v>
      </c>
      <c r="B74">
        <v>100.04</v>
      </c>
      <c r="C74" s="215" t="s">
        <v>491</v>
      </c>
      <c r="D74">
        <v>10.31</v>
      </c>
      <c r="E74">
        <v>115.79</v>
      </c>
      <c r="F74">
        <v>0.88</v>
      </c>
      <c r="G74">
        <v>381809.41</v>
      </c>
      <c r="H74">
        <v>3.67</v>
      </c>
      <c r="K74">
        <v>235407993.16</v>
      </c>
      <c r="L74">
        <v>3264</v>
      </c>
      <c r="M74" s="215" t="s">
        <v>208</v>
      </c>
      <c r="N74">
        <v>2033099</v>
      </c>
    </row>
    <row r="75" spans="1:14" x14ac:dyDescent="0.25">
      <c r="A75" s="215" t="s">
        <v>358</v>
      </c>
      <c r="B75">
        <v>89.9</v>
      </c>
      <c r="C75" s="215" t="s">
        <v>491</v>
      </c>
      <c r="D75">
        <v>10.119999999999999</v>
      </c>
      <c r="E75">
        <v>99.79</v>
      </c>
      <c r="F75">
        <v>0.9</v>
      </c>
      <c r="G75">
        <v>108441.5</v>
      </c>
      <c r="H75">
        <v>10.02</v>
      </c>
      <c r="K75">
        <v>68972960.049999997</v>
      </c>
      <c r="L75">
        <v>2536</v>
      </c>
      <c r="M75" s="215" t="s">
        <v>208</v>
      </c>
      <c r="N75">
        <v>691192</v>
      </c>
    </row>
    <row r="76" spans="1:14" x14ac:dyDescent="0.25">
      <c r="A76" s="215" t="s">
        <v>101</v>
      </c>
      <c r="B76">
        <v>113.56</v>
      </c>
      <c r="C76" s="215" t="s">
        <v>491</v>
      </c>
      <c r="D76">
        <v>7.26</v>
      </c>
      <c r="E76">
        <v>104.76</v>
      </c>
      <c r="F76">
        <v>1.0900000000000001</v>
      </c>
      <c r="G76">
        <v>479581.59</v>
      </c>
      <c r="H76">
        <v>0.51</v>
      </c>
      <c r="I76">
        <v>5.96</v>
      </c>
      <c r="J76">
        <v>3.71</v>
      </c>
      <c r="K76">
        <v>363944321.16000003</v>
      </c>
      <c r="L76">
        <v>4271</v>
      </c>
      <c r="M76" s="215" t="s">
        <v>206</v>
      </c>
      <c r="N76">
        <v>3474010</v>
      </c>
    </row>
    <row r="77" spans="1:14" x14ac:dyDescent="0.25">
      <c r="A77" s="215" t="s">
        <v>137</v>
      </c>
      <c r="B77">
        <v>67.7</v>
      </c>
      <c r="C77" s="215" t="s">
        <v>491</v>
      </c>
      <c r="D77">
        <v>7.76</v>
      </c>
      <c r="E77">
        <v>85.7</v>
      </c>
      <c r="F77">
        <v>0.8</v>
      </c>
      <c r="G77">
        <v>19477.45</v>
      </c>
      <c r="H77">
        <v>2.93</v>
      </c>
      <c r="K77">
        <v>59134739.159999996</v>
      </c>
      <c r="L77">
        <v>1816</v>
      </c>
      <c r="M77" s="215" t="s">
        <v>208</v>
      </c>
      <c r="N77">
        <v>690040</v>
      </c>
    </row>
    <row r="78" spans="1:14" x14ac:dyDescent="0.25">
      <c r="A78" s="215" t="s">
        <v>329</v>
      </c>
      <c r="B78">
        <v>7.65</v>
      </c>
      <c r="C78" s="215" t="s">
        <v>491</v>
      </c>
      <c r="D78">
        <v>10.06</v>
      </c>
      <c r="E78">
        <v>8.4700000000000006</v>
      </c>
      <c r="F78">
        <v>0.91</v>
      </c>
      <c r="G78">
        <v>583877.53</v>
      </c>
      <c r="H78">
        <v>3.86</v>
      </c>
      <c r="K78">
        <v>216266276.78999999</v>
      </c>
      <c r="L78">
        <v>8348</v>
      </c>
      <c r="M78" s="215" t="s">
        <v>208</v>
      </c>
      <c r="N78">
        <v>25541630</v>
      </c>
    </row>
    <row r="79" spans="1:14" x14ac:dyDescent="0.25">
      <c r="A79" s="215" t="s">
        <v>279</v>
      </c>
      <c r="B79">
        <v>1000</v>
      </c>
      <c r="C79" s="215" t="s">
        <v>491</v>
      </c>
      <c r="D79">
        <v>5.97</v>
      </c>
      <c r="E79">
        <v>1124.73</v>
      </c>
      <c r="F79">
        <v>0.89</v>
      </c>
      <c r="H79">
        <v>1.52</v>
      </c>
      <c r="K79">
        <v>63575356.259999998</v>
      </c>
      <c r="L79">
        <v>56</v>
      </c>
      <c r="M79" s="215" t="s">
        <v>208</v>
      </c>
      <c r="N79">
        <v>56525</v>
      </c>
    </row>
    <row r="80" spans="1:14" x14ac:dyDescent="0.25">
      <c r="A80" s="215" t="s">
        <v>492</v>
      </c>
      <c r="B80">
        <v>0</v>
      </c>
      <c r="C80" s="215" t="s">
        <v>491</v>
      </c>
      <c r="D80">
        <v>0</v>
      </c>
      <c r="E80">
        <v>99.92</v>
      </c>
      <c r="H80">
        <v>6.65</v>
      </c>
      <c r="K80">
        <v>44965356.630000003</v>
      </c>
      <c r="L80">
        <v>10</v>
      </c>
      <c r="M80" s="215" t="s">
        <v>208</v>
      </c>
      <c r="N80">
        <v>450000</v>
      </c>
    </row>
    <row r="81" spans="1:14" x14ac:dyDescent="0.25">
      <c r="A81" s="215" t="s">
        <v>182</v>
      </c>
      <c r="B81">
        <v>67.47</v>
      </c>
      <c r="C81" s="215" t="s">
        <v>491</v>
      </c>
      <c r="D81">
        <v>9.9600000000000009</v>
      </c>
      <c r="E81">
        <v>97.66</v>
      </c>
      <c r="F81">
        <v>0.69</v>
      </c>
      <c r="G81">
        <v>711047.79</v>
      </c>
      <c r="H81">
        <v>4.13</v>
      </c>
      <c r="K81">
        <v>798794859.5</v>
      </c>
      <c r="L81">
        <v>79829</v>
      </c>
      <c r="M81" s="215" t="s">
        <v>208</v>
      </c>
      <c r="N81">
        <v>8179347</v>
      </c>
    </row>
    <row r="82" spans="1:14" x14ac:dyDescent="0.25">
      <c r="A82" s="215" t="s">
        <v>263</v>
      </c>
      <c r="B82">
        <v>25998.99</v>
      </c>
      <c r="C82" s="215" t="s">
        <v>491</v>
      </c>
      <c r="D82">
        <v>7.0000000000000007E-2</v>
      </c>
      <c r="E82">
        <v>26182.16</v>
      </c>
      <c r="F82">
        <v>0.99</v>
      </c>
      <c r="G82">
        <v>103995.5</v>
      </c>
      <c r="H82">
        <v>4.99</v>
      </c>
      <c r="K82">
        <v>99413657.939999998</v>
      </c>
      <c r="L82">
        <v>91</v>
      </c>
      <c r="M82" s="215" t="s">
        <v>208</v>
      </c>
      <c r="N82">
        <v>3797</v>
      </c>
    </row>
    <row r="83" spans="1:14" x14ac:dyDescent="0.25">
      <c r="A83" s="215" t="s">
        <v>356</v>
      </c>
      <c r="B83">
        <v>95</v>
      </c>
      <c r="C83" s="215" t="s">
        <v>491</v>
      </c>
      <c r="D83">
        <v>10.24</v>
      </c>
      <c r="E83">
        <v>100.57</v>
      </c>
      <c r="F83">
        <v>0.97</v>
      </c>
      <c r="G83">
        <v>6081.11</v>
      </c>
      <c r="H83">
        <v>1.44</v>
      </c>
      <c r="K83">
        <v>40178684.689999998</v>
      </c>
      <c r="L83">
        <v>119</v>
      </c>
      <c r="M83" s="215" t="s">
        <v>208</v>
      </c>
      <c r="N83">
        <v>399500</v>
      </c>
    </row>
    <row r="84" spans="1:14" x14ac:dyDescent="0.25">
      <c r="A84" s="215" t="s">
        <v>237</v>
      </c>
      <c r="B84">
        <v>1.26</v>
      </c>
      <c r="C84" s="215" t="s">
        <v>491</v>
      </c>
      <c r="D84">
        <v>1389.68</v>
      </c>
      <c r="E84">
        <v>190.05</v>
      </c>
      <c r="F84">
        <v>0.01</v>
      </c>
      <c r="H84">
        <v>4.46</v>
      </c>
      <c r="K84">
        <v>56505572.850000001</v>
      </c>
      <c r="L84">
        <v>52</v>
      </c>
      <c r="M84" s="215" t="s">
        <v>208</v>
      </c>
      <c r="N84">
        <v>297327</v>
      </c>
    </row>
    <row r="85" spans="1:14" x14ac:dyDescent="0.25">
      <c r="A85" s="215" t="s">
        <v>340</v>
      </c>
      <c r="B85">
        <v>97.95</v>
      </c>
      <c r="C85" s="215" t="s">
        <v>491</v>
      </c>
      <c r="D85">
        <v>13</v>
      </c>
      <c r="E85">
        <v>99.37</v>
      </c>
      <c r="F85">
        <v>0.99</v>
      </c>
      <c r="G85">
        <v>257740.65</v>
      </c>
      <c r="H85">
        <v>3.07</v>
      </c>
      <c r="K85">
        <v>99402617.609999999</v>
      </c>
      <c r="L85">
        <v>1439</v>
      </c>
      <c r="M85" s="215" t="s">
        <v>208</v>
      </c>
      <c r="N85">
        <v>1000320</v>
      </c>
    </row>
    <row r="86" spans="1:14" x14ac:dyDescent="0.25">
      <c r="A86" s="215" t="s">
        <v>453</v>
      </c>
      <c r="B86">
        <v>0</v>
      </c>
      <c r="C86" s="215" t="s">
        <v>491</v>
      </c>
      <c r="D86">
        <v>0</v>
      </c>
      <c r="E86">
        <v>97.06</v>
      </c>
      <c r="H86">
        <v>101.02</v>
      </c>
      <c r="K86">
        <v>51441295.979999997</v>
      </c>
      <c r="L86">
        <v>48</v>
      </c>
      <c r="M86" s="215" t="s">
        <v>208</v>
      </c>
      <c r="N86">
        <v>530000</v>
      </c>
    </row>
    <row r="87" spans="1:14" x14ac:dyDescent="0.25">
      <c r="A87" s="215" t="s">
        <v>439</v>
      </c>
      <c r="B87">
        <v>0</v>
      </c>
      <c r="C87" s="215" t="s">
        <v>491</v>
      </c>
      <c r="D87">
        <v>0</v>
      </c>
      <c r="E87">
        <v>98.42</v>
      </c>
      <c r="H87">
        <v>4.6500000000000004</v>
      </c>
      <c r="K87">
        <v>9719049.7699999996</v>
      </c>
      <c r="L87">
        <v>2</v>
      </c>
      <c r="M87" s="215" t="s">
        <v>208</v>
      </c>
      <c r="N87">
        <v>98747</v>
      </c>
    </row>
    <row r="88" spans="1:14" x14ac:dyDescent="0.25">
      <c r="A88" s="215" t="s">
        <v>228</v>
      </c>
      <c r="B88">
        <v>0</v>
      </c>
      <c r="C88" s="215" t="s">
        <v>491</v>
      </c>
      <c r="D88">
        <v>0</v>
      </c>
      <c r="E88">
        <v>499.17</v>
      </c>
      <c r="H88">
        <v>0.8</v>
      </c>
      <c r="K88">
        <v>69883340.019999996</v>
      </c>
      <c r="L88">
        <v>12</v>
      </c>
      <c r="M88" s="215" t="s">
        <v>208</v>
      </c>
      <c r="N88">
        <v>140000</v>
      </c>
    </row>
    <row r="89" spans="1:14" x14ac:dyDescent="0.25">
      <c r="A89" s="215" t="s">
        <v>255</v>
      </c>
      <c r="B89">
        <v>0</v>
      </c>
      <c r="C89" s="215" t="s">
        <v>491</v>
      </c>
      <c r="D89">
        <v>0</v>
      </c>
      <c r="E89">
        <v>1005.8</v>
      </c>
      <c r="H89">
        <v>37.07</v>
      </c>
      <c r="K89">
        <v>76119164.25</v>
      </c>
      <c r="L89">
        <v>53</v>
      </c>
      <c r="M89" s="215" t="s">
        <v>208</v>
      </c>
      <c r="N89">
        <v>75680</v>
      </c>
    </row>
    <row r="90" spans="1:14" x14ac:dyDescent="0.25">
      <c r="A90" s="215" t="s">
        <v>554</v>
      </c>
      <c r="B90">
        <v>0</v>
      </c>
      <c r="C90" s="215" t="s">
        <v>491</v>
      </c>
      <c r="D90">
        <v>0</v>
      </c>
      <c r="E90">
        <v>100.12</v>
      </c>
      <c r="H90">
        <v>101.32</v>
      </c>
      <c r="K90">
        <v>11707016.59</v>
      </c>
      <c r="L90">
        <v>144</v>
      </c>
      <c r="M90" s="215" t="s">
        <v>208</v>
      </c>
      <c r="N90">
        <v>116929</v>
      </c>
    </row>
    <row r="91" spans="1:14" x14ac:dyDescent="0.25">
      <c r="A91" s="215" t="s">
        <v>450</v>
      </c>
      <c r="B91">
        <v>109</v>
      </c>
      <c r="C91" s="215" t="s">
        <v>491</v>
      </c>
      <c r="D91">
        <v>13.76</v>
      </c>
      <c r="E91">
        <v>101.69</v>
      </c>
      <c r="F91">
        <v>1.08</v>
      </c>
      <c r="G91">
        <v>284785.78999999998</v>
      </c>
      <c r="H91">
        <v>8.6999999999999993</v>
      </c>
      <c r="K91">
        <v>153988919.25999999</v>
      </c>
      <c r="L91">
        <v>3486</v>
      </c>
      <c r="M91" s="215" t="s">
        <v>208</v>
      </c>
      <c r="N91">
        <v>1514227</v>
      </c>
    </row>
    <row r="92" spans="1:14" x14ac:dyDescent="0.25">
      <c r="A92" s="215" t="s">
        <v>452</v>
      </c>
      <c r="B92">
        <v>99.77</v>
      </c>
      <c r="C92" s="215" t="s">
        <v>491</v>
      </c>
      <c r="D92">
        <v>6.51</v>
      </c>
      <c r="E92">
        <v>94.34</v>
      </c>
      <c r="F92">
        <v>1.06</v>
      </c>
      <c r="G92">
        <v>38846.559999999998</v>
      </c>
      <c r="H92">
        <v>6.25</v>
      </c>
      <c r="K92">
        <v>60293805.329999998</v>
      </c>
      <c r="L92">
        <v>240</v>
      </c>
      <c r="M92" s="215" t="s">
        <v>208</v>
      </c>
      <c r="N92">
        <v>639139</v>
      </c>
    </row>
    <row r="93" spans="1:14" x14ac:dyDescent="0.25">
      <c r="A93" s="215" t="s">
        <v>334</v>
      </c>
      <c r="B93">
        <v>107</v>
      </c>
      <c r="C93" s="215" t="s">
        <v>491</v>
      </c>
      <c r="D93">
        <v>2.2400000000000002</v>
      </c>
      <c r="E93">
        <v>108.56</v>
      </c>
      <c r="F93">
        <v>0.99</v>
      </c>
      <c r="G93">
        <v>321</v>
      </c>
      <c r="H93">
        <v>2.61</v>
      </c>
      <c r="K93">
        <v>87850836.629999995</v>
      </c>
      <c r="L93">
        <v>59</v>
      </c>
      <c r="M93" s="215" t="s">
        <v>206</v>
      </c>
      <c r="N93">
        <v>809269</v>
      </c>
    </row>
    <row r="94" spans="1:14" x14ac:dyDescent="0.25">
      <c r="A94" s="215" t="s">
        <v>236</v>
      </c>
      <c r="B94">
        <v>600</v>
      </c>
      <c r="C94" s="215" t="s">
        <v>491</v>
      </c>
      <c r="D94">
        <v>12.22</v>
      </c>
      <c r="E94">
        <v>476.75</v>
      </c>
      <c r="F94">
        <v>1.26</v>
      </c>
      <c r="G94">
        <v>1672</v>
      </c>
      <c r="H94">
        <v>40</v>
      </c>
      <c r="J94">
        <v>-22.52</v>
      </c>
      <c r="K94">
        <v>12534234.01</v>
      </c>
      <c r="L94">
        <v>64</v>
      </c>
      <c r="M94" s="215" t="s">
        <v>208</v>
      </c>
      <c r="N94">
        <v>26291</v>
      </c>
    </row>
    <row r="95" spans="1:14" x14ac:dyDescent="0.25">
      <c r="A95" s="215" t="s">
        <v>209</v>
      </c>
      <c r="B95">
        <v>121</v>
      </c>
      <c r="C95" s="215" t="s">
        <v>491</v>
      </c>
      <c r="D95">
        <v>8.09</v>
      </c>
      <c r="E95">
        <v>96.07</v>
      </c>
      <c r="F95">
        <v>1.26</v>
      </c>
      <c r="G95">
        <v>437012.39</v>
      </c>
      <c r="H95">
        <v>3.45</v>
      </c>
      <c r="K95">
        <v>240321791.69</v>
      </c>
      <c r="L95">
        <v>169</v>
      </c>
      <c r="M95" s="215" t="s">
        <v>206</v>
      </c>
      <c r="N95">
        <v>2501419</v>
      </c>
    </row>
    <row r="96" spans="1:14" x14ac:dyDescent="0.25">
      <c r="A96" s="215" t="s">
        <v>107</v>
      </c>
      <c r="B96">
        <v>100.8</v>
      </c>
      <c r="C96" s="215" t="s">
        <v>491</v>
      </c>
      <c r="D96">
        <v>8.8000000000000007</v>
      </c>
      <c r="E96">
        <v>101.93</v>
      </c>
      <c r="F96">
        <v>0.99</v>
      </c>
      <c r="G96">
        <v>1534958.26</v>
      </c>
      <c r="H96">
        <v>3.19</v>
      </c>
      <c r="K96">
        <v>738428430.97000003</v>
      </c>
      <c r="L96">
        <v>39634</v>
      </c>
      <c r="M96" s="215" t="s">
        <v>208</v>
      </c>
      <c r="N96">
        <v>7244808</v>
      </c>
    </row>
    <row r="97" spans="1:14" x14ac:dyDescent="0.25">
      <c r="A97" s="215" t="s">
        <v>380</v>
      </c>
      <c r="B97">
        <v>0</v>
      </c>
      <c r="C97" s="215" t="s">
        <v>491</v>
      </c>
      <c r="D97">
        <v>0</v>
      </c>
      <c r="E97">
        <v>29.27</v>
      </c>
      <c r="H97">
        <v>20</v>
      </c>
      <c r="K97">
        <v>3029772.06</v>
      </c>
      <c r="L97">
        <v>2</v>
      </c>
      <c r="M97" s="215" t="s">
        <v>208</v>
      </c>
      <c r="N97">
        <v>103500</v>
      </c>
    </row>
    <row r="98" spans="1:14" x14ac:dyDescent="0.25">
      <c r="A98" s="215" t="s">
        <v>330</v>
      </c>
      <c r="B98">
        <v>100.19</v>
      </c>
      <c r="C98" s="215" t="s">
        <v>491</v>
      </c>
      <c r="D98">
        <v>14.3</v>
      </c>
      <c r="E98">
        <v>97.35</v>
      </c>
      <c r="F98">
        <v>1.03</v>
      </c>
      <c r="G98">
        <v>353554.59</v>
      </c>
      <c r="H98">
        <v>11.28</v>
      </c>
      <c r="K98">
        <v>153973051.71000001</v>
      </c>
      <c r="L98">
        <v>1992</v>
      </c>
      <c r="M98" s="215" t="s">
        <v>208</v>
      </c>
      <c r="N98">
        <v>1581644</v>
      </c>
    </row>
    <row r="99" spans="1:14" x14ac:dyDescent="0.25">
      <c r="A99" s="215" t="s">
        <v>158</v>
      </c>
      <c r="B99">
        <v>87.28</v>
      </c>
      <c r="C99" s="215" t="s">
        <v>491</v>
      </c>
      <c r="D99">
        <v>7.05</v>
      </c>
      <c r="E99">
        <v>124.91</v>
      </c>
      <c r="F99">
        <v>0.7</v>
      </c>
      <c r="G99">
        <v>12534.85</v>
      </c>
      <c r="H99">
        <v>0.65</v>
      </c>
      <c r="K99">
        <v>112423181.15000001</v>
      </c>
      <c r="L99">
        <v>4184</v>
      </c>
      <c r="M99" s="215" t="s">
        <v>208</v>
      </c>
      <c r="N99">
        <v>900000</v>
      </c>
    </row>
    <row r="100" spans="1:14" x14ac:dyDescent="0.25">
      <c r="A100" s="215" t="s">
        <v>325</v>
      </c>
      <c r="B100">
        <v>99.99</v>
      </c>
      <c r="C100" s="215" t="s">
        <v>491</v>
      </c>
      <c r="D100">
        <v>7.91</v>
      </c>
      <c r="E100">
        <v>100.84</v>
      </c>
      <c r="F100">
        <v>0.99</v>
      </c>
      <c r="G100">
        <v>316099.94</v>
      </c>
      <c r="H100">
        <v>4.4000000000000004</v>
      </c>
      <c r="K100">
        <v>78646991.180000007</v>
      </c>
      <c r="L100">
        <v>537</v>
      </c>
      <c r="M100" s="215" t="s">
        <v>208</v>
      </c>
      <c r="N100">
        <v>779940</v>
      </c>
    </row>
    <row r="101" spans="1:14" x14ac:dyDescent="0.25">
      <c r="A101" s="215" t="s">
        <v>109</v>
      </c>
      <c r="B101">
        <v>99.72</v>
      </c>
      <c r="C101" s="215" t="s">
        <v>491</v>
      </c>
      <c r="D101">
        <v>14.11</v>
      </c>
      <c r="E101">
        <v>95.3</v>
      </c>
      <c r="F101">
        <v>1.05</v>
      </c>
      <c r="G101">
        <v>4448789.29</v>
      </c>
      <c r="H101">
        <v>1.49</v>
      </c>
      <c r="K101">
        <v>885673658.24000001</v>
      </c>
      <c r="L101">
        <v>54076</v>
      </c>
      <c r="M101" s="215" t="s">
        <v>208</v>
      </c>
      <c r="N101">
        <v>9293498</v>
      </c>
    </row>
    <row r="102" spans="1:14" x14ac:dyDescent="0.25">
      <c r="A102" s="215" t="s">
        <v>316</v>
      </c>
      <c r="B102">
        <v>96</v>
      </c>
      <c r="C102" s="215" t="s">
        <v>491</v>
      </c>
      <c r="D102">
        <v>6.63</v>
      </c>
      <c r="E102">
        <v>94.81</v>
      </c>
      <c r="F102">
        <v>1.01</v>
      </c>
      <c r="G102">
        <v>417.4</v>
      </c>
      <c r="H102">
        <v>3.05</v>
      </c>
      <c r="K102">
        <v>327583780.94999999</v>
      </c>
      <c r="L102">
        <v>136</v>
      </c>
      <c r="M102" s="215" t="s">
        <v>208</v>
      </c>
      <c r="N102">
        <v>3455000</v>
      </c>
    </row>
    <row r="103" spans="1:14" x14ac:dyDescent="0.25">
      <c r="A103" s="215" t="s">
        <v>70</v>
      </c>
      <c r="B103">
        <v>65.099999999999994</v>
      </c>
      <c r="C103" s="215" t="s">
        <v>491</v>
      </c>
      <c r="D103">
        <v>0.05</v>
      </c>
      <c r="E103">
        <v>122.87</v>
      </c>
      <c r="F103">
        <v>0.53</v>
      </c>
      <c r="G103">
        <v>4940.41</v>
      </c>
      <c r="H103">
        <v>1.38</v>
      </c>
      <c r="I103">
        <v>20.420000000000002</v>
      </c>
      <c r="J103">
        <v>-5.76</v>
      </c>
      <c r="K103">
        <v>62418791.719999999</v>
      </c>
      <c r="L103">
        <v>320</v>
      </c>
      <c r="M103" s="215" t="s">
        <v>206</v>
      </c>
      <c r="N103">
        <v>508008</v>
      </c>
    </row>
    <row r="104" spans="1:14" x14ac:dyDescent="0.25">
      <c r="A104" s="215" t="s">
        <v>111</v>
      </c>
      <c r="B104">
        <v>66.47</v>
      </c>
      <c r="C104" s="215" t="s">
        <v>491</v>
      </c>
      <c r="D104">
        <v>4.67</v>
      </c>
      <c r="E104">
        <v>133.97999999999999</v>
      </c>
      <c r="F104">
        <v>0.49</v>
      </c>
      <c r="G104">
        <v>49031.44</v>
      </c>
      <c r="H104">
        <v>3.54</v>
      </c>
      <c r="K104">
        <v>576793099.41999996</v>
      </c>
      <c r="L104">
        <v>1382</v>
      </c>
      <c r="M104" s="215" t="s">
        <v>206</v>
      </c>
      <c r="N104">
        <v>4305079</v>
      </c>
    </row>
    <row r="105" spans="1:14" x14ac:dyDescent="0.25">
      <c r="A105" s="215" t="s">
        <v>105</v>
      </c>
      <c r="B105">
        <v>95.29</v>
      </c>
      <c r="C105" s="215" t="s">
        <v>491</v>
      </c>
      <c r="D105">
        <v>11.48</v>
      </c>
      <c r="E105">
        <v>103.1</v>
      </c>
      <c r="F105">
        <v>0.92</v>
      </c>
      <c r="G105">
        <v>800546.35</v>
      </c>
      <c r="H105">
        <v>1.66</v>
      </c>
      <c r="I105">
        <v>-2.35</v>
      </c>
      <c r="J105">
        <v>-6.77</v>
      </c>
      <c r="K105">
        <v>1194696714.05</v>
      </c>
      <c r="L105">
        <v>43562</v>
      </c>
      <c r="M105" s="215" t="s">
        <v>208</v>
      </c>
      <c r="N105">
        <v>11588199</v>
      </c>
    </row>
    <row r="106" spans="1:14" x14ac:dyDescent="0.25">
      <c r="A106" s="215" t="s">
        <v>277</v>
      </c>
      <c r="B106">
        <v>86.7</v>
      </c>
      <c r="C106" s="215" t="s">
        <v>491</v>
      </c>
      <c r="D106">
        <v>9.3800000000000008</v>
      </c>
      <c r="E106">
        <v>97.74</v>
      </c>
      <c r="F106">
        <v>0.89</v>
      </c>
      <c r="G106">
        <v>1035.53</v>
      </c>
      <c r="H106">
        <v>52.18</v>
      </c>
      <c r="K106">
        <v>6131822.6200000001</v>
      </c>
      <c r="L106">
        <v>78</v>
      </c>
      <c r="M106" s="215" t="s">
        <v>208</v>
      </c>
      <c r="N106">
        <v>62735</v>
      </c>
    </row>
    <row r="107" spans="1:14" x14ac:dyDescent="0.25">
      <c r="A107" s="215" t="s">
        <v>458</v>
      </c>
      <c r="B107">
        <v>0</v>
      </c>
      <c r="C107" s="215" t="s">
        <v>491</v>
      </c>
      <c r="D107">
        <v>0</v>
      </c>
      <c r="E107">
        <v>97.87</v>
      </c>
      <c r="H107">
        <v>0.16</v>
      </c>
      <c r="K107">
        <v>57548305.859999999</v>
      </c>
      <c r="L107">
        <v>52</v>
      </c>
      <c r="M107" s="215" t="s">
        <v>208</v>
      </c>
      <c r="N107">
        <v>587987</v>
      </c>
    </row>
    <row r="108" spans="1:14" x14ac:dyDescent="0.25">
      <c r="A108" s="215" t="s">
        <v>343</v>
      </c>
      <c r="B108">
        <v>70.010000000000005</v>
      </c>
      <c r="C108" s="215" t="s">
        <v>491</v>
      </c>
      <c r="D108">
        <v>11.34</v>
      </c>
      <c r="E108">
        <v>96.07</v>
      </c>
      <c r="F108">
        <v>0.73</v>
      </c>
      <c r="G108">
        <v>101774.06</v>
      </c>
      <c r="H108">
        <v>1.86</v>
      </c>
      <c r="K108">
        <v>154528684.13999999</v>
      </c>
      <c r="L108">
        <v>1772</v>
      </c>
      <c r="M108" s="215" t="s">
        <v>208</v>
      </c>
      <c r="N108">
        <v>1608552</v>
      </c>
    </row>
    <row r="109" spans="1:14" x14ac:dyDescent="0.25">
      <c r="A109" s="215" t="s">
        <v>163</v>
      </c>
      <c r="B109">
        <v>75.23</v>
      </c>
      <c r="C109" s="215" t="s">
        <v>491</v>
      </c>
      <c r="D109">
        <v>10.32</v>
      </c>
      <c r="E109">
        <v>89.49</v>
      </c>
      <c r="F109">
        <v>0.84</v>
      </c>
      <c r="G109">
        <v>606234.43999999994</v>
      </c>
      <c r="H109">
        <v>4.4800000000000004</v>
      </c>
      <c r="K109">
        <v>207536642.13999999</v>
      </c>
      <c r="L109">
        <v>12828</v>
      </c>
      <c r="M109" s="215" t="s">
        <v>208</v>
      </c>
      <c r="N109">
        <v>2319115</v>
      </c>
    </row>
    <row r="110" spans="1:14" x14ac:dyDescent="0.25">
      <c r="A110" s="215" t="s">
        <v>497</v>
      </c>
      <c r="B110">
        <v>0</v>
      </c>
      <c r="C110" s="215" t="s">
        <v>491</v>
      </c>
      <c r="D110">
        <v>0</v>
      </c>
      <c r="E110">
        <v>1004.38</v>
      </c>
      <c r="H110">
        <v>31.95</v>
      </c>
      <c r="K110">
        <v>44795350.789999999</v>
      </c>
      <c r="L110">
        <v>8</v>
      </c>
      <c r="M110" s="215" t="s">
        <v>208</v>
      </c>
      <c r="N110">
        <v>44600</v>
      </c>
    </row>
    <row r="111" spans="1:14" x14ac:dyDescent="0.25">
      <c r="A111" s="215" t="s">
        <v>136</v>
      </c>
      <c r="B111">
        <v>71.33</v>
      </c>
      <c r="C111" s="215" t="s">
        <v>491</v>
      </c>
      <c r="D111">
        <v>11.86</v>
      </c>
      <c r="E111">
        <v>77.94</v>
      </c>
      <c r="F111">
        <v>0.92</v>
      </c>
      <c r="G111">
        <v>958636.56</v>
      </c>
      <c r="H111">
        <v>0.69</v>
      </c>
      <c r="K111">
        <v>424751758.00999999</v>
      </c>
      <c r="L111">
        <v>13799</v>
      </c>
      <c r="M111" s="215" t="s">
        <v>208</v>
      </c>
      <c r="N111">
        <v>5449778</v>
      </c>
    </row>
    <row r="112" spans="1:14" x14ac:dyDescent="0.25">
      <c r="A112" s="215" t="s">
        <v>18</v>
      </c>
      <c r="B112">
        <v>99.96</v>
      </c>
      <c r="C112" s="215" t="s">
        <v>491</v>
      </c>
      <c r="D112">
        <v>13.56</v>
      </c>
      <c r="E112">
        <v>95.42</v>
      </c>
      <c r="F112">
        <v>1.05</v>
      </c>
      <c r="G112">
        <v>6152589.1799999997</v>
      </c>
      <c r="H112">
        <v>1.56</v>
      </c>
      <c r="I112">
        <v>13.29</v>
      </c>
      <c r="J112">
        <v>-1.85</v>
      </c>
      <c r="K112">
        <v>2314884536.8699999</v>
      </c>
      <c r="L112">
        <v>149953</v>
      </c>
      <c r="M112" s="215" t="s">
        <v>208</v>
      </c>
      <c r="N112">
        <v>24258940</v>
      </c>
    </row>
    <row r="113" spans="1:14" x14ac:dyDescent="0.25">
      <c r="A113" s="215" t="s">
        <v>68</v>
      </c>
      <c r="B113">
        <v>21.93</v>
      </c>
      <c r="C113" s="215" t="s">
        <v>491</v>
      </c>
      <c r="D113">
        <v>7.14</v>
      </c>
      <c r="E113">
        <v>66.22</v>
      </c>
      <c r="F113">
        <v>0.33</v>
      </c>
      <c r="G113">
        <v>46894.62</v>
      </c>
      <c r="H113">
        <v>1.17</v>
      </c>
      <c r="I113">
        <v>-14.51</v>
      </c>
      <c r="J113">
        <v>-23.45</v>
      </c>
      <c r="K113">
        <v>252437307.08000001</v>
      </c>
      <c r="L113">
        <v>6710</v>
      </c>
      <c r="M113" s="215" t="s">
        <v>206</v>
      </c>
      <c r="N113">
        <v>3812055</v>
      </c>
    </row>
    <row r="114" spans="1:14" x14ac:dyDescent="0.25">
      <c r="A114" s="215" t="s">
        <v>212</v>
      </c>
      <c r="B114">
        <v>12.02</v>
      </c>
      <c r="C114" s="215" t="s">
        <v>491</v>
      </c>
      <c r="D114">
        <v>343.16</v>
      </c>
      <c r="E114">
        <v>18.54</v>
      </c>
      <c r="F114">
        <v>0.66</v>
      </c>
      <c r="G114">
        <v>2815.88</v>
      </c>
      <c r="H114">
        <v>5.07</v>
      </c>
      <c r="J114">
        <v>-53.35</v>
      </c>
      <c r="K114">
        <v>2217044.2999999998</v>
      </c>
      <c r="L114">
        <v>779</v>
      </c>
      <c r="M114" s="215" t="s">
        <v>208</v>
      </c>
      <c r="N114">
        <v>119589</v>
      </c>
    </row>
    <row r="115" spans="1:14" x14ac:dyDescent="0.25">
      <c r="A115" s="215" t="s">
        <v>91</v>
      </c>
      <c r="B115">
        <v>165</v>
      </c>
      <c r="C115" s="215" t="s">
        <v>491</v>
      </c>
      <c r="D115">
        <v>9.17</v>
      </c>
      <c r="E115">
        <v>200.43</v>
      </c>
      <c r="F115">
        <v>0.82</v>
      </c>
      <c r="G115">
        <v>124389.82</v>
      </c>
      <c r="H115">
        <v>2.87</v>
      </c>
      <c r="I115">
        <v>0.27</v>
      </c>
      <c r="J115">
        <v>-3.83</v>
      </c>
      <c r="K115">
        <v>185831681.47</v>
      </c>
      <c r="L115">
        <v>8629</v>
      </c>
      <c r="M115" s="215" t="s">
        <v>206</v>
      </c>
      <c r="N115">
        <v>927162</v>
      </c>
    </row>
    <row r="116" spans="1:14" x14ac:dyDescent="0.25">
      <c r="A116" s="215" t="s">
        <v>227</v>
      </c>
      <c r="B116">
        <v>8.8000000000000007</v>
      </c>
      <c r="C116" s="215" t="s">
        <v>491</v>
      </c>
      <c r="D116">
        <v>1465.68</v>
      </c>
      <c r="E116">
        <v>0</v>
      </c>
      <c r="G116">
        <v>340762.05</v>
      </c>
      <c r="K116">
        <v>0</v>
      </c>
      <c r="L116">
        <v>0</v>
      </c>
      <c r="M116" s="215" t="s">
        <v>208</v>
      </c>
      <c r="N116">
        <v>0</v>
      </c>
    </row>
    <row r="117" spans="1:14" x14ac:dyDescent="0.25">
      <c r="A117" s="215" t="s">
        <v>78</v>
      </c>
      <c r="B117">
        <v>117.5</v>
      </c>
      <c r="C117" s="215" t="s">
        <v>491</v>
      </c>
      <c r="D117">
        <v>0</v>
      </c>
      <c r="E117">
        <v>239.18</v>
      </c>
      <c r="F117">
        <v>0.49</v>
      </c>
      <c r="G117">
        <v>9339.74</v>
      </c>
      <c r="H117">
        <v>8.26</v>
      </c>
      <c r="I117">
        <v>28.92</v>
      </c>
      <c r="J117">
        <v>-29.82</v>
      </c>
      <c r="K117">
        <v>46639971.280000001</v>
      </c>
      <c r="L117">
        <v>1139</v>
      </c>
      <c r="M117" s="215" t="s">
        <v>206</v>
      </c>
      <c r="N117">
        <v>195000</v>
      </c>
    </row>
    <row r="118" spans="1:14" x14ac:dyDescent="0.25">
      <c r="A118" s="215" t="s">
        <v>13</v>
      </c>
      <c r="B118">
        <v>96.3</v>
      </c>
      <c r="C118" s="215" t="s">
        <v>491</v>
      </c>
      <c r="D118">
        <v>12.78</v>
      </c>
      <c r="E118">
        <v>93.93</v>
      </c>
      <c r="F118">
        <v>1.03</v>
      </c>
      <c r="G118">
        <v>7487943.6799999997</v>
      </c>
      <c r="H118">
        <v>0</v>
      </c>
      <c r="I118">
        <v>14.1</v>
      </c>
      <c r="J118">
        <v>-1.61</v>
      </c>
      <c r="K118">
        <v>2627597253.52</v>
      </c>
      <c r="L118">
        <v>145003</v>
      </c>
      <c r="M118" s="215" t="s">
        <v>208</v>
      </c>
      <c r="N118">
        <v>27972629</v>
      </c>
    </row>
    <row r="119" spans="1:14" x14ac:dyDescent="0.25">
      <c r="A119" s="215" t="s">
        <v>280</v>
      </c>
      <c r="B119">
        <v>863</v>
      </c>
      <c r="C119" s="215" t="s">
        <v>491</v>
      </c>
      <c r="D119">
        <v>0</v>
      </c>
      <c r="E119">
        <v>708.35</v>
      </c>
      <c r="F119">
        <v>1.22</v>
      </c>
      <c r="G119">
        <v>863</v>
      </c>
      <c r="H119">
        <v>1.49</v>
      </c>
      <c r="K119">
        <v>125221361.94</v>
      </c>
      <c r="L119">
        <v>10</v>
      </c>
      <c r="M119" s="215" t="s">
        <v>208</v>
      </c>
      <c r="N119">
        <v>176778</v>
      </c>
    </row>
    <row r="120" spans="1:14" x14ac:dyDescent="0.25">
      <c r="A120" s="215" t="s">
        <v>442</v>
      </c>
      <c r="B120">
        <v>98.68</v>
      </c>
      <c r="C120" s="215" t="s">
        <v>491</v>
      </c>
      <c r="D120">
        <v>4.6500000000000004</v>
      </c>
      <c r="E120">
        <v>97.64</v>
      </c>
      <c r="F120">
        <v>1.01</v>
      </c>
      <c r="G120">
        <v>31470.41</v>
      </c>
      <c r="H120">
        <v>15.56</v>
      </c>
      <c r="K120">
        <v>33908738.450000003</v>
      </c>
      <c r="L120">
        <v>218</v>
      </c>
      <c r="M120" s="215" t="s">
        <v>208</v>
      </c>
      <c r="N120">
        <v>347280</v>
      </c>
    </row>
    <row r="121" spans="1:14" x14ac:dyDescent="0.25">
      <c r="A121" s="215" t="s">
        <v>462</v>
      </c>
      <c r="B121">
        <v>99.99</v>
      </c>
      <c r="C121" s="215" t="s">
        <v>491</v>
      </c>
      <c r="D121">
        <v>1.06</v>
      </c>
      <c r="E121">
        <v>107.49</v>
      </c>
      <c r="F121">
        <v>0.93</v>
      </c>
      <c r="G121">
        <v>11262.25</v>
      </c>
      <c r="H121">
        <v>6.4</v>
      </c>
      <c r="K121">
        <v>171984833.53</v>
      </c>
      <c r="L121">
        <v>90</v>
      </c>
      <c r="M121" s="215" t="s">
        <v>208</v>
      </c>
      <c r="N121">
        <v>1600000</v>
      </c>
    </row>
    <row r="122" spans="1:14" x14ac:dyDescent="0.25">
      <c r="A122" s="215" t="s">
        <v>437</v>
      </c>
      <c r="B122">
        <v>91.7</v>
      </c>
      <c r="C122" s="215" t="s">
        <v>491</v>
      </c>
      <c r="D122">
        <v>12.25</v>
      </c>
      <c r="E122">
        <v>94.85</v>
      </c>
      <c r="F122">
        <v>0.97</v>
      </c>
      <c r="G122">
        <v>594567.24</v>
      </c>
      <c r="H122">
        <v>1.99</v>
      </c>
      <c r="I122">
        <v>-26.27</v>
      </c>
      <c r="K122">
        <v>137821478.59</v>
      </c>
      <c r="L122">
        <v>8816</v>
      </c>
      <c r="M122" s="215" t="s">
        <v>208</v>
      </c>
      <c r="N122">
        <v>1452983</v>
      </c>
    </row>
    <row r="123" spans="1:14" x14ac:dyDescent="0.25">
      <c r="A123" s="215" t="s">
        <v>145</v>
      </c>
      <c r="B123">
        <v>77</v>
      </c>
      <c r="C123" s="215" t="s">
        <v>491</v>
      </c>
      <c r="D123">
        <v>12.15</v>
      </c>
      <c r="E123">
        <v>91.11</v>
      </c>
      <c r="F123">
        <v>0.84</v>
      </c>
      <c r="G123">
        <v>85952.26</v>
      </c>
      <c r="H123">
        <v>1.43</v>
      </c>
      <c r="K123">
        <v>30849715.41</v>
      </c>
      <c r="L123">
        <v>1855</v>
      </c>
      <c r="M123" s="215" t="s">
        <v>208</v>
      </c>
      <c r="N123">
        <v>338598</v>
      </c>
    </row>
    <row r="124" spans="1:14" x14ac:dyDescent="0.25">
      <c r="A124" s="215" t="s">
        <v>498</v>
      </c>
      <c r="B124">
        <v>0</v>
      </c>
      <c r="C124" s="215" t="s">
        <v>491</v>
      </c>
      <c r="D124">
        <v>0</v>
      </c>
      <c r="E124">
        <v>100.83</v>
      </c>
      <c r="H124">
        <v>1.23</v>
      </c>
      <c r="K124">
        <v>165354401.08000001</v>
      </c>
      <c r="L124">
        <v>87</v>
      </c>
      <c r="M124" s="215" t="s">
        <v>208</v>
      </c>
      <c r="N124">
        <v>1640000</v>
      </c>
    </row>
    <row r="125" spans="1:14" x14ac:dyDescent="0.25">
      <c r="A125" s="215" t="s">
        <v>116</v>
      </c>
      <c r="B125">
        <v>73.760000000000005</v>
      </c>
      <c r="C125" s="215" t="s">
        <v>491</v>
      </c>
      <c r="D125">
        <v>5.0599999999999996</v>
      </c>
      <c r="E125">
        <v>87.36</v>
      </c>
      <c r="F125">
        <v>0.85</v>
      </c>
      <c r="G125">
        <v>217996.26</v>
      </c>
      <c r="H125">
        <v>3.05</v>
      </c>
      <c r="I125">
        <v>-13.75</v>
      </c>
      <c r="J125">
        <v>-1.1000000000000001</v>
      </c>
      <c r="K125">
        <v>220395805.18000001</v>
      </c>
      <c r="L125">
        <v>4832</v>
      </c>
      <c r="M125" s="215" t="s">
        <v>206</v>
      </c>
      <c r="N125">
        <v>2522968</v>
      </c>
    </row>
    <row r="126" spans="1:14" x14ac:dyDescent="0.25">
      <c r="A126" s="215" t="s">
        <v>319</v>
      </c>
      <c r="B126">
        <v>112</v>
      </c>
      <c r="C126" s="215" t="s">
        <v>491</v>
      </c>
      <c r="D126">
        <v>0</v>
      </c>
      <c r="E126">
        <v>121.61</v>
      </c>
      <c r="F126">
        <v>0.92</v>
      </c>
      <c r="G126">
        <v>1179.5</v>
      </c>
      <c r="H126">
        <v>10.99</v>
      </c>
      <c r="K126">
        <v>63646180.710000001</v>
      </c>
      <c r="L126">
        <v>68</v>
      </c>
      <c r="M126" s="215" t="s">
        <v>208</v>
      </c>
      <c r="N126">
        <v>520000</v>
      </c>
    </row>
    <row r="127" spans="1:14" x14ac:dyDescent="0.25">
      <c r="A127" s="215" t="s">
        <v>282</v>
      </c>
      <c r="B127">
        <v>0</v>
      </c>
      <c r="C127" s="215" t="s">
        <v>491</v>
      </c>
      <c r="D127">
        <v>0</v>
      </c>
      <c r="E127">
        <v>18.66</v>
      </c>
      <c r="H127">
        <v>1.1000000000000001</v>
      </c>
      <c r="I127">
        <v>-6.17</v>
      </c>
      <c r="K127">
        <v>150660029.38</v>
      </c>
      <c r="L127">
        <v>56</v>
      </c>
      <c r="M127" s="215" t="s">
        <v>206</v>
      </c>
      <c r="N127">
        <v>8071897</v>
      </c>
    </row>
    <row r="128" spans="1:14" x14ac:dyDescent="0.25">
      <c r="A128" s="215" t="s">
        <v>118</v>
      </c>
      <c r="B128">
        <v>28.45</v>
      </c>
      <c r="C128" s="215" t="s">
        <v>491</v>
      </c>
      <c r="D128">
        <v>5.09</v>
      </c>
      <c r="E128">
        <v>90.78</v>
      </c>
      <c r="F128">
        <v>0.31</v>
      </c>
      <c r="G128">
        <v>49400.9</v>
      </c>
      <c r="H128">
        <v>0.52</v>
      </c>
      <c r="I128">
        <v>4.91</v>
      </c>
      <c r="J128">
        <v>-13.17</v>
      </c>
      <c r="K128">
        <v>97865283.709999993</v>
      </c>
      <c r="L128">
        <v>2808</v>
      </c>
      <c r="M128" s="215" t="s">
        <v>206</v>
      </c>
      <c r="N128">
        <v>1078000</v>
      </c>
    </row>
    <row r="129" spans="1:14" x14ac:dyDescent="0.25">
      <c r="A129" s="215" t="s">
        <v>374</v>
      </c>
      <c r="B129">
        <v>10.15</v>
      </c>
      <c r="C129" s="215" t="s">
        <v>491</v>
      </c>
      <c r="D129">
        <v>13.69</v>
      </c>
      <c r="E129">
        <v>9.39</v>
      </c>
      <c r="F129">
        <v>1.08</v>
      </c>
      <c r="G129">
        <v>2245178.88</v>
      </c>
      <c r="H129">
        <v>1.22</v>
      </c>
      <c r="K129">
        <v>313403576.25</v>
      </c>
      <c r="L129">
        <v>44772</v>
      </c>
      <c r="M129" s="215" t="s">
        <v>208</v>
      </c>
      <c r="N129">
        <v>33361255</v>
      </c>
    </row>
    <row r="130" spans="1:14" x14ac:dyDescent="0.25">
      <c r="A130" s="215" t="s">
        <v>376</v>
      </c>
      <c r="B130">
        <v>9.49</v>
      </c>
      <c r="C130" s="215" t="s">
        <v>491</v>
      </c>
      <c r="D130">
        <v>16.89</v>
      </c>
      <c r="E130">
        <v>9.9</v>
      </c>
      <c r="F130">
        <v>0.96</v>
      </c>
      <c r="G130">
        <v>1569694.35</v>
      </c>
      <c r="H130">
        <v>3.24</v>
      </c>
      <c r="K130">
        <v>295524402.81</v>
      </c>
      <c r="L130">
        <v>50847</v>
      </c>
      <c r="M130" s="215" t="s">
        <v>208</v>
      </c>
      <c r="N130">
        <v>29864091</v>
      </c>
    </row>
    <row r="131" spans="1:14" x14ac:dyDescent="0.25">
      <c r="A131" s="215" t="s">
        <v>48</v>
      </c>
      <c r="B131">
        <v>99.17</v>
      </c>
      <c r="C131" s="215" t="s">
        <v>491</v>
      </c>
      <c r="D131">
        <v>6.13</v>
      </c>
      <c r="E131">
        <v>116.1</v>
      </c>
      <c r="F131">
        <v>0.86</v>
      </c>
      <c r="G131">
        <v>2132057.4700000002</v>
      </c>
      <c r="H131">
        <v>3.04</v>
      </c>
      <c r="I131">
        <v>-8.48</v>
      </c>
      <c r="J131">
        <v>-2.4500000000000002</v>
      </c>
      <c r="K131">
        <v>2054561595.1500001</v>
      </c>
      <c r="L131">
        <v>203998</v>
      </c>
      <c r="M131" s="215" t="s">
        <v>208</v>
      </c>
      <c r="N131">
        <v>17696234</v>
      </c>
    </row>
    <row r="132" spans="1:14" x14ac:dyDescent="0.25">
      <c r="A132" s="215" t="s">
        <v>226</v>
      </c>
      <c r="B132">
        <v>142</v>
      </c>
      <c r="C132" s="215" t="s">
        <v>491</v>
      </c>
      <c r="D132">
        <v>44.66</v>
      </c>
      <c r="E132">
        <v>0</v>
      </c>
      <c r="G132">
        <v>2317.56</v>
      </c>
      <c r="K132">
        <v>0</v>
      </c>
      <c r="L132">
        <v>0</v>
      </c>
      <c r="M132" s="215" t="s">
        <v>208</v>
      </c>
      <c r="N132">
        <v>0</v>
      </c>
    </row>
    <row r="133" spans="1:14" x14ac:dyDescent="0.25">
      <c r="A133" s="215" t="s">
        <v>63</v>
      </c>
      <c r="B133">
        <v>33.82</v>
      </c>
      <c r="C133" s="215" t="s">
        <v>491</v>
      </c>
      <c r="D133">
        <v>3.9</v>
      </c>
      <c r="E133">
        <v>86.59</v>
      </c>
      <c r="F133">
        <v>0.39</v>
      </c>
      <c r="G133">
        <v>14814.38</v>
      </c>
      <c r="H133">
        <v>5.72</v>
      </c>
      <c r="I133">
        <v>-15.2</v>
      </c>
      <c r="J133">
        <v>-23.85</v>
      </c>
      <c r="K133">
        <v>255388232.33000001</v>
      </c>
      <c r="L133">
        <v>2199</v>
      </c>
      <c r="M133" s="215" t="s">
        <v>206</v>
      </c>
      <c r="N133">
        <v>2949248</v>
      </c>
    </row>
    <row r="134" spans="1:14" x14ac:dyDescent="0.25">
      <c r="A134" s="215" t="s">
        <v>207</v>
      </c>
      <c r="B134">
        <v>138</v>
      </c>
      <c r="C134" s="215" t="s">
        <v>491</v>
      </c>
      <c r="D134">
        <v>0</v>
      </c>
      <c r="E134">
        <v>121.2</v>
      </c>
      <c r="F134">
        <v>1.1399999999999999</v>
      </c>
      <c r="H134">
        <v>13.36</v>
      </c>
      <c r="I134">
        <v>29.98</v>
      </c>
      <c r="J134">
        <v>2.0099999999999998</v>
      </c>
      <c r="K134">
        <v>103080374.68000001</v>
      </c>
      <c r="L134">
        <v>3278</v>
      </c>
      <c r="M134" s="215" t="s">
        <v>208</v>
      </c>
      <c r="N134">
        <v>850530</v>
      </c>
    </row>
    <row r="135" spans="1:14" x14ac:dyDescent="0.25">
      <c r="A135" s="215" t="s">
        <v>243</v>
      </c>
      <c r="B135">
        <v>0.85</v>
      </c>
      <c r="C135" s="215" t="s">
        <v>491</v>
      </c>
      <c r="D135">
        <v>0</v>
      </c>
      <c r="E135">
        <v>0.11</v>
      </c>
      <c r="F135">
        <v>6</v>
      </c>
      <c r="G135">
        <v>12231.5</v>
      </c>
      <c r="H135">
        <v>0.24</v>
      </c>
      <c r="K135">
        <v>14249469.68</v>
      </c>
      <c r="L135">
        <v>543</v>
      </c>
      <c r="M135" s="215" t="s">
        <v>206</v>
      </c>
      <c r="N135">
        <v>127899149</v>
      </c>
    </row>
    <row r="136" spans="1:14" x14ac:dyDescent="0.25">
      <c r="A136" s="215" t="s">
        <v>378</v>
      </c>
      <c r="B136">
        <v>0</v>
      </c>
      <c r="C136" s="215" t="s">
        <v>491</v>
      </c>
      <c r="D136">
        <v>0</v>
      </c>
      <c r="E136">
        <v>100.8</v>
      </c>
      <c r="H136">
        <v>20.14</v>
      </c>
      <c r="K136">
        <v>1030654046.2</v>
      </c>
      <c r="L136">
        <v>499</v>
      </c>
      <c r="M136" s="215" t="s">
        <v>208</v>
      </c>
      <c r="N136">
        <v>10224963</v>
      </c>
    </row>
    <row r="137" spans="1:14" x14ac:dyDescent="0.25">
      <c r="A137" s="215" t="s">
        <v>247</v>
      </c>
      <c r="B137">
        <v>72</v>
      </c>
      <c r="C137" s="215" t="s">
        <v>491</v>
      </c>
      <c r="D137">
        <v>8.4600000000000009</v>
      </c>
      <c r="E137">
        <v>92.7</v>
      </c>
      <c r="F137">
        <v>0.78</v>
      </c>
      <c r="G137">
        <v>12966.44</v>
      </c>
      <c r="H137">
        <v>12.74</v>
      </c>
      <c r="K137">
        <v>53159376.060000002</v>
      </c>
      <c r="L137">
        <v>2132</v>
      </c>
      <c r="M137" s="215" t="s">
        <v>208</v>
      </c>
      <c r="N137">
        <v>573450</v>
      </c>
    </row>
    <row r="138" spans="1:14" x14ac:dyDescent="0.25">
      <c r="A138" s="215" t="s">
        <v>276</v>
      </c>
      <c r="B138">
        <v>1141.1400000000001</v>
      </c>
      <c r="C138" s="215" t="s">
        <v>491</v>
      </c>
      <c r="D138">
        <v>5.72</v>
      </c>
      <c r="E138">
        <v>1462.15</v>
      </c>
      <c r="F138">
        <v>0.78</v>
      </c>
      <c r="H138">
        <v>29.75</v>
      </c>
      <c r="K138">
        <v>38116327.200000003</v>
      </c>
      <c r="L138">
        <v>9</v>
      </c>
      <c r="M138" s="215" t="s">
        <v>206</v>
      </c>
      <c r="N138">
        <v>26068</v>
      </c>
    </row>
    <row r="139" spans="1:14" x14ac:dyDescent="0.25">
      <c r="A139" s="215" t="s">
        <v>86</v>
      </c>
      <c r="B139">
        <v>46.8</v>
      </c>
      <c r="C139" s="215" t="s">
        <v>491</v>
      </c>
      <c r="D139">
        <v>12.57</v>
      </c>
      <c r="E139">
        <v>55.41</v>
      </c>
      <c r="F139">
        <v>0.84</v>
      </c>
      <c r="G139">
        <v>2942325.62</v>
      </c>
      <c r="H139">
        <v>6.92</v>
      </c>
      <c r="K139">
        <v>702294688.25</v>
      </c>
      <c r="L139">
        <v>103765</v>
      </c>
      <c r="M139" s="215" t="s">
        <v>208</v>
      </c>
      <c r="N139">
        <v>12673868</v>
      </c>
    </row>
    <row r="140" spans="1:14" x14ac:dyDescent="0.25">
      <c r="A140" s="215" t="s">
        <v>81</v>
      </c>
      <c r="B140">
        <v>48.88</v>
      </c>
      <c r="C140" s="215" t="s">
        <v>491</v>
      </c>
      <c r="D140">
        <v>8.92</v>
      </c>
      <c r="E140">
        <v>87.49</v>
      </c>
      <c r="F140">
        <v>0.56000000000000005</v>
      </c>
      <c r="G140">
        <v>137103.74</v>
      </c>
      <c r="H140">
        <v>2</v>
      </c>
      <c r="I140">
        <v>-9.57</v>
      </c>
      <c r="J140">
        <v>-15.84</v>
      </c>
      <c r="K140">
        <v>234118556.5</v>
      </c>
      <c r="L140">
        <v>14562</v>
      </c>
      <c r="M140" s="215" t="s">
        <v>206</v>
      </c>
      <c r="N140">
        <v>2676000</v>
      </c>
    </row>
    <row r="141" spans="1:14" x14ac:dyDescent="0.25">
      <c r="A141" s="215" t="s">
        <v>234</v>
      </c>
      <c r="B141">
        <v>88.15</v>
      </c>
      <c r="C141" s="215" t="s">
        <v>491</v>
      </c>
      <c r="D141">
        <v>7.46</v>
      </c>
      <c r="E141">
        <v>99.28</v>
      </c>
      <c r="F141">
        <v>0.88</v>
      </c>
      <c r="G141">
        <v>2461128.41</v>
      </c>
      <c r="H141">
        <v>0.81</v>
      </c>
      <c r="K141">
        <v>996715875.76999998</v>
      </c>
      <c r="L141">
        <v>59787</v>
      </c>
      <c r="M141" s="215" t="s">
        <v>208</v>
      </c>
      <c r="N141">
        <v>10039493</v>
      </c>
    </row>
    <row r="142" spans="1:14" x14ac:dyDescent="0.25">
      <c r="A142" s="215" t="s">
        <v>373</v>
      </c>
      <c r="B142">
        <v>115</v>
      </c>
      <c r="C142" s="215" t="s">
        <v>491</v>
      </c>
      <c r="D142">
        <v>0</v>
      </c>
      <c r="E142">
        <v>99.7</v>
      </c>
      <c r="F142">
        <v>1.1499999999999999</v>
      </c>
      <c r="G142">
        <v>11960</v>
      </c>
      <c r="H142">
        <v>0.31</v>
      </c>
      <c r="K142">
        <v>790829699.83000004</v>
      </c>
      <c r="L142">
        <v>125</v>
      </c>
      <c r="M142" s="215" t="s">
        <v>206</v>
      </c>
      <c r="N142">
        <v>7932248</v>
      </c>
    </row>
    <row r="143" spans="1:14" x14ac:dyDescent="0.25">
      <c r="A143" s="215" t="s">
        <v>336</v>
      </c>
      <c r="B143">
        <v>74</v>
      </c>
      <c r="C143" s="215" t="s">
        <v>491</v>
      </c>
      <c r="D143">
        <v>10.16</v>
      </c>
      <c r="E143">
        <v>100.12</v>
      </c>
      <c r="F143">
        <v>0.74</v>
      </c>
      <c r="G143">
        <v>172887.06</v>
      </c>
      <c r="H143">
        <v>2</v>
      </c>
      <c r="K143">
        <v>150241671.08000001</v>
      </c>
      <c r="L143">
        <v>2561</v>
      </c>
      <c r="M143" s="215" t="s">
        <v>208</v>
      </c>
      <c r="N143">
        <v>1500598</v>
      </c>
    </row>
    <row r="144" spans="1:14" x14ac:dyDescent="0.25">
      <c r="A144" s="215" t="s">
        <v>241</v>
      </c>
      <c r="B144">
        <v>1170.83</v>
      </c>
      <c r="C144" s="215" t="s">
        <v>491</v>
      </c>
      <c r="D144">
        <v>7.16</v>
      </c>
      <c r="E144">
        <v>1076.4000000000001</v>
      </c>
      <c r="F144">
        <v>1.0900000000000001</v>
      </c>
      <c r="G144">
        <v>109219.5</v>
      </c>
      <c r="H144">
        <v>6.22</v>
      </c>
      <c r="K144">
        <v>133621510.12</v>
      </c>
      <c r="L144">
        <v>196</v>
      </c>
      <c r="M144" s="215" t="s">
        <v>208</v>
      </c>
      <c r="N144">
        <v>124137</v>
      </c>
    </row>
    <row r="145" spans="1:14" x14ac:dyDescent="0.25">
      <c r="A145" s="215" t="s">
        <v>179</v>
      </c>
      <c r="B145">
        <v>71.61</v>
      </c>
      <c r="C145" s="215" t="s">
        <v>491</v>
      </c>
      <c r="D145">
        <v>10.039999999999999</v>
      </c>
      <c r="E145">
        <v>85.61</v>
      </c>
      <c r="F145">
        <v>0.84</v>
      </c>
      <c r="G145">
        <v>3678673.47</v>
      </c>
      <c r="H145">
        <v>1.43</v>
      </c>
      <c r="I145">
        <v>-7.82</v>
      </c>
      <c r="J145">
        <v>-10.96</v>
      </c>
      <c r="K145">
        <v>1171149868.3699999</v>
      </c>
      <c r="L145">
        <v>81896</v>
      </c>
      <c r="M145" s="215" t="s">
        <v>208</v>
      </c>
      <c r="N145">
        <v>13680770</v>
      </c>
    </row>
    <row r="146" spans="1:14" x14ac:dyDescent="0.25">
      <c r="A146" s="215" t="s">
        <v>121</v>
      </c>
      <c r="B146">
        <v>71.95</v>
      </c>
      <c r="C146" s="215" t="s">
        <v>491</v>
      </c>
      <c r="D146">
        <v>2.08</v>
      </c>
      <c r="E146">
        <v>102.67</v>
      </c>
      <c r="F146">
        <v>0.69</v>
      </c>
      <c r="G146">
        <v>11933.15</v>
      </c>
      <c r="H146">
        <v>1.61</v>
      </c>
      <c r="I146">
        <v>-0.86</v>
      </c>
      <c r="J146">
        <v>-2.36</v>
      </c>
      <c r="K146">
        <v>104802120.90000001</v>
      </c>
      <c r="L146">
        <v>1864</v>
      </c>
      <c r="M146" s="215" t="s">
        <v>206</v>
      </c>
      <c r="N146">
        <v>1020747</v>
      </c>
    </row>
    <row r="147" spans="1:14" x14ac:dyDescent="0.25">
      <c r="A147" s="215" t="s">
        <v>242</v>
      </c>
      <c r="B147">
        <v>83.01</v>
      </c>
      <c r="C147" s="215" t="s">
        <v>491</v>
      </c>
      <c r="D147">
        <v>7.35</v>
      </c>
      <c r="E147">
        <v>98.37</v>
      </c>
      <c r="F147">
        <v>0.85</v>
      </c>
      <c r="G147">
        <v>8500.6200000000008</v>
      </c>
      <c r="H147">
        <v>1.6</v>
      </c>
      <c r="K147">
        <v>225890090.43000001</v>
      </c>
      <c r="L147">
        <v>306</v>
      </c>
      <c r="M147" s="215" t="s">
        <v>208</v>
      </c>
      <c r="N147">
        <v>2296282</v>
      </c>
    </row>
    <row r="148" spans="1:14" x14ac:dyDescent="0.25">
      <c r="A148" s="215" t="s">
        <v>260</v>
      </c>
      <c r="B148">
        <v>83.07</v>
      </c>
      <c r="C148" s="215" t="s">
        <v>491</v>
      </c>
      <c r="D148">
        <v>5.12</v>
      </c>
      <c r="E148">
        <v>10.02</v>
      </c>
      <c r="F148">
        <v>8.2899999999999991</v>
      </c>
      <c r="H148">
        <v>25.82</v>
      </c>
      <c r="I148">
        <v>116.69</v>
      </c>
      <c r="K148">
        <v>9829853.3200000003</v>
      </c>
      <c r="L148">
        <v>54</v>
      </c>
      <c r="M148" s="215" t="s">
        <v>206</v>
      </c>
      <c r="N148">
        <v>981472</v>
      </c>
    </row>
    <row r="149" spans="1:14" x14ac:dyDescent="0.25">
      <c r="A149" s="215" t="s">
        <v>328</v>
      </c>
      <c r="B149">
        <v>92.07</v>
      </c>
      <c r="C149" s="215" t="s">
        <v>491</v>
      </c>
      <c r="D149">
        <v>11.14</v>
      </c>
      <c r="E149">
        <v>93.45</v>
      </c>
      <c r="F149">
        <v>1</v>
      </c>
      <c r="G149">
        <v>755097.03</v>
      </c>
      <c r="H149">
        <v>0.71</v>
      </c>
      <c r="K149">
        <v>356106253.36000001</v>
      </c>
      <c r="L149">
        <v>5411</v>
      </c>
      <c r="M149" s="215" t="s">
        <v>208</v>
      </c>
      <c r="N149">
        <v>3810588</v>
      </c>
    </row>
    <row r="150" spans="1:14" x14ac:dyDescent="0.25">
      <c r="A150" s="215" t="s">
        <v>332</v>
      </c>
      <c r="B150">
        <v>0</v>
      </c>
      <c r="C150" s="215" t="s">
        <v>491</v>
      </c>
      <c r="D150">
        <v>0</v>
      </c>
      <c r="E150">
        <v>1.99</v>
      </c>
      <c r="H150">
        <v>0.4</v>
      </c>
      <c r="K150">
        <v>100519854.5</v>
      </c>
      <c r="L150">
        <v>1</v>
      </c>
      <c r="M150" s="215" t="s">
        <v>208</v>
      </c>
      <c r="N150">
        <v>50504055</v>
      </c>
    </row>
    <row r="151" spans="1:14" x14ac:dyDescent="0.25">
      <c r="A151" s="215" t="s">
        <v>308</v>
      </c>
      <c r="B151">
        <v>72.989999999999995</v>
      </c>
      <c r="C151" s="215" t="s">
        <v>491</v>
      </c>
      <c r="D151">
        <v>0</v>
      </c>
      <c r="E151">
        <v>64.87</v>
      </c>
      <c r="F151">
        <v>1.1299999999999999</v>
      </c>
      <c r="G151">
        <v>209832.16</v>
      </c>
      <c r="H151">
        <v>3.6</v>
      </c>
      <c r="J151">
        <v>9.1</v>
      </c>
      <c r="K151">
        <v>186170353.94</v>
      </c>
      <c r="L151">
        <v>1377</v>
      </c>
      <c r="M151" s="215" t="s">
        <v>206</v>
      </c>
      <c r="N151">
        <v>2710000</v>
      </c>
    </row>
    <row r="152" spans="1:14" x14ac:dyDescent="0.25">
      <c r="A152" s="215" t="s">
        <v>60</v>
      </c>
      <c r="B152">
        <v>90.2</v>
      </c>
      <c r="C152" s="215" t="s">
        <v>491</v>
      </c>
      <c r="D152">
        <v>12.79</v>
      </c>
      <c r="E152">
        <v>95.83</v>
      </c>
      <c r="F152">
        <v>0.95</v>
      </c>
      <c r="G152">
        <v>1167419.26</v>
      </c>
      <c r="H152">
        <v>4.75</v>
      </c>
      <c r="I152">
        <v>-2.27</v>
      </c>
      <c r="J152">
        <v>-12.81</v>
      </c>
      <c r="K152">
        <v>1525606117.6600001</v>
      </c>
      <c r="L152">
        <v>66124</v>
      </c>
      <c r="M152" s="215" t="s">
        <v>206</v>
      </c>
      <c r="N152">
        <v>15919690</v>
      </c>
    </row>
    <row r="153" spans="1:14" x14ac:dyDescent="0.25">
      <c r="A153" s="215" t="s">
        <v>133</v>
      </c>
      <c r="B153">
        <v>69.510000000000005</v>
      </c>
      <c r="C153" s="215" t="s">
        <v>491</v>
      </c>
      <c r="D153">
        <v>8.1</v>
      </c>
      <c r="E153">
        <v>105.46</v>
      </c>
      <c r="F153">
        <v>0.66</v>
      </c>
      <c r="G153">
        <v>1902775.85</v>
      </c>
      <c r="H153">
        <v>1.52</v>
      </c>
      <c r="I153">
        <v>-1.1100000000000001</v>
      </c>
      <c r="J153">
        <v>-13.08</v>
      </c>
      <c r="K153">
        <v>2809345315.52</v>
      </c>
      <c r="L153">
        <v>133749</v>
      </c>
      <c r="M153" s="215" t="s">
        <v>208</v>
      </c>
      <c r="N153">
        <v>26638202</v>
      </c>
    </row>
    <row r="154" spans="1:14" x14ac:dyDescent="0.25">
      <c r="A154" s="215" t="s">
        <v>117</v>
      </c>
      <c r="B154">
        <v>88.94</v>
      </c>
      <c r="C154" s="215" t="s">
        <v>491</v>
      </c>
      <c r="D154">
        <v>6.11</v>
      </c>
      <c r="E154">
        <v>112.5</v>
      </c>
      <c r="F154">
        <v>0.79</v>
      </c>
      <c r="G154">
        <v>702886.58</v>
      </c>
      <c r="H154">
        <v>2.8</v>
      </c>
      <c r="K154">
        <v>283304571.64999998</v>
      </c>
      <c r="L154">
        <v>165</v>
      </c>
      <c r="M154" s="215" t="s">
        <v>208</v>
      </c>
      <c r="N154">
        <v>2518195</v>
      </c>
    </row>
    <row r="155" spans="1:14" x14ac:dyDescent="0.25">
      <c r="A155" s="215" t="s">
        <v>266</v>
      </c>
      <c r="B155">
        <v>129.91999999999999</v>
      </c>
      <c r="C155" s="215" t="s">
        <v>491</v>
      </c>
      <c r="D155">
        <v>0</v>
      </c>
      <c r="E155">
        <v>114.69</v>
      </c>
      <c r="F155">
        <v>1.1299999999999999</v>
      </c>
      <c r="G155">
        <v>129</v>
      </c>
      <c r="H155">
        <v>0.56000000000000005</v>
      </c>
      <c r="K155">
        <v>57448544.240000002</v>
      </c>
      <c r="L155">
        <v>13</v>
      </c>
      <c r="M155" s="215" t="s">
        <v>206</v>
      </c>
      <c r="N155">
        <v>500919</v>
      </c>
    </row>
    <row r="156" spans="1:14" x14ac:dyDescent="0.25">
      <c r="A156" s="215" t="s">
        <v>361</v>
      </c>
      <c r="B156">
        <v>2.6</v>
      </c>
      <c r="C156" s="215" t="s">
        <v>491</v>
      </c>
      <c r="D156">
        <v>0</v>
      </c>
      <c r="E156">
        <v>12.46</v>
      </c>
      <c r="F156">
        <v>0.15</v>
      </c>
      <c r="G156">
        <v>18500.62</v>
      </c>
      <c r="H156">
        <v>0</v>
      </c>
      <c r="K156">
        <v>93119915.810000002</v>
      </c>
      <c r="L156">
        <v>42</v>
      </c>
      <c r="M156" s="215" t="s">
        <v>206</v>
      </c>
      <c r="N156">
        <v>7471863</v>
      </c>
    </row>
    <row r="157" spans="1:14" x14ac:dyDescent="0.25">
      <c r="A157" s="215" t="s">
        <v>156</v>
      </c>
      <c r="B157">
        <v>0.88</v>
      </c>
      <c r="C157" s="215" t="s">
        <v>491</v>
      </c>
      <c r="D157">
        <v>7.99</v>
      </c>
      <c r="E157">
        <v>1.18</v>
      </c>
      <c r="F157">
        <v>0.75</v>
      </c>
      <c r="G157">
        <v>10215.26</v>
      </c>
      <c r="H157">
        <v>86.36</v>
      </c>
      <c r="J157">
        <v>-55.19</v>
      </c>
      <c r="K157">
        <v>21958560.949999999</v>
      </c>
      <c r="L157">
        <v>6102</v>
      </c>
      <c r="M157" s="215" t="s">
        <v>208</v>
      </c>
      <c r="N157">
        <v>18547161</v>
      </c>
    </row>
    <row r="158" spans="1:14" x14ac:dyDescent="0.25">
      <c r="A158" s="215" t="s">
        <v>366</v>
      </c>
      <c r="B158">
        <v>0</v>
      </c>
      <c r="C158" s="215" t="s">
        <v>491</v>
      </c>
      <c r="D158">
        <v>0</v>
      </c>
      <c r="E158">
        <v>969.8</v>
      </c>
      <c r="H158">
        <v>13.56</v>
      </c>
      <c r="K158">
        <v>53591393.789999999</v>
      </c>
      <c r="L158">
        <v>69</v>
      </c>
      <c r="M158" s="215" t="s">
        <v>208</v>
      </c>
      <c r="N158">
        <v>55260</v>
      </c>
    </row>
    <row r="159" spans="1:14" x14ac:dyDescent="0.25">
      <c r="A159" s="215" t="s">
        <v>195</v>
      </c>
      <c r="B159">
        <v>59.27</v>
      </c>
      <c r="C159" s="215" t="s">
        <v>491</v>
      </c>
      <c r="D159">
        <v>10.27</v>
      </c>
      <c r="E159">
        <v>81.86</v>
      </c>
      <c r="F159">
        <v>0.73</v>
      </c>
      <c r="G159">
        <v>1147336.6200000001</v>
      </c>
      <c r="H159">
        <v>2.4500000000000002</v>
      </c>
      <c r="K159">
        <v>598901337.23000002</v>
      </c>
      <c r="L159">
        <v>52268</v>
      </c>
      <c r="M159" s="215" t="s">
        <v>208</v>
      </c>
      <c r="N159">
        <v>7316171</v>
      </c>
    </row>
    <row r="160" spans="1:14" x14ac:dyDescent="0.25">
      <c r="A160" s="215" t="s">
        <v>278</v>
      </c>
      <c r="B160">
        <v>0</v>
      </c>
      <c r="C160" s="215" t="s">
        <v>491</v>
      </c>
      <c r="D160">
        <v>0</v>
      </c>
      <c r="E160">
        <v>76.84</v>
      </c>
      <c r="H160">
        <v>2.72</v>
      </c>
      <c r="K160">
        <v>106514915.52</v>
      </c>
      <c r="L160">
        <v>54</v>
      </c>
      <c r="M160" s="215" t="s">
        <v>206</v>
      </c>
      <c r="N160">
        <v>1386242</v>
      </c>
    </row>
    <row r="161" spans="1:14" x14ac:dyDescent="0.25">
      <c r="A161" s="215" t="s">
        <v>10</v>
      </c>
      <c r="B161">
        <v>122.15</v>
      </c>
      <c r="C161" s="215" t="s">
        <v>491</v>
      </c>
      <c r="D161">
        <v>16.850000000000001</v>
      </c>
      <c r="E161">
        <v>117.64</v>
      </c>
      <c r="F161">
        <v>1.04</v>
      </c>
      <c r="G161">
        <v>8063524.3200000003</v>
      </c>
      <c r="H161">
        <v>1.72</v>
      </c>
      <c r="K161">
        <v>2389620318.6300001</v>
      </c>
      <c r="L161">
        <v>163252</v>
      </c>
      <c r="M161" s="215" t="s">
        <v>208</v>
      </c>
      <c r="N161">
        <v>20312439</v>
      </c>
    </row>
    <row r="162" spans="1:14" x14ac:dyDescent="0.25">
      <c r="A162" s="215" t="s">
        <v>372</v>
      </c>
      <c r="B162">
        <v>100</v>
      </c>
      <c r="C162" s="215" t="s">
        <v>491</v>
      </c>
      <c r="D162">
        <v>0</v>
      </c>
      <c r="E162">
        <v>96.92</v>
      </c>
      <c r="F162">
        <v>1.03</v>
      </c>
      <c r="G162">
        <v>600000</v>
      </c>
      <c r="H162">
        <v>7.09</v>
      </c>
      <c r="K162">
        <v>57046568.520000003</v>
      </c>
      <c r="L162">
        <v>12</v>
      </c>
      <c r="M162" s="215" t="s">
        <v>208</v>
      </c>
      <c r="N162">
        <v>588583</v>
      </c>
    </row>
    <row r="163" spans="1:14" x14ac:dyDescent="0.25">
      <c r="A163" s="215" t="s">
        <v>375</v>
      </c>
      <c r="B163">
        <v>0</v>
      </c>
      <c r="C163" s="215" t="s">
        <v>491</v>
      </c>
      <c r="D163">
        <v>0</v>
      </c>
      <c r="E163">
        <v>960.45</v>
      </c>
      <c r="H163">
        <v>11.1</v>
      </c>
      <c r="K163">
        <v>56912460.630000003</v>
      </c>
      <c r="L163">
        <v>712</v>
      </c>
      <c r="M163" s="215" t="s">
        <v>208</v>
      </c>
      <c r="N163">
        <v>59256</v>
      </c>
    </row>
    <row r="164" spans="1:14" x14ac:dyDescent="0.25">
      <c r="A164" s="215" t="s">
        <v>311</v>
      </c>
      <c r="B164">
        <v>37</v>
      </c>
      <c r="C164" s="215" t="s">
        <v>491</v>
      </c>
      <c r="D164">
        <v>4.6399999999999997</v>
      </c>
      <c r="E164">
        <v>108.26</v>
      </c>
      <c r="F164">
        <v>0.36</v>
      </c>
      <c r="G164">
        <v>94102.03</v>
      </c>
      <c r="H164">
        <v>0.43</v>
      </c>
      <c r="K164">
        <v>264567840.53</v>
      </c>
      <c r="L164">
        <v>1135</v>
      </c>
      <c r="M164" s="215" t="s">
        <v>208</v>
      </c>
      <c r="N164">
        <v>2443800</v>
      </c>
    </row>
    <row r="165" spans="1:14" x14ac:dyDescent="0.25">
      <c r="A165" s="215" t="s">
        <v>434</v>
      </c>
      <c r="B165">
        <v>84.9</v>
      </c>
      <c r="C165" s="215" t="s">
        <v>491</v>
      </c>
      <c r="D165">
        <v>2.73</v>
      </c>
      <c r="E165">
        <v>97.52</v>
      </c>
      <c r="F165">
        <v>0.87</v>
      </c>
      <c r="G165">
        <v>61809.38</v>
      </c>
      <c r="H165">
        <v>32.67</v>
      </c>
      <c r="K165">
        <v>153405785.47</v>
      </c>
      <c r="L165">
        <v>1768</v>
      </c>
      <c r="M165" s="215" t="s">
        <v>208</v>
      </c>
      <c r="N165">
        <v>1573047</v>
      </c>
    </row>
    <row r="166" spans="1:14" x14ac:dyDescent="0.25">
      <c r="A166" s="215" t="s">
        <v>65</v>
      </c>
      <c r="B166">
        <v>439</v>
      </c>
      <c r="C166" s="215" t="s">
        <v>491</v>
      </c>
      <c r="D166">
        <v>0</v>
      </c>
      <c r="E166">
        <v>108.26</v>
      </c>
      <c r="F166">
        <v>4.0599999999999996</v>
      </c>
      <c r="H166">
        <v>0.43</v>
      </c>
      <c r="J166">
        <v>-5.49</v>
      </c>
      <c r="K166">
        <v>264567840.53</v>
      </c>
      <c r="L166">
        <v>1135</v>
      </c>
      <c r="M166" s="215" t="s">
        <v>208</v>
      </c>
      <c r="N166">
        <v>2443800</v>
      </c>
    </row>
    <row r="167" spans="1:14" x14ac:dyDescent="0.25">
      <c r="A167" s="215" t="s">
        <v>138</v>
      </c>
      <c r="B167">
        <v>101</v>
      </c>
      <c r="C167" s="215" t="s">
        <v>491</v>
      </c>
      <c r="D167">
        <v>12.46</v>
      </c>
      <c r="E167">
        <v>99.94</v>
      </c>
      <c r="F167">
        <v>1.02</v>
      </c>
      <c r="G167">
        <v>4085786.68</v>
      </c>
      <c r="H167">
        <v>2.54</v>
      </c>
      <c r="K167">
        <v>1050988640.61</v>
      </c>
      <c r="L167">
        <v>53308</v>
      </c>
      <c r="M167" s="215" t="s">
        <v>208</v>
      </c>
      <c r="N167">
        <v>10516005</v>
      </c>
    </row>
    <row r="168" spans="1:14" x14ac:dyDescent="0.25">
      <c r="A168" s="215" t="s">
        <v>9</v>
      </c>
      <c r="B168">
        <v>107.84</v>
      </c>
      <c r="C168" s="215" t="s">
        <v>491</v>
      </c>
      <c r="D168">
        <v>16.86</v>
      </c>
      <c r="E168">
        <v>98.5</v>
      </c>
      <c r="F168">
        <v>1.1100000000000001</v>
      </c>
      <c r="G168">
        <v>2053091.38</v>
      </c>
      <c r="H168">
        <v>7.07</v>
      </c>
      <c r="K168">
        <v>731147472.69000006</v>
      </c>
      <c r="L168">
        <v>46828</v>
      </c>
      <c r="M168" s="215" t="s">
        <v>208</v>
      </c>
      <c r="N168">
        <v>7422668</v>
      </c>
    </row>
    <row r="169" spans="1:14" x14ac:dyDescent="0.25">
      <c r="A169" s="215" t="s">
        <v>19</v>
      </c>
      <c r="B169">
        <v>104.73</v>
      </c>
      <c r="C169" s="215" t="s">
        <v>491</v>
      </c>
      <c r="D169">
        <v>12.26</v>
      </c>
      <c r="E169">
        <v>96.11</v>
      </c>
      <c r="F169">
        <v>1.0900000000000001</v>
      </c>
      <c r="G169">
        <v>2160787.71</v>
      </c>
      <c r="H169">
        <v>0.47</v>
      </c>
      <c r="I169">
        <v>6.98</v>
      </c>
      <c r="J169">
        <v>-6.44</v>
      </c>
      <c r="K169">
        <v>1076572380.55</v>
      </c>
      <c r="L169">
        <v>95305</v>
      </c>
      <c r="M169" s="215" t="s">
        <v>208</v>
      </c>
      <c r="N169">
        <v>11201800</v>
      </c>
    </row>
    <row r="170" spans="1:14" x14ac:dyDescent="0.25">
      <c r="A170" s="215" t="s">
        <v>446</v>
      </c>
      <c r="B170">
        <v>76.3</v>
      </c>
      <c r="C170" s="215" t="s">
        <v>491</v>
      </c>
      <c r="D170">
        <v>7.09</v>
      </c>
      <c r="E170">
        <v>96.6</v>
      </c>
      <c r="F170">
        <v>0.79</v>
      </c>
      <c r="G170">
        <v>301801.09000000003</v>
      </c>
      <c r="H170">
        <v>14.08</v>
      </c>
      <c r="K170">
        <v>260302313.18000001</v>
      </c>
      <c r="L170">
        <v>3880</v>
      </c>
      <c r="M170" s="215" t="s">
        <v>208</v>
      </c>
      <c r="N170">
        <v>2694622</v>
      </c>
    </row>
    <row r="171" spans="1:14" x14ac:dyDescent="0.25">
      <c r="A171" s="215" t="s">
        <v>34</v>
      </c>
      <c r="B171">
        <v>109.93</v>
      </c>
      <c r="C171" s="215" t="s">
        <v>491</v>
      </c>
      <c r="D171">
        <v>8.35</v>
      </c>
      <c r="E171">
        <v>132.05000000000001</v>
      </c>
      <c r="F171">
        <v>0.84</v>
      </c>
      <c r="G171">
        <v>1333841.68</v>
      </c>
      <c r="H171">
        <v>2.2000000000000002</v>
      </c>
      <c r="I171">
        <v>5.28</v>
      </c>
      <c r="J171">
        <v>-4.43</v>
      </c>
      <c r="K171">
        <v>1024468739.64</v>
      </c>
      <c r="L171">
        <v>95077</v>
      </c>
      <c r="M171" s="215" t="s">
        <v>208</v>
      </c>
      <c r="N171">
        <v>7758429</v>
      </c>
    </row>
    <row r="172" spans="1:14" x14ac:dyDescent="0.25">
      <c r="A172" s="215" t="s">
        <v>455</v>
      </c>
      <c r="B172">
        <v>0</v>
      </c>
      <c r="C172" s="215" t="s">
        <v>491</v>
      </c>
      <c r="D172">
        <v>0</v>
      </c>
      <c r="E172">
        <v>14.26</v>
      </c>
      <c r="H172">
        <v>23.81</v>
      </c>
      <c r="K172">
        <v>12485010.800000001</v>
      </c>
      <c r="L172">
        <v>14</v>
      </c>
      <c r="M172" s="215" t="s">
        <v>206</v>
      </c>
      <c r="N172">
        <v>875758</v>
      </c>
    </row>
    <row r="173" spans="1:14" x14ac:dyDescent="0.25">
      <c r="A173" s="215" t="s">
        <v>267</v>
      </c>
      <c r="B173">
        <v>1520</v>
      </c>
      <c r="C173" s="215" t="s">
        <v>491</v>
      </c>
      <c r="D173">
        <v>8.32</v>
      </c>
      <c r="E173">
        <v>1649.25</v>
      </c>
      <c r="F173">
        <v>0.92</v>
      </c>
      <c r="H173">
        <v>0.86</v>
      </c>
      <c r="K173">
        <v>85761220.129999995</v>
      </c>
      <c r="L173">
        <v>55</v>
      </c>
      <c r="M173" s="215" t="s">
        <v>206</v>
      </c>
      <c r="N173">
        <v>52000</v>
      </c>
    </row>
    <row r="174" spans="1:14" x14ac:dyDescent="0.25">
      <c r="A174" s="215" t="s">
        <v>67</v>
      </c>
      <c r="B174">
        <v>219.5</v>
      </c>
      <c r="C174" s="215" t="s">
        <v>491</v>
      </c>
      <c r="D174">
        <v>7.62</v>
      </c>
      <c r="E174">
        <v>191.77</v>
      </c>
      <c r="F174">
        <v>1.1499999999999999</v>
      </c>
      <c r="G174">
        <v>6961.43</v>
      </c>
      <c r="H174">
        <v>1.46</v>
      </c>
      <c r="I174">
        <v>-5.9</v>
      </c>
      <c r="J174">
        <v>-9.6199999999999992</v>
      </c>
      <c r="K174">
        <v>45257589.670000002</v>
      </c>
      <c r="L174">
        <v>563</v>
      </c>
      <c r="M174" s="215" t="s">
        <v>206</v>
      </c>
      <c r="N174">
        <v>236000</v>
      </c>
    </row>
    <row r="175" spans="1:14" x14ac:dyDescent="0.25">
      <c r="A175" s="215" t="s">
        <v>444</v>
      </c>
      <c r="B175">
        <v>0</v>
      </c>
      <c r="C175" s="215" t="s">
        <v>491</v>
      </c>
      <c r="D175">
        <v>0</v>
      </c>
      <c r="E175">
        <v>92.86</v>
      </c>
      <c r="H175">
        <v>17.25</v>
      </c>
      <c r="K175">
        <v>110907626.73</v>
      </c>
      <c r="L175">
        <v>6</v>
      </c>
      <c r="M175" s="215" t="s">
        <v>208</v>
      </c>
      <c r="N175">
        <v>1194352</v>
      </c>
    </row>
    <row r="176" spans="1:14" x14ac:dyDescent="0.25">
      <c r="A176" s="215" t="s">
        <v>463</v>
      </c>
      <c r="B176">
        <v>99.97</v>
      </c>
      <c r="C176" s="215" t="s">
        <v>491</v>
      </c>
      <c r="D176">
        <v>2.11</v>
      </c>
      <c r="E176">
        <v>101.45</v>
      </c>
      <c r="F176">
        <v>0.98</v>
      </c>
      <c r="G176">
        <v>13839.88</v>
      </c>
      <c r="H176">
        <v>11.57</v>
      </c>
      <c r="K176">
        <v>50977855.109999999</v>
      </c>
      <c r="L176">
        <v>97</v>
      </c>
      <c r="M176" s="215" t="s">
        <v>208</v>
      </c>
      <c r="N176">
        <v>502500</v>
      </c>
    </row>
    <row r="177" spans="1:14" x14ac:dyDescent="0.25">
      <c r="A177" s="215" t="s">
        <v>90</v>
      </c>
      <c r="B177">
        <v>290</v>
      </c>
      <c r="C177" s="215" t="s">
        <v>491</v>
      </c>
      <c r="D177">
        <v>6.29</v>
      </c>
      <c r="E177">
        <v>691.22</v>
      </c>
      <c r="F177">
        <v>0.41</v>
      </c>
      <c r="G177">
        <v>5039.46</v>
      </c>
      <c r="H177">
        <v>0.6</v>
      </c>
      <c r="I177">
        <v>14.99</v>
      </c>
      <c r="J177">
        <v>-15.92</v>
      </c>
      <c r="K177">
        <v>37047298.5</v>
      </c>
      <c r="L177">
        <v>664</v>
      </c>
      <c r="M177" s="215" t="s">
        <v>206</v>
      </c>
      <c r="N177">
        <v>53597</v>
      </c>
    </row>
    <row r="178" spans="1:14" x14ac:dyDescent="0.25">
      <c r="A178" s="215" t="s">
        <v>225</v>
      </c>
      <c r="B178">
        <v>479.99</v>
      </c>
      <c r="C178" s="215" t="s">
        <v>491</v>
      </c>
      <c r="D178">
        <v>0</v>
      </c>
      <c r="E178">
        <v>381.5</v>
      </c>
      <c r="F178">
        <v>1.26</v>
      </c>
      <c r="H178">
        <v>2.59</v>
      </c>
      <c r="K178">
        <v>43511201.93</v>
      </c>
      <c r="L178">
        <v>28</v>
      </c>
      <c r="M178" s="215" t="s">
        <v>208</v>
      </c>
      <c r="N178">
        <v>114054</v>
      </c>
    </row>
    <row r="179" spans="1:14" x14ac:dyDescent="0.25">
      <c r="A179" s="215" t="s">
        <v>215</v>
      </c>
      <c r="B179">
        <v>70</v>
      </c>
      <c r="C179" s="215" t="s">
        <v>491</v>
      </c>
      <c r="D179">
        <v>9.61</v>
      </c>
      <c r="E179">
        <v>171.04</v>
      </c>
      <c r="F179">
        <v>0.41</v>
      </c>
      <c r="G179">
        <v>1358.6</v>
      </c>
      <c r="H179">
        <v>1.0900000000000001</v>
      </c>
      <c r="I179">
        <v>-2.09</v>
      </c>
      <c r="K179">
        <v>169412919.03999999</v>
      </c>
      <c r="L179">
        <v>51</v>
      </c>
      <c r="M179" s="215" t="s">
        <v>208</v>
      </c>
      <c r="N179">
        <v>990500</v>
      </c>
    </row>
    <row r="180" spans="1:14" x14ac:dyDescent="0.25">
      <c r="A180" s="215" t="s">
        <v>309</v>
      </c>
      <c r="B180">
        <v>92</v>
      </c>
      <c r="C180" s="215" t="s">
        <v>491</v>
      </c>
      <c r="D180">
        <v>0</v>
      </c>
      <c r="E180">
        <v>104.63</v>
      </c>
      <c r="F180">
        <v>0.88</v>
      </c>
      <c r="G180">
        <v>664</v>
      </c>
      <c r="H180">
        <v>0.92</v>
      </c>
      <c r="K180">
        <v>30022523.219999999</v>
      </c>
      <c r="L180">
        <v>76</v>
      </c>
      <c r="M180" s="215" t="s">
        <v>208</v>
      </c>
      <c r="N180">
        <v>286942</v>
      </c>
    </row>
    <row r="181" spans="1:14" x14ac:dyDescent="0.25">
      <c r="A181" s="215" t="s">
        <v>77</v>
      </c>
      <c r="B181">
        <v>66.739999999999995</v>
      </c>
      <c r="C181" s="215" t="s">
        <v>491</v>
      </c>
      <c r="D181">
        <v>5.45</v>
      </c>
      <c r="E181">
        <v>86.27</v>
      </c>
      <c r="F181">
        <v>0.78</v>
      </c>
      <c r="G181">
        <v>351980.59</v>
      </c>
      <c r="H181">
        <v>1.02</v>
      </c>
      <c r="K181">
        <v>299994005.75999999</v>
      </c>
      <c r="L181">
        <v>10596</v>
      </c>
      <c r="M181" s="215" t="s">
        <v>208</v>
      </c>
      <c r="N181">
        <v>3477434</v>
      </c>
    </row>
    <row r="182" spans="1:14" x14ac:dyDescent="0.25">
      <c r="A182" s="215" t="s">
        <v>362</v>
      </c>
      <c r="B182">
        <v>0</v>
      </c>
      <c r="C182" s="215" t="s">
        <v>491</v>
      </c>
      <c r="D182">
        <v>0</v>
      </c>
      <c r="E182">
        <v>0.24</v>
      </c>
      <c r="H182">
        <v>41.24</v>
      </c>
      <c r="K182">
        <v>15764918.220000001</v>
      </c>
      <c r="L182">
        <v>5</v>
      </c>
      <c r="M182" s="215" t="s">
        <v>208</v>
      </c>
      <c r="N182">
        <v>65361974</v>
      </c>
    </row>
    <row r="183" spans="1:14" x14ac:dyDescent="0.25">
      <c r="A183" s="215" t="s">
        <v>142</v>
      </c>
      <c r="B183">
        <v>101.69</v>
      </c>
      <c r="C183" s="215" t="s">
        <v>491</v>
      </c>
      <c r="D183">
        <v>8.51</v>
      </c>
      <c r="E183">
        <v>101.18</v>
      </c>
      <c r="F183">
        <v>0.98</v>
      </c>
      <c r="G183">
        <v>12835.77</v>
      </c>
      <c r="H183">
        <v>17.46</v>
      </c>
      <c r="K183">
        <v>82067257.620000005</v>
      </c>
      <c r="L183">
        <v>370</v>
      </c>
      <c r="M183" s="215" t="s">
        <v>208</v>
      </c>
      <c r="N183">
        <v>811104</v>
      </c>
    </row>
    <row r="184" spans="1:14" x14ac:dyDescent="0.25">
      <c r="A184" s="215" t="s">
        <v>49</v>
      </c>
      <c r="B184">
        <v>78.55</v>
      </c>
      <c r="C184" s="215" t="s">
        <v>491</v>
      </c>
      <c r="D184">
        <v>6.87</v>
      </c>
      <c r="E184">
        <v>101.96</v>
      </c>
      <c r="F184">
        <v>0.78</v>
      </c>
      <c r="G184">
        <v>12973.26</v>
      </c>
      <c r="H184">
        <v>2.3199999999999998</v>
      </c>
      <c r="J184">
        <v>-9.7200000000000006</v>
      </c>
      <c r="K184">
        <v>214003283.69</v>
      </c>
      <c r="L184">
        <v>2013</v>
      </c>
      <c r="M184" s="215" t="s">
        <v>208</v>
      </c>
      <c r="N184">
        <v>2098800</v>
      </c>
    </row>
    <row r="185" spans="1:14" x14ac:dyDescent="0.25">
      <c r="A185" s="215" t="s">
        <v>76</v>
      </c>
      <c r="B185">
        <v>149</v>
      </c>
      <c r="C185" s="215" t="s">
        <v>491</v>
      </c>
      <c r="D185">
        <v>5.84</v>
      </c>
      <c r="E185">
        <v>174.78</v>
      </c>
      <c r="F185">
        <v>0.85</v>
      </c>
      <c r="G185">
        <v>56033.760000000002</v>
      </c>
      <c r="H185">
        <v>1.08</v>
      </c>
      <c r="I185">
        <v>2.66</v>
      </c>
      <c r="J185">
        <v>2.09</v>
      </c>
      <c r="K185">
        <v>159227552.84</v>
      </c>
      <c r="L185">
        <v>3888</v>
      </c>
      <c r="M185" s="215" t="s">
        <v>206</v>
      </c>
      <c r="N185">
        <v>911000</v>
      </c>
    </row>
    <row r="186" spans="1:14" x14ac:dyDescent="0.25">
      <c r="A186" s="215" t="s">
        <v>115</v>
      </c>
      <c r="B186">
        <v>79.17</v>
      </c>
      <c r="C186" s="215" t="s">
        <v>491</v>
      </c>
      <c r="D186">
        <v>4.5</v>
      </c>
      <c r="E186">
        <v>94.78</v>
      </c>
      <c r="F186">
        <v>0.82</v>
      </c>
      <c r="G186">
        <v>3744.2</v>
      </c>
      <c r="H186">
        <v>1.46</v>
      </c>
      <c r="K186">
        <v>275693368.83999997</v>
      </c>
      <c r="L186">
        <v>379</v>
      </c>
      <c r="M186" s="215" t="s">
        <v>206</v>
      </c>
      <c r="N186">
        <v>2908813</v>
      </c>
    </row>
    <row r="187" spans="1:14" x14ac:dyDescent="0.25">
      <c r="A187" s="215" t="s">
        <v>187</v>
      </c>
      <c r="B187">
        <v>0</v>
      </c>
      <c r="C187" s="215" t="s">
        <v>491</v>
      </c>
      <c r="D187">
        <v>0</v>
      </c>
      <c r="E187">
        <v>107.66</v>
      </c>
      <c r="H187">
        <v>10.97</v>
      </c>
      <c r="K187">
        <v>679573247.75</v>
      </c>
      <c r="L187">
        <v>28</v>
      </c>
      <c r="M187" s="215" t="s">
        <v>208</v>
      </c>
      <c r="N187">
        <v>6312090</v>
      </c>
    </row>
    <row r="188" spans="1:14" x14ac:dyDescent="0.25">
      <c r="A188" s="215" t="s">
        <v>134</v>
      </c>
      <c r="B188">
        <v>16.8</v>
      </c>
      <c r="C188" s="215" t="s">
        <v>491</v>
      </c>
      <c r="D188">
        <v>0</v>
      </c>
      <c r="E188">
        <v>10.89</v>
      </c>
      <c r="F188">
        <v>1.54</v>
      </c>
      <c r="G188">
        <v>3639</v>
      </c>
      <c r="H188">
        <v>0.05</v>
      </c>
      <c r="J188">
        <v>6.34</v>
      </c>
      <c r="K188">
        <v>432739853.66000003</v>
      </c>
      <c r="L188">
        <v>323</v>
      </c>
      <c r="M188" s="215" t="s">
        <v>208</v>
      </c>
      <c r="N188">
        <v>39751415</v>
      </c>
    </row>
    <row r="189" spans="1:14" x14ac:dyDescent="0.25">
      <c r="A189" s="215" t="s">
        <v>307</v>
      </c>
      <c r="B189">
        <v>85.55</v>
      </c>
      <c r="C189" s="215" t="s">
        <v>491</v>
      </c>
      <c r="D189">
        <v>11.35</v>
      </c>
      <c r="E189">
        <v>97.51</v>
      </c>
      <c r="F189">
        <v>0.88</v>
      </c>
      <c r="G189">
        <v>116442.65</v>
      </c>
      <c r="H189">
        <v>1.93</v>
      </c>
      <c r="K189">
        <v>46976706.810000002</v>
      </c>
      <c r="L189">
        <v>2066</v>
      </c>
      <c r="M189" s="215" t="s">
        <v>208</v>
      </c>
      <c r="N189">
        <v>481757</v>
      </c>
    </row>
    <row r="190" spans="1:14" x14ac:dyDescent="0.25">
      <c r="A190" s="215" t="s">
        <v>304</v>
      </c>
      <c r="B190">
        <v>79.510000000000005</v>
      </c>
      <c r="C190" s="215" t="s">
        <v>491</v>
      </c>
      <c r="D190">
        <v>11.5</v>
      </c>
      <c r="E190">
        <v>121.66</v>
      </c>
      <c r="F190">
        <v>0.65</v>
      </c>
      <c r="G190">
        <v>201608.85</v>
      </c>
      <c r="H190">
        <v>1.24</v>
      </c>
      <c r="K190">
        <v>162368820.58000001</v>
      </c>
      <c r="L190">
        <v>4888</v>
      </c>
      <c r="M190" s="215" t="s">
        <v>208</v>
      </c>
      <c r="N190">
        <v>1334562</v>
      </c>
    </row>
    <row r="191" spans="1:14" x14ac:dyDescent="0.25">
      <c r="A191" s="215" t="s">
        <v>166</v>
      </c>
      <c r="B191">
        <v>63.74</v>
      </c>
      <c r="C191" s="215" t="s">
        <v>491</v>
      </c>
      <c r="D191">
        <v>12.35</v>
      </c>
      <c r="E191">
        <v>79.69</v>
      </c>
      <c r="F191">
        <v>0.8</v>
      </c>
      <c r="G191">
        <v>204181.97</v>
      </c>
      <c r="H191">
        <v>0.45</v>
      </c>
      <c r="K191">
        <v>144582523.66999999</v>
      </c>
      <c r="L191">
        <v>8787</v>
      </c>
      <c r="M191" s="215" t="s">
        <v>208</v>
      </c>
      <c r="N191">
        <v>1814336</v>
      </c>
    </row>
    <row r="192" spans="1:14" x14ac:dyDescent="0.25">
      <c r="A192" s="215" t="s">
        <v>252</v>
      </c>
      <c r="B192">
        <v>95.5</v>
      </c>
      <c r="C192" s="215" t="s">
        <v>491</v>
      </c>
      <c r="D192">
        <v>6.69</v>
      </c>
      <c r="E192">
        <v>109.83</v>
      </c>
      <c r="F192">
        <v>0.87</v>
      </c>
      <c r="G192">
        <v>6182.44</v>
      </c>
      <c r="H192">
        <v>0.88</v>
      </c>
      <c r="K192">
        <v>106226638.2</v>
      </c>
      <c r="L192">
        <v>118</v>
      </c>
      <c r="M192" s="215" t="s">
        <v>208</v>
      </c>
      <c r="N192">
        <v>967201</v>
      </c>
    </row>
    <row r="193" spans="1:14" x14ac:dyDescent="0.25">
      <c r="A193" s="215" t="s">
        <v>41</v>
      </c>
      <c r="B193">
        <v>53.9</v>
      </c>
      <c r="C193" s="215" t="s">
        <v>491</v>
      </c>
      <c r="D193">
        <v>5.84</v>
      </c>
      <c r="E193">
        <v>99.63</v>
      </c>
      <c r="F193">
        <v>0.54</v>
      </c>
      <c r="G193">
        <v>181794.91</v>
      </c>
      <c r="H193">
        <v>4.3600000000000003</v>
      </c>
      <c r="I193">
        <v>-27.17</v>
      </c>
      <c r="J193">
        <v>-4.4400000000000004</v>
      </c>
      <c r="K193">
        <v>283950310.56</v>
      </c>
      <c r="L193">
        <v>16506</v>
      </c>
      <c r="M193" s="215" t="s">
        <v>206</v>
      </c>
      <c r="N193">
        <v>2850000</v>
      </c>
    </row>
    <row r="194" spans="1:14" x14ac:dyDescent="0.25">
      <c r="A194" s="215" t="s">
        <v>169</v>
      </c>
      <c r="B194">
        <v>76.92</v>
      </c>
      <c r="C194" s="215" t="s">
        <v>491</v>
      </c>
      <c r="D194">
        <v>8.8800000000000008</v>
      </c>
      <c r="E194">
        <v>98.03</v>
      </c>
      <c r="F194">
        <v>0.79</v>
      </c>
      <c r="G194">
        <v>1146742.74</v>
      </c>
      <c r="H194">
        <v>1.06</v>
      </c>
      <c r="K194">
        <v>489325145.50999999</v>
      </c>
      <c r="L194">
        <v>15454</v>
      </c>
      <c r="M194" s="215" t="s">
        <v>208</v>
      </c>
      <c r="N194">
        <v>4991535</v>
      </c>
    </row>
    <row r="195" spans="1:14" x14ac:dyDescent="0.25">
      <c r="A195" s="215" t="s">
        <v>139</v>
      </c>
      <c r="B195">
        <v>42.99</v>
      </c>
      <c r="C195" s="215" t="s">
        <v>491</v>
      </c>
      <c r="D195">
        <v>20.23</v>
      </c>
      <c r="E195">
        <v>64.81</v>
      </c>
      <c r="F195">
        <v>0.66</v>
      </c>
      <c r="G195">
        <v>34021.32</v>
      </c>
      <c r="H195">
        <v>6.8</v>
      </c>
      <c r="I195">
        <v>-3.12</v>
      </c>
      <c r="J195">
        <v>-22.09</v>
      </c>
      <c r="K195">
        <v>111009076.91</v>
      </c>
      <c r="L195">
        <v>4515</v>
      </c>
      <c r="M195" s="215" t="s">
        <v>206</v>
      </c>
      <c r="N195">
        <v>1712950</v>
      </c>
    </row>
    <row r="196" spans="1:14" x14ac:dyDescent="0.25">
      <c r="A196" s="215" t="s">
        <v>72</v>
      </c>
      <c r="B196">
        <v>80.989999999999995</v>
      </c>
      <c r="C196" s="215" t="s">
        <v>491</v>
      </c>
      <c r="D196">
        <v>10.29</v>
      </c>
      <c r="E196">
        <v>98.52</v>
      </c>
      <c r="F196">
        <v>0.81</v>
      </c>
      <c r="G196">
        <v>635759.68000000005</v>
      </c>
      <c r="H196">
        <v>0.56999999999999995</v>
      </c>
      <c r="K196">
        <v>1182184346.8099999</v>
      </c>
      <c r="L196">
        <v>26065</v>
      </c>
      <c r="M196" s="215" t="s">
        <v>208</v>
      </c>
      <c r="N196">
        <v>12000000</v>
      </c>
    </row>
    <row r="197" spans="1:14" x14ac:dyDescent="0.25">
      <c r="A197" s="215" t="s">
        <v>155</v>
      </c>
      <c r="B197">
        <v>78.17</v>
      </c>
      <c r="C197" s="215" t="s">
        <v>491</v>
      </c>
      <c r="D197">
        <v>9.14</v>
      </c>
      <c r="E197">
        <v>93.91</v>
      </c>
      <c r="F197">
        <v>0.83</v>
      </c>
      <c r="G197">
        <v>522532.06</v>
      </c>
      <c r="H197">
        <v>1.06</v>
      </c>
      <c r="I197">
        <v>2.62</v>
      </c>
      <c r="J197">
        <v>-7.88</v>
      </c>
      <c r="K197">
        <v>425739199.80000001</v>
      </c>
      <c r="L197">
        <v>8085</v>
      </c>
      <c r="M197" s="215" t="s">
        <v>208</v>
      </c>
      <c r="N197">
        <v>4533315</v>
      </c>
    </row>
    <row r="198" spans="1:14" x14ac:dyDescent="0.25">
      <c r="A198" s="215" t="s">
        <v>459</v>
      </c>
      <c r="B198">
        <v>0</v>
      </c>
      <c r="C198" s="215" t="s">
        <v>491</v>
      </c>
      <c r="D198">
        <v>0</v>
      </c>
      <c r="E198">
        <v>138.15</v>
      </c>
      <c r="H198">
        <v>2.11</v>
      </c>
      <c r="K198">
        <v>54029117.079999998</v>
      </c>
      <c r="L198">
        <v>20</v>
      </c>
      <c r="M198" s="215" t="s">
        <v>208</v>
      </c>
      <c r="N198">
        <v>391083</v>
      </c>
    </row>
    <row r="199" spans="1:14" x14ac:dyDescent="0.25">
      <c r="A199" s="215" t="s">
        <v>342</v>
      </c>
      <c r="B199">
        <v>51.59</v>
      </c>
      <c r="C199" s="215" t="s">
        <v>491</v>
      </c>
      <c r="D199">
        <v>8.06</v>
      </c>
      <c r="E199">
        <v>96.88</v>
      </c>
      <c r="F199">
        <v>0.54</v>
      </c>
      <c r="G199">
        <v>182184.41</v>
      </c>
      <c r="H199">
        <v>0.34</v>
      </c>
      <c r="K199">
        <v>111873871.51000001</v>
      </c>
      <c r="L199">
        <v>1188</v>
      </c>
      <c r="M199" s="215" t="s">
        <v>208</v>
      </c>
      <c r="N199">
        <v>1154709</v>
      </c>
    </row>
    <row r="200" spans="1:14" x14ac:dyDescent="0.25">
      <c r="A200" s="215" t="s">
        <v>46</v>
      </c>
      <c r="B200">
        <v>97.65</v>
      </c>
      <c r="C200" s="215" t="s">
        <v>491</v>
      </c>
      <c r="D200">
        <v>6.78</v>
      </c>
      <c r="E200">
        <v>109.3</v>
      </c>
      <c r="F200">
        <v>0.9</v>
      </c>
      <c r="G200">
        <v>1339814.21</v>
      </c>
      <c r="H200">
        <v>2.12</v>
      </c>
      <c r="I200">
        <v>-0.35</v>
      </c>
      <c r="J200">
        <v>-2.96</v>
      </c>
      <c r="K200">
        <v>826318263.28999996</v>
      </c>
      <c r="L200">
        <v>92006</v>
      </c>
      <c r="M200" s="215" t="s">
        <v>208</v>
      </c>
      <c r="N200">
        <v>7560351</v>
      </c>
    </row>
    <row r="201" spans="1:14" x14ac:dyDescent="0.25">
      <c r="A201" s="215" t="s">
        <v>301</v>
      </c>
      <c r="B201">
        <v>102.12</v>
      </c>
      <c r="C201" s="215" t="s">
        <v>491</v>
      </c>
      <c r="D201">
        <v>10.81</v>
      </c>
      <c r="E201">
        <v>100.05</v>
      </c>
      <c r="F201">
        <v>1.02</v>
      </c>
      <c r="G201">
        <v>3524292.79</v>
      </c>
      <c r="H201">
        <v>8.0299999999999994</v>
      </c>
      <c r="K201">
        <v>1105317680.8800001</v>
      </c>
      <c r="L201">
        <v>44338</v>
      </c>
      <c r="M201" s="215" t="s">
        <v>208</v>
      </c>
      <c r="N201">
        <v>11048018</v>
      </c>
    </row>
    <row r="202" spans="1:14" x14ac:dyDescent="0.25">
      <c r="A202" s="215" t="s">
        <v>181</v>
      </c>
      <c r="B202">
        <v>55.79</v>
      </c>
      <c r="C202" s="215" t="s">
        <v>491</v>
      </c>
      <c r="D202">
        <v>10.77</v>
      </c>
      <c r="E202">
        <v>59.29</v>
      </c>
      <c r="F202">
        <v>0.94</v>
      </c>
      <c r="G202">
        <v>3921.18</v>
      </c>
      <c r="H202">
        <v>10.1</v>
      </c>
      <c r="I202">
        <v>4.84</v>
      </c>
      <c r="J202">
        <v>-13.08</v>
      </c>
      <c r="K202">
        <v>63916321.189999998</v>
      </c>
      <c r="L202">
        <v>924</v>
      </c>
      <c r="M202" s="215" t="s">
        <v>208</v>
      </c>
      <c r="N202">
        <v>1078042</v>
      </c>
    </row>
    <row r="203" spans="1:14" x14ac:dyDescent="0.25">
      <c r="A203" s="215" t="s">
        <v>177</v>
      </c>
      <c r="B203">
        <v>53</v>
      </c>
      <c r="C203" s="215" t="s">
        <v>491</v>
      </c>
      <c r="D203">
        <v>10.72</v>
      </c>
      <c r="E203">
        <v>67.540000000000006</v>
      </c>
      <c r="F203">
        <v>0.8</v>
      </c>
      <c r="G203">
        <v>355518.76</v>
      </c>
      <c r="H203">
        <v>1.79</v>
      </c>
      <c r="I203">
        <v>-12.54</v>
      </c>
      <c r="K203">
        <v>253219830.88</v>
      </c>
      <c r="L203">
        <v>22134</v>
      </c>
      <c r="M203" s="215" t="s">
        <v>208</v>
      </c>
      <c r="N203">
        <v>3749215</v>
      </c>
    </row>
    <row r="204" spans="1:14" x14ac:dyDescent="0.25">
      <c r="A204" s="215" t="s">
        <v>495</v>
      </c>
      <c r="B204">
        <v>9.6999999999999993</v>
      </c>
      <c r="C204" s="215" t="s">
        <v>491</v>
      </c>
      <c r="D204">
        <v>2.35</v>
      </c>
      <c r="E204">
        <v>1.29</v>
      </c>
      <c r="F204">
        <v>7.36</v>
      </c>
      <c r="G204">
        <v>1243.05</v>
      </c>
      <c r="H204">
        <v>8.68</v>
      </c>
      <c r="K204">
        <v>123781477.15000001</v>
      </c>
      <c r="L204">
        <v>25</v>
      </c>
      <c r="M204" s="215" t="s">
        <v>208</v>
      </c>
      <c r="N204">
        <v>96286020</v>
      </c>
    </row>
    <row r="205" spans="1:14" x14ac:dyDescent="0.25">
      <c r="A205" s="215" t="s">
        <v>350</v>
      </c>
      <c r="B205">
        <v>108.4</v>
      </c>
      <c r="C205" s="215" t="s">
        <v>491</v>
      </c>
      <c r="D205">
        <v>10.81</v>
      </c>
      <c r="E205">
        <v>85.97</v>
      </c>
      <c r="F205">
        <v>1.26</v>
      </c>
      <c r="G205">
        <v>108</v>
      </c>
      <c r="H205">
        <v>3.47</v>
      </c>
      <c r="K205">
        <v>52597012.030000001</v>
      </c>
      <c r="L205">
        <v>13</v>
      </c>
      <c r="M205" s="215" t="s">
        <v>208</v>
      </c>
      <c r="N205">
        <v>272000</v>
      </c>
    </row>
    <row r="206" spans="1:14" x14ac:dyDescent="0.25">
      <c r="A206" s="215" t="s">
        <v>62</v>
      </c>
      <c r="B206">
        <v>55.8</v>
      </c>
      <c r="C206" s="215" t="s">
        <v>491</v>
      </c>
      <c r="D206">
        <v>9.6</v>
      </c>
      <c r="E206">
        <v>90.47</v>
      </c>
      <c r="F206">
        <v>0.63</v>
      </c>
      <c r="G206">
        <v>53994.26</v>
      </c>
      <c r="H206">
        <v>2.0499999999999998</v>
      </c>
      <c r="I206">
        <v>-6.53</v>
      </c>
      <c r="J206">
        <v>-12.31</v>
      </c>
      <c r="K206">
        <v>164257961.41999999</v>
      </c>
      <c r="L206">
        <v>5842</v>
      </c>
      <c r="M206" s="215" t="s">
        <v>206</v>
      </c>
      <c r="N206">
        <v>1815696</v>
      </c>
    </row>
    <row r="207" spans="1:14" x14ac:dyDescent="0.25">
      <c r="A207" s="215" t="s">
        <v>110</v>
      </c>
      <c r="B207">
        <v>96</v>
      </c>
      <c r="C207" s="215" t="s">
        <v>491</v>
      </c>
      <c r="D207">
        <v>0</v>
      </c>
      <c r="E207">
        <v>88.8</v>
      </c>
      <c r="F207">
        <v>1.08</v>
      </c>
      <c r="G207">
        <v>3489.64</v>
      </c>
      <c r="H207">
        <v>1.37</v>
      </c>
      <c r="J207">
        <v>-5.43</v>
      </c>
      <c r="K207">
        <v>155500510.16999999</v>
      </c>
      <c r="L207">
        <v>265</v>
      </c>
      <c r="M207" s="215" t="s">
        <v>206</v>
      </c>
      <c r="N207">
        <v>1751141</v>
      </c>
    </row>
    <row r="208" spans="1:14" x14ac:dyDescent="0.25">
      <c r="A208" s="215" t="s">
        <v>240</v>
      </c>
      <c r="B208">
        <v>0</v>
      </c>
      <c r="C208" s="215" t="s">
        <v>491</v>
      </c>
      <c r="D208">
        <v>0</v>
      </c>
      <c r="E208">
        <v>47.27</v>
      </c>
      <c r="H208">
        <v>3.54</v>
      </c>
      <c r="I208">
        <v>0.43</v>
      </c>
      <c r="K208">
        <v>48922930.219999999</v>
      </c>
      <c r="L208">
        <v>20</v>
      </c>
      <c r="M208" s="215" t="s">
        <v>208</v>
      </c>
      <c r="N208">
        <v>1035000</v>
      </c>
    </row>
    <row r="209" spans="1:14" x14ac:dyDescent="0.25">
      <c r="A209" s="215" t="s">
        <v>441</v>
      </c>
      <c r="B209">
        <v>86</v>
      </c>
      <c r="C209" s="215" t="s">
        <v>491</v>
      </c>
      <c r="D209">
        <v>12.09</v>
      </c>
      <c r="E209">
        <v>96.39</v>
      </c>
      <c r="F209">
        <v>0.9</v>
      </c>
      <c r="G209">
        <v>384093.47</v>
      </c>
      <c r="H209">
        <v>2.56</v>
      </c>
      <c r="K209">
        <v>166523437.59999999</v>
      </c>
      <c r="L209">
        <v>8</v>
      </c>
      <c r="M209" s="215" t="s">
        <v>208</v>
      </c>
      <c r="N209">
        <v>1727582</v>
      </c>
    </row>
    <row r="210" spans="1:14" x14ac:dyDescent="0.25">
      <c r="A210" s="215" t="s">
        <v>457</v>
      </c>
      <c r="B210">
        <v>10.42</v>
      </c>
      <c r="C210" s="215" t="s">
        <v>491</v>
      </c>
      <c r="D210">
        <v>1.1499999999999999</v>
      </c>
      <c r="E210">
        <v>9.84</v>
      </c>
      <c r="F210">
        <v>1.07</v>
      </c>
      <c r="G210">
        <v>3158.85</v>
      </c>
      <c r="H210">
        <v>28.52</v>
      </c>
      <c r="K210">
        <v>39476292.409999996</v>
      </c>
      <c r="L210">
        <v>64</v>
      </c>
      <c r="M210" s="215" t="s">
        <v>208</v>
      </c>
      <c r="N210">
        <v>4012857</v>
      </c>
    </row>
    <row r="211" spans="1:14" x14ac:dyDescent="0.25">
      <c r="A211" s="215" t="s">
        <v>368</v>
      </c>
      <c r="B211">
        <v>64</v>
      </c>
      <c r="C211" s="215" t="s">
        <v>491</v>
      </c>
      <c r="D211">
        <v>28.02</v>
      </c>
      <c r="E211">
        <v>85.87</v>
      </c>
      <c r="F211">
        <v>0.75</v>
      </c>
      <c r="G211">
        <v>12538.06</v>
      </c>
      <c r="H211">
        <v>8.08</v>
      </c>
      <c r="K211">
        <v>47402332.710000001</v>
      </c>
      <c r="L211">
        <v>133</v>
      </c>
      <c r="M211" s="215" t="s">
        <v>208</v>
      </c>
      <c r="N211">
        <v>552000</v>
      </c>
    </row>
    <row r="212" spans="1:14" x14ac:dyDescent="0.25">
      <c r="A212" s="215" t="s">
        <v>443</v>
      </c>
      <c r="B212">
        <v>0</v>
      </c>
      <c r="C212" s="215" t="s">
        <v>491</v>
      </c>
      <c r="D212">
        <v>0</v>
      </c>
      <c r="E212">
        <v>133.21</v>
      </c>
      <c r="H212">
        <v>0.8</v>
      </c>
      <c r="K212">
        <v>649558207.37</v>
      </c>
      <c r="L212">
        <v>97</v>
      </c>
      <c r="M212" s="215" t="s">
        <v>208</v>
      </c>
      <c r="N212">
        <v>4876129</v>
      </c>
    </row>
    <row r="213" spans="1:14" x14ac:dyDescent="0.25">
      <c r="A213" s="215" t="s">
        <v>157</v>
      </c>
      <c r="B213">
        <v>134.62</v>
      </c>
      <c r="C213" s="215" t="s">
        <v>491</v>
      </c>
      <c r="D213">
        <v>6.58</v>
      </c>
      <c r="E213">
        <v>157.58000000000001</v>
      </c>
      <c r="F213">
        <v>0.86</v>
      </c>
      <c r="G213">
        <v>4541613.59</v>
      </c>
      <c r="H213">
        <v>3.42</v>
      </c>
      <c r="I213">
        <v>-0.04</v>
      </c>
      <c r="J213">
        <v>-3.72</v>
      </c>
      <c r="K213">
        <v>3806712567.6900001</v>
      </c>
      <c r="L213">
        <v>233586</v>
      </c>
      <c r="M213" s="215" t="s">
        <v>208</v>
      </c>
      <c r="N213">
        <v>24157121</v>
      </c>
    </row>
    <row r="214" spans="1:14" x14ac:dyDescent="0.25">
      <c r="A214" s="215" t="s">
        <v>213</v>
      </c>
      <c r="B214">
        <v>100</v>
      </c>
      <c r="C214" s="215" t="s">
        <v>491</v>
      </c>
      <c r="D214">
        <v>0</v>
      </c>
      <c r="E214">
        <v>55.38</v>
      </c>
      <c r="F214">
        <v>1.81</v>
      </c>
      <c r="H214">
        <v>18.73</v>
      </c>
      <c r="K214">
        <v>82026813.109999999</v>
      </c>
      <c r="L214">
        <v>12</v>
      </c>
      <c r="M214" s="215" t="s">
        <v>208</v>
      </c>
      <c r="N214">
        <v>1481266</v>
      </c>
    </row>
    <row r="215" spans="1:14" x14ac:dyDescent="0.25">
      <c r="A215" s="215" t="s">
        <v>331</v>
      </c>
      <c r="B215">
        <v>95.11</v>
      </c>
      <c r="C215" s="215" t="s">
        <v>491</v>
      </c>
      <c r="D215">
        <v>7.27</v>
      </c>
      <c r="E215">
        <v>103.15</v>
      </c>
      <c r="F215">
        <v>0.92</v>
      </c>
      <c r="G215">
        <v>944764.44</v>
      </c>
      <c r="H215">
        <v>10.81</v>
      </c>
      <c r="K215">
        <v>617128957.80999994</v>
      </c>
      <c r="L215">
        <v>17184</v>
      </c>
      <c r="M215" s="215" t="s">
        <v>208</v>
      </c>
      <c r="N215">
        <v>5982736</v>
      </c>
    </row>
    <row r="216" spans="1:14" x14ac:dyDescent="0.25">
      <c r="A216" s="215" t="s">
        <v>220</v>
      </c>
      <c r="B216">
        <v>8.52</v>
      </c>
      <c r="C216" s="215" t="s">
        <v>491</v>
      </c>
      <c r="D216">
        <v>3352.46</v>
      </c>
      <c r="E216">
        <v>141.09</v>
      </c>
      <c r="F216">
        <v>0.06</v>
      </c>
      <c r="H216">
        <v>0.66</v>
      </c>
      <c r="K216">
        <v>227649999.5</v>
      </c>
      <c r="L216">
        <v>53</v>
      </c>
      <c r="M216" s="215" t="s">
        <v>206</v>
      </c>
      <c r="N216">
        <v>1613559</v>
      </c>
    </row>
    <row r="217" spans="1:14" x14ac:dyDescent="0.25">
      <c r="A217" s="215" t="s">
        <v>337</v>
      </c>
      <c r="B217">
        <v>0</v>
      </c>
      <c r="C217" s="215" t="s">
        <v>491</v>
      </c>
      <c r="D217">
        <v>0</v>
      </c>
      <c r="E217">
        <v>100.49</v>
      </c>
      <c r="H217">
        <v>1.47</v>
      </c>
      <c r="K217">
        <v>186642559.62</v>
      </c>
      <c r="L217">
        <v>3</v>
      </c>
      <c r="M217" s="215" t="s">
        <v>208</v>
      </c>
      <c r="N217">
        <v>1857348</v>
      </c>
    </row>
    <row r="218" spans="1:14" x14ac:dyDescent="0.25">
      <c r="A218" s="215" t="s">
        <v>89</v>
      </c>
      <c r="B218">
        <v>6.19</v>
      </c>
      <c r="C218" s="215" t="s">
        <v>491</v>
      </c>
      <c r="D218">
        <v>0</v>
      </c>
      <c r="E218">
        <v>13.94</v>
      </c>
      <c r="F218">
        <v>0.45</v>
      </c>
      <c r="G218">
        <v>4013.59</v>
      </c>
      <c r="H218">
        <v>0.67</v>
      </c>
      <c r="J218">
        <v>-3.55</v>
      </c>
      <c r="K218">
        <v>27391929.399999999</v>
      </c>
      <c r="L218">
        <v>4552</v>
      </c>
      <c r="M218" s="215" t="s">
        <v>208</v>
      </c>
      <c r="N218">
        <v>1965425</v>
      </c>
    </row>
    <row r="219" spans="1:14" x14ac:dyDescent="0.25">
      <c r="A219" s="215" t="s">
        <v>327</v>
      </c>
      <c r="B219">
        <v>72.34</v>
      </c>
      <c r="C219" s="215" t="s">
        <v>491</v>
      </c>
      <c r="D219">
        <v>8.17</v>
      </c>
      <c r="E219">
        <v>90.96</v>
      </c>
      <c r="F219">
        <v>0.79</v>
      </c>
      <c r="G219">
        <v>131370.79</v>
      </c>
      <c r="H219">
        <v>13.51</v>
      </c>
      <c r="K219">
        <v>95922268.239999995</v>
      </c>
      <c r="L219">
        <v>1783</v>
      </c>
      <c r="M219" s="215" t="s">
        <v>208</v>
      </c>
      <c r="N219">
        <v>1054507</v>
      </c>
    </row>
    <row r="220" spans="1:14" x14ac:dyDescent="0.25">
      <c r="A220" s="215" t="s">
        <v>257</v>
      </c>
      <c r="B220">
        <v>7.6</v>
      </c>
      <c r="C220" s="215" t="s">
        <v>491</v>
      </c>
      <c r="D220">
        <v>0</v>
      </c>
      <c r="E220">
        <v>24.86</v>
      </c>
      <c r="F220">
        <v>0.31</v>
      </c>
      <c r="G220">
        <v>13962</v>
      </c>
      <c r="H220">
        <v>0.03</v>
      </c>
      <c r="K220">
        <v>14519137.27</v>
      </c>
      <c r="L220">
        <v>283</v>
      </c>
      <c r="M220" s="215" t="s">
        <v>206</v>
      </c>
      <c r="N220">
        <v>583926</v>
      </c>
    </row>
    <row r="221" spans="1:14" x14ac:dyDescent="0.25">
      <c r="A221" s="215" t="s">
        <v>436</v>
      </c>
      <c r="B221">
        <v>87.9</v>
      </c>
      <c r="C221" s="215" t="s">
        <v>491</v>
      </c>
      <c r="D221">
        <v>5.85</v>
      </c>
      <c r="E221">
        <v>92.28</v>
      </c>
      <c r="F221">
        <v>0.94</v>
      </c>
      <c r="G221">
        <v>660144.79</v>
      </c>
      <c r="H221">
        <v>3.87</v>
      </c>
      <c r="K221">
        <v>230710296.21000001</v>
      </c>
      <c r="L221">
        <v>30751</v>
      </c>
      <c r="M221" s="215" t="s">
        <v>208</v>
      </c>
      <c r="N221">
        <v>2500000</v>
      </c>
    </row>
    <row r="222" spans="1:14" x14ac:dyDescent="0.25">
      <c r="A222" s="215" t="s">
        <v>344</v>
      </c>
      <c r="B222">
        <v>0</v>
      </c>
      <c r="C222" s="215" t="s">
        <v>491</v>
      </c>
      <c r="D222">
        <v>0</v>
      </c>
      <c r="E222">
        <v>1112.27</v>
      </c>
      <c r="H222">
        <v>135.13</v>
      </c>
      <c r="K222">
        <v>33368196.710000001</v>
      </c>
      <c r="L222">
        <v>2</v>
      </c>
      <c r="M222" s="215" t="s">
        <v>208</v>
      </c>
      <c r="N222">
        <v>30000</v>
      </c>
    </row>
    <row r="223" spans="1:14" x14ac:dyDescent="0.25">
      <c r="A223" s="215" t="s">
        <v>445</v>
      </c>
      <c r="B223">
        <v>114</v>
      </c>
      <c r="C223" s="215" t="s">
        <v>491</v>
      </c>
      <c r="D223">
        <v>6.8</v>
      </c>
      <c r="E223">
        <v>102.27</v>
      </c>
      <c r="F223">
        <v>1.1200000000000001</v>
      </c>
      <c r="G223">
        <v>409797.22</v>
      </c>
      <c r="H223">
        <v>2.27</v>
      </c>
      <c r="K223">
        <v>361739642.10000002</v>
      </c>
      <c r="L223">
        <v>131</v>
      </c>
      <c r="M223" s="215" t="s">
        <v>256</v>
      </c>
      <c r="N223">
        <v>3537064</v>
      </c>
    </row>
    <row r="224" spans="1:14" x14ac:dyDescent="0.25">
      <c r="A224" s="215" t="s">
        <v>320</v>
      </c>
      <c r="B224">
        <v>76.2</v>
      </c>
      <c r="C224" s="215" t="s">
        <v>491</v>
      </c>
      <c r="D224">
        <v>9.31</v>
      </c>
      <c r="E224">
        <v>86.66</v>
      </c>
      <c r="F224">
        <v>0.89</v>
      </c>
      <c r="G224">
        <v>134295.74</v>
      </c>
      <c r="H224">
        <v>1.26</v>
      </c>
      <c r="K224">
        <v>346963853</v>
      </c>
      <c r="L224">
        <v>4078</v>
      </c>
      <c r="M224" s="215" t="s">
        <v>206</v>
      </c>
      <c r="N224">
        <v>4003900</v>
      </c>
    </row>
    <row r="225" spans="1:14" x14ac:dyDescent="0.25">
      <c r="A225" s="215" t="s">
        <v>190</v>
      </c>
      <c r="B225">
        <v>82</v>
      </c>
      <c r="C225" s="215" t="s">
        <v>491</v>
      </c>
      <c r="D225">
        <v>9.17</v>
      </c>
      <c r="E225">
        <v>89.99</v>
      </c>
      <c r="F225">
        <v>0.91</v>
      </c>
      <c r="G225">
        <v>499229.85</v>
      </c>
      <c r="H225">
        <v>7.74</v>
      </c>
      <c r="K225">
        <v>253093315.58000001</v>
      </c>
      <c r="L225">
        <v>6476</v>
      </c>
      <c r="M225" s="215" t="s">
        <v>208</v>
      </c>
      <c r="N225">
        <v>2812340</v>
      </c>
    </row>
    <row r="226" spans="1:14" x14ac:dyDescent="0.25">
      <c r="A226" s="215" t="s">
        <v>135</v>
      </c>
      <c r="B226">
        <v>2.13</v>
      </c>
      <c r="C226" s="215" t="s">
        <v>491</v>
      </c>
      <c r="D226">
        <v>2.42</v>
      </c>
      <c r="E226">
        <v>7.94</v>
      </c>
      <c r="F226">
        <v>0.25</v>
      </c>
      <c r="G226">
        <v>67050.06</v>
      </c>
      <c r="H226">
        <v>0.06</v>
      </c>
      <c r="J226">
        <v>-37.81</v>
      </c>
      <c r="K226">
        <v>284087130.44999999</v>
      </c>
      <c r="L226">
        <v>9408</v>
      </c>
      <c r="M226" s="215" t="s">
        <v>208</v>
      </c>
      <c r="N226">
        <v>35769919</v>
      </c>
    </row>
    <row r="227" spans="1:14" x14ac:dyDescent="0.25">
      <c r="A227" s="215" t="s">
        <v>95</v>
      </c>
      <c r="B227">
        <v>56.16</v>
      </c>
      <c r="C227" s="215" t="s">
        <v>491</v>
      </c>
      <c r="D227">
        <v>7.88</v>
      </c>
      <c r="E227">
        <v>56.86</v>
      </c>
      <c r="F227">
        <v>0.99</v>
      </c>
      <c r="G227">
        <v>24627</v>
      </c>
      <c r="H227">
        <v>0.4</v>
      </c>
      <c r="K227">
        <v>795612068.73000002</v>
      </c>
      <c r="L227">
        <v>436</v>
      </c>
      <c r="M227" s="215" t="s">
        <v>208</v>
      </c>
      <c r="N227">
        <v>13991890</v>
      </c>
    </row>
    <row r="228" spans="1:14" x14ac:dyDescent="0.25">
      <c r="A228" s="215" t="s">
        <v>454</v>
      </c>
      <c r="B228">
        <v>96.05</v>
      </c>
      <c r="C228" s="215" t="s">
        <v>491</v>
      </c>
      <c r="D228">
        <v>11.43</v>
      </c>
      <c r="E228">
        <v>89.93</v>
      </c>
      <c r="F228">
        <v>1.08</v>
      </c>
      <c r="G228">
        <v>99630.74</v>
      </c>
      <c r="H228">
        <v>2.11</v>
      </c>
      <c r="K228">
        <v>72067259.469999999</v>
      </c>
      <c r="L228">
        <v>1093</v>
      </c>
      <c r="M228" s="215" t="s">
        <v>208</v>
      </c>
      <c r="N228">
        <v>801398</v>
      </c>
    </row>
    <row r="229" spans="1:14" x14ac:dyDescent="0.25">
      <c r="A229" s="215" t="s">
        <v>273</v>
      </c>
      <c r="B229">
        <v>117.7</v>
      </c>
      <c r="C229" s="215" t="s">
        <v>491</v>
      </c>
      <c r="D229">
        <v>0</v>
      </c>
      <c r="E229">
        <v>7.0000000000000007E-2</v>
      </c>
      <c r="F229">
        <v>1681.43</v>
      </c>
      <c r="H229">
        <v>100.65</v>
      </c>
      <c r="K229">
        <v>3719093.34</v>
      </c>
      <c r="L229">
        <v>10</v>
      </c>
      <c r="M229" s="215" t="s">
        <v>208</v>
      </c>
      <c r="N229">
        <v>55727500</v>
      </c>
    </row>
    <row r="230" spans="1:14" x14ac:dyDescent="0.25">
      <c r="A230" s="215" t="s">
        <v>382</v>
      </c>
      <c r="B230">
        <v>1168</v>
      </c>
      <c r="C230" s="215" t="s">
        <v>491</v>
      </c>
      <c r="D230">
        <v>0</v>
      </c>
      <c r="E230">
        <v>1097.95</v>
      </c>
      <c r="F230">
        <v>1.06</v>
      </c>
      <c r="G230">
        <v>80732</v>
      </c>
      <c r="H230">
        <v>0.04</v>
      </c>
      <c r="K230">
        <v>22809961.079999998</v>
      </c>
      <c r="L230">
        <v>18</v>
      </c>
      <c r="M230" s="215" t="s">
        <v>208</v>
      </c>
      <c r="N230">
        <v>20775</v>
      </c>
    </row>
    <row r="231" spans="1:14" x14ac:dyDescent="0.25">
      <c r="A231" s="215" t="s">
        <v>352</v>
      </c>
      <c r="B231">
        <v>87.13</v>
      </c>
      <c r="C231" s="215" t="s">
        <v>491</v>
      </c>
      <c r="D231">
        <v>8.36</v>
      </c>
      <c r="E231">
        <v>102.73</v>
      </c>
      <c r="F231">
        <v>0.85</v>
      </c>
      <c r="G231">
        <v>538733.30000000005</v>
      </c>
      <c r="H231">
        <v>1.36</v>
      </c>
      <c r="K231">
        <v>65767433.359999999</v>
      </c>
      <c r="L231">
        <v>124</v>
      </c>
      <c r="M231" s="215" t="s">
        <v>208</v>
      </c>
      <c r="N231">
        <v>640199</v>
      </c>
    </row>
    <row r="232" spans="1:14" x14ac:dyDescent="0.25">
      <c r="A232" s="215" t="s">
        <v>272</v>
      </c>
      <c r="B232">
        <v>0</v>
      </c>
      <c r="C232" s="215" t="s">
        <v>491</v>
      </c>
      <c r="D232">
        <v>0</v>
      </c>
      <c r="E232">
        <v>145.93</v>
      </c>
      <c r="H232">
        <v>5.04</v>
      </c>
      <c r="K232">
        <v>557803893.28999996</v>
      </c>
      <c r="L232">
        <v>58</v>
      </c>
      <c r="M232" s="215" t="s">
        <v>208</v>
      </c>
      <c r="N232">
        <v>3822328</v>
      </c>
    </row>
    <row r="233" spans="1:14" x14ac:dyDescent="0.25">
      <c r="A233" s="215" t="s">
        <v>51</v>
      </c>
      <c r="B233">
        <v>329</v>
      </c>
      <c r="C233" s="215" t="s">
        <v>491</v>
      </c>
      <c r="D233">
        <v>10.79</v>
      </c>
      <c r="E233">
        <v>304.86</v>
      </c>
      <c r="F233">
        <v>1.08</v>
      </c>
      <c r="G233">
        <v>29856.74</v>
      </c>
      <c r="H233">
        <v>0.63</v>
      </c>
      <c r="I233">
        <v>4.78</v>
      </c>
      <c r="J233">
        <v>1.47</v>
      </c>
      <c r="K233">
        <v>60972350.219999999</v>
      </c>
      <c r="L233">
        <v>3066</v>
      </c>
      <c r="M233" s="215" t="s">
        <v>206</v>
      </c>
      <c r="N233">
        <v>200000</v>
      </c>
    </row>
    <row r="234" spans="1:14" x14ac:dyDescent="0.25">
      <c r="A234" s="215" t="s">
        <v>131</v>
      </c>
      <c r="B234">
        <v>92.7</v>
      </c>
      <c r="C234" s="215" t="s">
        <v>491</v>
      </c>
      <c r="D234">
        <v>5.44</v>
      </c>
      <c r="E234">
        <v>99.5</v>
      </c>
      <c r="F234">
        <v>0.93</v>
      </c>
      <c r="G234">
        <v>2566.83</v>
      </c>
      <c r="H234">
        <v>23.71</v>
      </c>
      <c r="K234">
        <v>49751693.770000003</v>
      </c>
      <c r="L234">
        <v>551</v>
      </c>
      <c r="M234" s="215" t="s">
        <v>208</v>
      </c>
      <c r="N234">
        <v>500000</v>
      </c>
    </row>
    <row r="235" spans="1:14" x14ac:dyDescent="0.25">
      <c r="A235" s="215" t="s">
        <v>160</v>
      </c>
      <c r="B235">
        <v>692</v>
      </c>
      <c r="C235" s="215" t="s">
        <v>491</v>
      </c>
      <c r="D235">
        <v>13.77</v>
      </c>
      <c r="E235">
        <v>1116.27</v>
      </c>
      <c r="F235">
        <v>0.62</v>
      </c>
      <c r="G235">
        <v>58154.38</v>
      </c>
      <c r="H235">
        <v>4.25</v>
      </c>
      <c r="I235">
        <v>-2.16</v>
      </c>
      <c r="J235">
        <v>-14.59</v>
      </c>
      <c r="K235">
        <v>113484927.63</v>
      </c>
      <c r="L235">
        <v>2820</v>
      </c>
      <c r="M235" s="215" t="s">
        <v>208</v>
      </c>
      <c r="N235">
        <v>101664</v>
      </c>
    </row>
    <row r="236" spans="1:14" x14ac:dyDescent="0.25">
      <c r="A236" s="215" t="s">
        <v>36</v>
      </c>
      <c r="B236">
        <v>101.23</v>
      </c>
      <c r="C236" s="215" t="s">
        <v>491</v>
      </c>
      <c r="D236">
        <v>7.19</v>
      </c>
      <c r="E236">
        <v>114.78</v>
      </c>
      <c r="F236">
        <v>0.89</v>
      </c>
      <c r="G236">
        <v>2353857.44</v>
      </c>
      <c r="H236">
        <v>4.1500000000000004</v>
      </c>
      <c r="I236">
        <v>-1.24</v>
      </c>
      <c r="J236">
        <v>-1.63</v>
      </c>
      <c r="K236">
        <v>1351511613.6400001</v>
      </c>
      <c r="L236">
        <v>43240</v>
      </c>
      <c r="M236" s="215" t="s">
        <v>208</v>
      </c>
      <c r="N236">
        <v>11775177</v>
      </c>
    </row>
    <row r="237" spans="1:14" x14ac:dyDescent="0.25">
      <c r="A237" s="215" t="s">
        <v>449</v>
      </c>
      <c r="B237">
        <v>0</v>
      </c>
      <c r="C237" s="215" t="s">
        <v>491</v>
      </c>
      <c r="D237">
        <v>0</v>
      </c>
      <c r="E237">
        <v>268.26</v>
      </c>
      <c r="H237">
        <v>7.0000000000000007E-2</v>
      </c>
      <c r="K237">
        <v>201191907.62</v>
      </c>
      <c r="L237">
        <v>52</v>
      </c>
      <c r="M237" s="215" t="s">
        <v>208</v>
      </c>
      <c r="N237">
        <v>750000</v>
      </c>
    </row>
    <row r="238" spans="1:14" x14ac:dyDescent="0.25">
      <c r="A238" s="215" t="s">
        <v>151</v>
      </c>
      <c r="B238">
        <v>112.69</v>
      </c>
      <c r="C238" s="215" t="s">
        <v>491</v>
      </c>
      <c r="D238">
        <v>7.75</v>
      </c>
      <c r="E238">
        <v>118.74</v>
      </c>
      <c r="F238">
        <v>0.95</v>
      </c>
      <c r="G238">
        <v>4470976.53</v>
      </c>
      <c r="H238">
        <v>1.43</v>
      </c>
      <c r="I238">
        <v>2.14</v>
      </c>
      <c r="J238">
        <v>1.84</v>
      </c>
      <c r="K238">
        <v>2185580215.7800002</v>
      </c>
      <c r="L238">
        <v>155299</v>
      </c>
      <c r="M238" s="215" t="s">
        <v>208</v>
      </c>
      <c r="N238">
        <v>18406458</v>
      </c>
    </row>
    <row r="239" spans="1:14" x14ac:dyDescent="0.25">
      <c r="A239" s="215" t="s">
        <v>71</v>
      </c>
      <c r="B239">
        <v>219</v>
      </c>
      <c r="C239" s="215" t="s">
        <v>491</v>
      </c>
      <c r="D239">
        <v>7.03</v>
      </c>
      <c r="E239">
        <v>409.6</v>
      </c>
      <c r="F239">
        <v>0.53</v>
      </c>
      <c r="G239">
        <v>6706.56</v>
      </c>
      <c r="H239">
        <v>1.47</v>
      </c>
      <c r="I239">
        <v>-12.64</v>
      </c>
      <c r="J239">
        <v>-15.15</v>
      </c>
      <c r="K239">
        <v>307197126.19999999</v>
      </c>
      <c r="L239">
        <v>941</v>
      </c>
      <c r="M239" s="215" t="s">
        <v>206</v>
      </c>
      <c r="N239">
        <v>750000</v>
      </c>
    </row>
    <row r="240" spans="1:14" x14ac:dyDescent="0.25">
      <c r="A240" s="215" t="s">
        <v>108</v>
      </c>
      <c r="B240">
        <v>117</v>
      </c>
      <c r="C240" s="215" t="s">
        <v>491</v>
      </c>
      <c r="D240">
        <v>19.47</v>
      </c>
      <c r="E240">
        <v>95.67</v>
      </c>
      <c r="F240">
        <v>1.22</v>
      </c>
      <c r="G240">
        <v>3540787.35</v>
      </c>
      <c r="H240">
        <v>47.17</v>
      </c>
      <c r="K240">
        <v>349485932.24000001</v>
      </c>
      <c r="L240">
        <v>38260</v>
      </c>
      <c r="M240" s="215" t="s">
        <v>208</v>
      </c>
      <c r="N240">
        <v>3652937</v>
      </c>
    </row>
    <row r="241" spans="1:14" x14ac:dyDescent="0.25">
      <c r="A241" s="215" t="s">
        <v>365</v>
      </c>
      <c r="B241">
        <v>88.54</v>
      </c>
      <c r="C241" s="215" t="s">
        <v>491</v>
      </c>
      <c r="D241">
        <v>4.83</v>
      </c>
      <c r="E241">
        <v>89.09</v>
      </c>
      <c r="F241">
        <v>0.99</v>
      </c>
      <c r="G241">
        <v>80545.2</v>
      </c>
      <c r="H241">
        <v>0.82</v>
      </c>
      <c r="K241">
        <v>113956129.56999999</v>
      </c>
      <c r="L241">
        <v>355</v>
      </c>
      <c r="M241" s="215" t="s">
        <v>208</v>
      </c>
      <c r="N241">
        <v>1279070</v>
      </c>
    </row>
    <row r="242" spans="1:14" x14ac:dyDescent="0.25">
      <c r="A242" s="215" t="s">
        <v>15</v>
      </c>
      <c r="B242">
        <v>103.5</v>
      </c>
      <c r="C242" s="215" t="s">
        <v>491</v>
      </c>
      <c r="D242">
        <v>14.46</v>
      </c>
      <c r="E242">
        <v>98.55</v>
      </c>
      <c r="F242">
        <v>1.06</v>
      </c>
      <c r="G242">
        <v>3011216.41</v>
      </c>
      <c r="H242">
        <v>12.73</v>
      </c>
      <c r="I242">
        <v>19.7</v>
      </c>
      <c r="J242">
        <v>-1.32</v>
      </c>
      <c r="K242">
        <v>1408370228.72</v>
      </c>
      <c r="L242">
        <v>11310</v>
      </c>
      <c r="M242" s="215" t="s">
        <v>208</v>
      </c>
      <c r="N242">
        <v>14290843</v>
      </c>
    </row>
    <row r="243" spans="1:14" x14ac:dyDescent="0.25">
      <c r="A243" s="215" t="s">
        <v>383</v>
      </c>
      <c r="B243">
        <v>100</v>
      </c>
      <c r="C243" s="215" t="s">
        <v>491</v>
      </c>
      <c r="D243">
        <v>7.82</v>
      </c>
      <c r="E243">
        <v>98.32</v>
      </c>
      <c r="F243">
        <v>1.02</v>
      </c>
      <c r="G243">
        <v>420025</v>
      </c>
      <c r="H243">
        <v>2.64</v>
      </c>
      <c r="K243">
        <v>118471304.15000001</v>
      </c>
      <c r="L243">
        <v>22</v>
      </c>
      <c r="M243" s="215" t="s">
        <v>208</v>
      </c>
      <c r="N243">
        <v>1205000</v>
      </c>
    </row>
    <row r="244" spans="1:14" x14ac:dyDescent="0.25">
      <c r="A244" s="215" t="s">
        <v>148</v>
      </c>
      <c r="B244">
        <v>76.42</v>
      </c>
      <c r="C244" s="215" t="s">
        <v>491</v>
      </c>
      <c r="D244">
        <v>9.32</v>
      </c>
      <c r="E244">
        <v>84.7</v>
      </c>
      <c r="F244">
        <v>0.9</v>
      </c>
      <c r="G244">
        <v>1611659.94</v>
      </c>
      <c r="H244">
        <v>1.05</v>
      </c>
      <c r="I244">
        <v>-14.11</v>
      </c>
      <c r="J244">
        <v>-7.91</v>
      </c>
      <c r="K244">
        <v>1946949756.21</v>
      </c>
      <c r="L244">
        <v>64786</v>
      </c>
      <c r="M244" s="215" t="s">
        <v>208</v>
      </c>
      <c r="N244">
        <v>22987007</v>
      </c>
    </row>
    <row r="245" spans="1:14" x14ac:dyDescent="0.25">
      <c r="A245" s="215" t="s">
        <v>259</v>
      </c>
      <c r="B245">
        <v>1300</v>
      </c>
      <c r="C245" s="215" t="s">
        <v>491</v>
      </c>
      <c r="D245">
        <v>1.87</v>
      </c>
      <c r="E245">
        <v>1111.92</v>
      </c>
      <c r="F245">
        <v>1.17</v>
      </c>
      <c r="G245">
        <v>84500</v>
      </c>
      <c r="H245">
        <v>0.45</v>
      </c>
      <c r="K245">
        <v>165660378.91999999</v>
      </c>
      <c r="L245">
        <v>106</v>
      </c>
      <c r="M245" s="215" t="s">
        <v>208</v>
      </c>
      <c r="N245">
        <v>148985</v>
      </c>
    </row>
    <row r="246" spans="1:14" x14ac:dyDescent="0.25">
      <c r="A246" s="215" t="s">
        <v>379</v>
      </c>
      <c r="B246">
        <v>0</v>
      </c>
      <c r="C246" s="215" t="s">
        <v>491</v>
      </c>
      <c r="D246">
        <v>0</v>
      </c>
      <c r="E246">
        <v>38.130000000000003</v>
      </c>
      <c r="H246">
        <v>11.64</v>
      </c>
      <c r="K246">
        <v>67902050.930000007</v>
      </c>
      <c r="L246">
        <v>1</v>
      </c>
      <c r="M246" s="215" t="s">
        <v>208</v>
      </c>
      <c r="N246">
        <v>1780984</v>
      </c>
    </row>
    <row r="247" spans="1:14" x14ac:dyDescent="0.25">
      <c r="A247" s="215" t="s">
        <v>326</v>
      </c>
      <c r="B247">
        <v>0</v>
      </c>
      <c r="C247" s="215" t="s">
        <v>491</v>
      </c>
      <c r="D247">
        <v>0</v>
      </c>
      <c r="E247">
        <v>1.69</v>
      </c>
      <c r="H247">
        <v>0.11</v>
      </c>
      <c r="K247">
        <v>132103516.03</v>
      </c>
      <c r="L247">
        <v>1</v>
      </c>
      <c r="M247" s="215" t="s">
        <v>208</v>
      </c>
      <c r="N247">
        <v>78155673</v>
      </c>
    </row>
    <row r="248" spans="1:14" x14ac:dyDescent="0.25">
      <c r="A248" s="215" t="s">
        <v>338</v>
      </c>
      <c r="B248">
        <v>89.98</v>
      </c>
      <c r="C248" s="215" t="s">
        <v>491</v>
      </c>
      <c r="D248">
        <v>10.27</v>
      </c>
      <c r="E248">
        <v>87.99</v>
      </c>
      <c r="F248">
        <v>1.02</v>
      </c>
      <c r="G248">
        <v>5790.25</v>
      </c>
      <c r="H248">
        <v>2.38</v>
      </c>
      <c r="K248">
        <v>19208298.219999999</v>
      </c>
      <c r="L248">
        <v>486</v>
      </c>
      <c r="M248" s="215" t="s">
        <v>208</v>
      </c>
      <c r="N248">
        <v>218313</v>
      </c>
    </row>
    <row r="249" spans="1:14" x14ac:dyDescent="0.25">
      <c r="A249" s="215" t="s">
        <v>20</v>
      </c>
      <c r="B249">
        <v>96.4</v>
      </c>
      <c r="C249" s="215" t="s">
        <v>491</v>
      </c>
      <c r="D249">
        <v>11.91</v>
      </c>
      <c r="E249">
        <v>95.16</v>
      </c>
      <c r="F249">
        <v>1.01</v>
      </c>
      <c r="G249">
        <v>2705629.94</v>
      </c>
      <c r="H249">
        <v>1.85</v>
      </c>
      <c r="K249">
        <v>655466884.16999996</v>
      </c>
      <c r="L249">
        <v>51972</v>
      </c>
      <c r="M249" s="215" t="s">
        <v>208</v>
      </c>
      <c r="N249">
        <v>6887865</v>
      </c>
    </row>
    <row r="250" spans="1:14" x14ac:dyDescent="0.25">
      <c r="A250" s="215" t="s">
        <v>38</v>
      </c>
      <c r="B250">
        <v>100.49</v>
      </c>
      <c r="C250" s="215" t="s">
        <v>491</v>
      </c>
      <c r="D250">
        <v>7.31</v>
      </c>
      <c r="E250">
        <v>113.93</v>
      </c>
      <c r="F250">
        <v>0.87</v>
      </c>
      <c r="G250">
        <v>3976930.76</v>
      </c>
      <c r="H250">
        <v>1.34</v>
      </c>
      <c r="I250">
        <v>-6.25</v>
      </c>
      <c r="K250">
        <v>1708649934.5999999</v>
      </c>
      <c r="L250">
        <v>147006</v>
      </c>
      <c r="M250" s="215" t="s">
        <v>208</v>
      </c>
      <c r="N250">
        <v>14997396</v>
      </c>
    </row>
    <row r="251" spans="1:14" x14ac:dyDescent="0.25">
      <c r="A251" s="215" t="s">
        <v>339</v>
      </c>
      <c r="B251">
        <v>0</v>
      </c>
      <c r="C251" s="215" t="s">
        <v>491</v>
      </c>
      <c r="D251">
        <v>0</v>
      </c>
      <c r="E251">
        <v>0.67</v>
      </c>
      <c r="H251">
        <v>1.01</v>
      </c>
      <c r="K251">
        <v>8838782.7599999998</v>
      </c>
      <c r="L251">
        <v>9</v>
      </c>
      <c r="M251" s="215" t="s">
        <v>208</v>
      </c>
      <c r="N251">
        <v>13225796</v>
      </c>
    </row>
    <row r="252" spans="1:14" x14ac:dyDescent="0.25">
      <c r="A252" s="215" t="s">
        <v>35</v>
      </c>
      <c r="B252">
        <v>167.08</v>
      </c>
      <c r="C252" s="215" t="s">
        <v>491</v>
      </c>
      <c r="D252">
        <v>8.3000000000000007</v>
      </c>
      <c r="E252">
        <v>147.31</v>
      </c>
      <c r="F252">
        <v>1.1399999999999999</v>
      </c>
      <c r="G252">
        <v>4889998.59</v>
      </c>
      <c r="H252">
        <v>8.07</v>
      </c>
      <c r="I252">
        <v>14.93</v>
      </c>
      <c r="J252">
        <v>3.73</v>
      </c>
      <c r="K252">
        <v>3139602936.75</v>
      </c>
      <c r="L252">
        <v>302314</v>
      </c>
      <c r="M252" s="215" t="s">
        <v>208</v>
      </c>
      <c r="N252">
        <v>21313413</v>
      </c>
    </row>
    <row r="253" spans="1:14" x14ac:dyDescent="0.25">
      <c r="A253" s="215" t="s">
        <v>534</v>
      </c>
      <c r="B253">
        <v>0</v>
      </c>
      <c r="C253" s="215" t="s">
        <v>491</v>
      </c>
      <c r="D253">
        <v>0</v>
      </c>
      <c r="E253">
        <v>99.62</v>
      </c>
      <c r="H253">
        <v>39.6</v>
      </c>
      <c r="K253">
        <v>35672180.130000003</v>
      </c>
      <c r="L253">
        <v>1</v>
      </c>
      <c r="M253" s="215" t="s">
        <v>208</v>
      </c>
      <c r="N253">
        <v>358100</v>
      </c>
    </row>
    <row r="254" spans="1:14" x14ac:dyDescent="0.25">
      <c r="A254" s="215" t="s">
        <v>29</v>
      </c>
      <c r="B254">
        <v>115.75</v>
      </c>
      <c r="C254" s="215" t="s">
        <v>491</v>
      </c>
      <c r="D254">
        <v>6.67</v>
      </c>
      <c r="E254">
        <v>108.51</v>
      </c>
      <c r="F254">
        <v>1.07</v>
      </c>
      <c r="G254">
        <v>907058.38</v>
      </c>
      <c r="H254">
        <v>5.61</v>
      </c>
      <c r="I254">
        <v>4.18</v>
      </c>
      <c r="J254">
        <v>5.7</v>
      </c>
      <c r="K254">
        <v>642593457.01999998</v>
      </c>
      <c r="L254">
        <v>98441</v>
      </c>
      <c r="M254" s="215" t="s">
        <v>208</v>
      </c>
      <c r="N254">
        <v>5922011</v>
      </c>
    </row>
    <row r="255" spans="1:14" x14ac:dyDescent="0.25">
      <c r="A255" s="215" t="s">
        <v>43</v>
      </c>
      <c r="B255">
        <v>4.26</v>
      </c>
      <c r="C255" s="215" t="s">
        <v>491</v>
      </c>
      <c r="D255">
        <v>0</v>
      </c>
      <c r="E255">
        <v>13.45</v>
      </c>
      <c r="F255">
        <v>0.32</v>
      </c>
      <c r="G255">
        <v>78875.03</v>
      </c>
      <c r="H255">
        <v>19.010000000000002</v>
      </c>
      <c r="K255">
        <v>1011743851.76</v>
      </c>
      <c r="L255">
        <v>8161</v>
      </c>
      <c r="M255" s="215" t="s">
        <v>208</v>
      </c>
      <c r="N255">
        <v>75198136</v>
      </c>
    </row>
    <row r="256" spans="1:14" x14ac:dyDescent="0.25">
      <c r="A256" s="215" t="s">
        <v>248</v>
      </c>
      <c r="B256">
        <v>1.17</v>
      </c>
      <c r="C256" s="215" t="s">
        <v>491</v>
      </c>
      <c r="D256">
        <v>0</v>
      </c>
      <c r="E256">
        <v>1.34</v>
      </c>
      <c r="F256">
        <v>0.88</v>
      </c>
      <c r="G256">
        <v>1704.74</v>
      </c>
      <c r="H256">
        <v>55.98</v>
      </c>
      <c r="K256">
        <v>10129726.07</v>
      </c>
      <c r="L256">
        <v>1378</v>
      </c>
      <c r="M256" s="215" t="s">
        <v>208</v>
      </c>
      <c r="N256">
        <v>7587125</v>
      </c>
    </row>
    <row r="257" spans="1:14" x14ac:dyDescent="0.25">
      <c r="A257" s="215" t="s">
        <v>61</v>
      </c>
      <c r="B257">
        <v>63.17</v>
      </c>
      <c r="C257" s="215" t="s">
        <v>491</v>
      </c>
      <c r="D257">
        <v>12.64</v>
      </c>
      <c r="E257">
        <v>90.51</v>
      </c>
      <c r="F257">
        <v>0.7</v>
      </c>
      <c r="G257">
        <v>63683.53</v>
      </c>
      <c r="H257">
        <v>0.87</v>
      </c>
      <c r="I257">
        <v>10</v>
      </c>
      <c r="J257">
        <v>-2.94</v>
      </c>
      <c r="K257">
        <v>128072388.55</v>
      </c>
      <c r="L257">
        <v>4111</v>
      </c>
      <c r="M257" s="215" t="s">
        <v>206</v>
      </c>
      <c r="N257">
        <v>1415000</v>
      </c>
    </row>
    <row r="258" spans="1:14" x14ac:dyDescent="0.25">
      <c r="A258" s="215" t="s">
        <v>172</v>
      </c>
      <c r="B258">
        <v>94.42</v>
      </c>
      <c r="C258" s="215" t="s">
        <v>491</v>
      </c>
      <c r="D258">
        <v>12.36</v>
      </c>
      <c r="E258">
        <v>99.31</v>
      </c>
      <c r="F258">
        <v>0.94</v>
      </c>
      <c r="G258">
        <v>766712.74</v>
      </c>
      <c r="H258">
        <v>4.91</v>
      </c>
      <c r="J258">
        <v>-1.51</v>
      </c>
      <c r="K258">
        <v>370264765.49000001</v>
      </c>
      <c r="L258">
        <v>14427</v>
      </c>
      <c r="M258" s="215" t="s">
        <v>208</v>
      </c>
      <c r="N258">
        <v>3728375</v>
      </c>
    </row>
    <row r="259" spans="1:14" x14ac:dyDescent="0.25">
      <c r="A259" s="215" t="s">
        <v>464</v>
      </c>
      <c r="B259">
        <v>86.12</v>
      </c>
      <c r="C259" s="215" t="s">
        <v>491</v>
      </c>
      <c r="D259">
        <v>8.94</v>
      </c>
      <c r="E259">
        <v>90.02</v>
      </c>
      <c r="F259">
        <v>0.98</v>
      </c>
      <c r="G259">
        <v>3644.7</v>
      </c>
      <c r="H259">
        <v>0.96</v>
      </c>
      <c r="K259">
        <v>13503706.619999999</v>
      </c>
      <c r="L259">
        <v>165</v>
      </c>
      <c r="M259" s="215" t="s">
        <v>206</v>
      </c>
      <c r="N259">
        <v>150000</v>
      </c>
    </row>
    <row r="260" spans="1:14" x14ac:dyDescent="0.25">
      <c r="A260" s="215" t="s">
        <v>149</v>
      </c>
      <c r="B260">
        <v>105.29</v>
      </c>
      <c r="C260" s="215" t="s">
        <v>491</v>
      </c>
      <c r="D260">
        <v>10.27</v>
      </c>
      <c r="E260">
        <v>101.56</v>
      </c>
      <c r="F260">
        <v>1.04</v>
      </c>
      <c r="G260">
        <v>2751928.15</v>
      </c>
      <c r="H260">
        <v>3.91</v>
      </c>
      <c r="I260">
        <v>8.48</v>
      </c>
      <c r="J260">
        <v>-2.44</v>
      </c>
      <c r="K260">
        <v>1256498706.6800001</v>
      </c>
      <c r="L260">
        <v>60004</v>
      </c>
      <c r="M260" s="215" t="s">
        <v>208</v>
      </c>
      <c r="N260">
        <v>12372450</v>
      </c>
    </row>
    <row r="261" spans="1:14" x14ac:dyDescent="0.25">
      <c r="A261" s="215" t="s">
        <v>47</v>
      </c>
      <c r="B261">
        <v>2022</v>
      </c>
      <c r="C261" s="215" t="s">
        <v>491</v>
      </c>
      <c r="D261">
        <v>6.2</v>
      </c>
      <c r="E261">
        <v>3406.47</v>
      </c>
      <c r="F261">
        <v>0.59</v>
      </c>
      <c r="G261">
        <v>121097.65</v>
      </c>
      <c r="H261">
        <v>1</v>
      </c>
      <c r="I261">
        <v>-10.25</v>
      </c>
      <c r="J261">
        <v>-12.89</v>
      </c>
      <c r="K261">
        <v>812364592.75999999</v>
      </c>
      <c r="L261">
        <v>4072</v>
      </c>
      <c r="M261" s="215" t="s">
        <v>206</v>
      </c>
      <c r="N261">
        <v>238477</v>
      </c>
    </row>
    <row r="262" spans="1:14" x14ac:dyDescent="0.25">
      <c r="A262" s="215" t="s">
        <v>37</v>
      </c>
      <c r="B262">
        <v>86.09</v>
      </c>
      <c r="C262" s="215" t="s">
        <v>491</v>
      </c>
      <c r="D262">
        <v>9.1999999999999993</v>
      </c>
      <c r="E262">
        <v>97.5</v>
      </c>
      <c r="F262">
        <v>0.89</v>
      </c>
      <c r="G262">
        <v>1368666.62</v>
      </c>
      <c r="H262">
        <v>2.54</v>
      </c>
      <c r="I262">
        <v>2.65</v>
      </c>
      <c r="J262">
        <v>-6.93</v>
      </c>
      <c r="K262">
        <v>623504014.5</v>
      </c>
      <c r="L262">
        <v>52429</v>
      </c>
      <c r="M262" s="215" t="s">
        <v>208</v>
      </c>
      <c r="N262">
        <v>6395050</v>
      </c>
    </row>
    <row r="263" spans="1:14" x14ac:dyDescent="0.25">
      <c r="A263" s="215" t="s">
        <v>112</v>
      </c>
      <c r="B263">
        <v>2.34</v>
      </c>
      <c r="C263" s="215" t="s">
        <v>491</v>
      </c>
      <c r="D263">
        <v>0</v>
      </c>
      <c r="E263">
        <v>6.99</v>
      </c>
      <c r="F263">
        <v>0.28999999999999998</v>
      </c>
      <c r="G263">
        <v>58806.76</v>
      </c>
      <c r="H263">
        <v>0.03</v>
      </c>
      <c r="J263">
        <v>-10.46</v>
      </c>
      <c r="K263">
        <v>65775855.670000002</v>
      </c>
      <c r="L263">
        <v>3191</v>
      </c>
      <c r="M263" s="215" t="s">
        <v>206</v>
      </c>
      <c r="N263">
        <v>9412630</v>
      </c>
    </row>
    <row r="264" spans="1:14" x14ac:dyDescent="0.25">
      <c r="A264" s="215" t="s">
        <v>246</v>
      </c>
      <c r="B264">
        <v>0</v>
      </c>
      <c r="C264" s="215" t="s">
        <v>491</v>
      </c>
      <c r="D264">
        <v>0</v>
      </c>
      <c r="E264">
        <v>52.45</v>
      </c>
      <c r="H264">
        <v>1.22</v>
      </c>
      <c r="K264">
        <v>43011291.619999997</v>
      </c>
      <c r="L264">
        <v>4</v>
      </c>
      <c r="M264" s="215" t="s">
        <v>208</v>
      </c>
      <c r="N264">
        <v>820112</v>
      </c>
    </row>
    <row r="265" spans="1:14" x14ac:dyDescent="0.25">
      <c r="A265" s="215" t="s">
        <v>83</v>
      </c>
      <c r="B265">
        <v>69.37</v>
      </c>
      <c r="C265" s="215" t="s">
        <v>491</v>
      </c>
      <c r="D265">
        <v>7.74</v>
      </c>
      <c r="E265">
        <v>91.03</v>
      </c>
      <c r="F265">
        <v>0.78</v>
      </c>
      <c r="G265">
        <v>230059.85</v>
      </c>
      <c r="H265">
        <v>0.2</v>
      </c>
      <c r="K265">
        <v>384342485.14999998</v>
      </c>
      <c r="L265">
        <v>7807</v>
      </c>
      <c r="M265" s="215" t="s">
        <v>208</v>
      </c>
      <c r="N265">
        <v>4221967</v>
      </c>
    </row>
    <row r="266" spans="1:14" x14ac:dyDescent="0.25">
      <c r="A266" s="215" t="s">
        <v>79</v>
      </c>
      <c r="B266">
        <v>49.49</v>
      </c>
      <c r="C266" s="215" t="s">
        <v>491</v>
      </c>
      <c r="D266">
        <v>9.69</v>
      </c>
      <c r="E266">
        <v>100.22</v>
      </c>
      <c r="F266">
        <v>0.5</v>
      </c>
      <c r="G266">
        <v>241803.41</v>
      </c>
      <c r="H266">
        <v>3.74</v>
      </c>
      <c r="K266">
        <v>378738232.00999999</v>
      </c>
      <c r="L266">
        <v>6413</v>
      </c>
      <c r="M266" s="215" t="s">
        <v>208</v>
      </c>
      <c r="N266">
        <v>3779001</v>
      </c>
    </row>
    <row r="267" spans="1:14" x14ac:dyDescent="0.25">
      <c r="A267" s="215" t="s">
        <v>102</v>
      </c>
      <c r="B267">
        <v>106.5</v>
      </c>
      <c r="C267" s="215" t="s">
        <v>491</v>
      </c>
      <c r="D267">
        <v>8.17</v>
      </c>
      <c r="E267">
        <v>142.4</v>
      </c>
      <c r="F267">
        <v>0.72</v>
      </c>
      <c r="G267">
        <v>10552.3</v>
      </c>
      <c r="H267">
        <v>0.63</v>
      </c>
      <c r="J267">
        <v>-11.78</v>
      </c>
      <c r="K267">
        <v>113152442.25</v>
      </c>
      <c r="L267">
        <v>734</v>
      </c>
      <c r="M267" s="215" t="s">
        <v>206</v>
      </c>
      <c r="N267">
        <v>794613</v>
      </c>
    </row>
    <row r="268" spans="1:14" x14ac:dyDescent="0.25">
      <c r="A268" s="215" t="s">
        <v>74</v>
      </c>
      <c r="B268">
        <v>132</v>
      </c>
      <c r="C268" s="215" t="s">
        <v>491</v>
      </c>
      <c r="D268">
        <v>8.33</v>
      </c>
      <c r="E268">
        <v>165.03</v>
      </c>
      <c r="F268">
        <v>0.8</v>
      </c>
      <c r="G268">
        <v>2531672.62</v>
      </c>
      <c r="H268">
        <v>0.47</v>
      </c>
      <c r="I268">
        <v>5.96</v>
      </c>
      <c r="J268">
        <v>-3.59</v>
      </c>
      <c r="K268">
        <v>1950300222.04</v>
      </c>
      <c r="L268">
        <v>116569</v>
      </c>
      <c r="M268" s="215" t="s">
        <v>208</v>
      </c>
      <c r="N268">
        <v>11817767</v>
      </c>
    </row>
    <row r="269" spans="1:14" x14ac:dyDescent="0.25">
      <c r="A269" s="215" t="s">
        <v>58</v>
      </c>
      <c r="B269">
        <v>906</v>
      </c>
      <c r="C269" s="215" t="s">
        <v>491</v>
      </c>
      <c r="D269">
        <v>0</v>
      </c>
      <c r="E269">
        <v>2252.0700000000002</v>
      </c>
      <c r="F269">
        <v>0.4</v>
      </c>
      <c r="G269">
        <v>80856.649999999994</v>
      </c>
      <c r="H269">
        <v>1.97</v>
      </c>
      <c r="J269">
        <v>-14.58</v>
      </c>
      <c r="K269">
        <v>250378909.50999999</v>
      </c>
      <c r="L269">
        <v>3133</v>
      </c>
      <c r="M269" s="215" t="s">
        <v>206</v>
      </c>
      <c r="N269">
        <v>111177</v>
      </c>
    </row>
    <row r="270" spans="1:14" x14ac:dyDescent="0.25">
      <c r="A270" s="215" t="s">
        <v>104</v>
      </c>
      <c r="B270">
        <v>66.14</v>
      </c>
      <c r="C270" s="215" t="s">
        <v>491</v>
      </c>
      <c r="D270">
        <v>7.64</v>
      </c>
      <c r="E270">
        <v>84.08</v>
      </c>
      <c r="F270">
        <v>0.8</v>
      </c>
      <c r="G270">
        <v>1720221.68</v>
      </c>
      <c r="H270">
        <v>2.4</v>
      </c>
      <c r="I270">
        <v>3.68</v>
      </c>
      <c r="K270">
        <v>1024046383.21</v>
      </c>
      <c r="L270">
        <v>91250</v>
      </c>
      <c r="M270" s="215" t="s">
        <v>208</v>
      </c>
      <c r="N270">
        <v>12179186</v>
      </c>
    </row>
    <row r="271" spans="1:14" x14ac:dyDescent="0.25">
      <c r="A271" s="215" t="s">
        <v>23</v>
      </c>
      <c r="B271">
        <v>106.91</v>
      </c>
      <c r="C271" s="215" t="s">
        <v>491</v>
      </c>
      <c r="D271">
        <v>13.21</v>
      </c>
      <c r="E271">
        <v>97.1</v>
      </c>
      <c r="F271">
        <v>1.1000000000000001</v>
      </c>
      <c r="G271">
        <v>7764518.8799999999</v>
      </c>
      <c r="H271">
        <v>4.68</v>
      </c>
      <c r="I271">
        <v>11.07</v>
      </c>
      <c r="J271">
        <v>0.9</v>
      </c>
      <c r="K271">
        <v>3208708568.71</v>
      </c>
      <c r="L271">
        <v>231540</v>
      </c>
      <c r="M271" s="215" t="s">
        <v>208</v>
      </c>
      <c r="N271">
        <v>33044581</v>
      </c>
    </row>
    <row r="272" spans="1:14" x14ac:dyDescent="0.25">
      <c r="A272" s="215" t="s">
        <v>346</v>
      </c>
      <c r="B272">
        <v>0</v>
      </c>
      <c r="C272" s="215" t="s">
        <v>491</v>
      </c>
      <c r="D272">
        <v>0</v>
      </c>
      <c r="E272">
        <v>893.92</v>
      </c>
      <c r="H272">
        <v>2.78</v>
      </c>
      <c r="K272">
        <v>180209165.56999999</v>
      </c>
      <c r="L272">
        <v>3</v>
      </c>
      <c r="M272" s="215" t="s">
        <v>208</v>
      </c>
      <c r="N272">
        <v>201595</v>
      </c>
    </row>
    <row r="273" spans="1:14" x14ac:dyDescent="0.25">
      <c r="A273" s="215" t="s">
        <v>22</v>
      </c>
      <c r="B273">
        <v>87.89</v>
      </c>
      <c r="C273" s="215" t="s">
        <v>491</v>
      </c>
      <c r="D273">
        <v>11.32</v>
      </c>
      <c r="E273">
        <v>93.28</v>
      </c>
      <c r="F273">
        <v>0.94</v>
      </c>
      <c r="G273">
        <v>1064547.8500000001</v>
      </c>
      <c r="H273">
        <v>9.51</v>
      </c>
      <c r="I273">
        <v>5.23</v>
      </c>
      <c r="J273">
        <v>-5.56</v>
      </c>
      <c r="K273">
        <v>569331207.45000005</v>
      </c>
      <c r="L273">
        <v>18019</v>
      </c>
      <c r="M273" s="215" t="s">
        <v>208</v>
      </c>
      <c r="N273">
        <v>6103509</v>
      </c>
    </row>
    <row r="274" spans="1:14" x14ac:dyDescent="0.25">
      <c r="A274" s="215" t="s">
        <v>153</v>
      </c>
      <c r="B274">
        <v>98.28</v>
      </c>
      <c r="C274" s="215" t="s">
        <v>491</v>
      </c>
      <c r="D274">
        <v>13.04</v>
      </c>
      <c r="E274">
        <v>105.89</v>
      </c>
      <c r="F274">
        <v>0.93</v>
      </c>
      <c r="G274">
        <v>57857.59</v>
      </c>
      <c r="H274">
        <v>2.5</v>
      </c>
      <c r="K274">
        <v>63951771.369999997</v>
      </c>
      <c r="L274">
        <v>881</v>
      </c>
      <c r="M274" s="215" t="s">
        <v>208</v>
      </c>
      <c r="N274">
        <v>603964</v>
      </c>
    </row>
    <row r="275" spans="1:14" x14ac:dyDescent="0.25">
      <c r="A275" s="215" t="s">
        <v>8</v>
      </c>
      <c r="B275">
        <v>103</v>
      </c>
      <c r="C275" s="215" t="s">
        <v>491</v>
      </c>
      <c r="D275">
        <v>13.6</v>
      </c>
      <c r="E275">
        <v>101.53</v>
      </c>
      <c r="F275">
        <v>1.02</v>
      </c>
      <c r="G275">
        <v>1246603.5900000001</v>
      </c>
      <c r="H275">
        <v>5.58</v>
      </c>
      <c r="K275">
        <v>470505074.49000001</v>
      </c>
      <c r="L275">
        <v>32881</v>
      </c>
      <c r="M275" s="215" t="s">
        <v>208</v>
      </c>
      <c r="N275">
        <v>4634191</v>
      </c>
    </row>
    <row r="276" spans="1:14" x14ac:dyDescent="0.25">
      <c r="A276" s="215" t="s">
        <v>141</v>
      </c>
      <c r="B276">
        <v>13</v>
      </c>
      <c r="C276" s="215" t="s">
        <v>491</v>
      </c>
      <c r="D276">
        <v>290.36</v>
      </c>
      <c r="E276">
        <v>4.99</v>
      </c>
      <c r="F276">
        <v>2.61</v>
      </c>
      <c r="G276">
        <v>26524.35</v>
      </c>
      <c r="H276">
        <v>105.14</v>
      </c>
      <c r="J276">
        <v>-75.08</v>
      </c>
      <c r="K276">
        <v>778257.9</v>
      </c>
      <c r="L276">
        <v>2352</v>
      </c>
      <c r="M276" s="215" t="s">
        <v>206</v>
      </c>
      <c r="N276">
        <v>156108</v>
      </c>
    </row>
    <row r="277" spans="1:14" x14ac:dyDescent="0.25">
      <c r="A277" s="215" t="s">
        <v>363</v>
      </c>
      <c r="B277">
        <v>94</v>
      </c>
      <c r="C277" s="215" t="s">
        <v>491</v>
      </c>
      <c r="D277">
        <v>8.6199999999999992</v>
      </c>
      <c r="E277">
        <v>100.44</v>
      </c>
      <c r="F277">
        <v>0.94</v>
      </c>
      <c r="G277">
        <v>36248.42</v>
      </c>
      <c r="H277">
        <v>14.22</v>
      </c>
      <c r="K277">
        <v>140392080.47</v>
      </c>
      <c r="L277">
        <v>164</v>
      </c>
      <c r="M277" s="215" t="s">
        <v>208</v>
      </c>
      <c r="N277">
        <v>1397770</v>
      </c>
    </row>
    <row r="278" spans="1:14" x14ac:dyDescent="0.25">
      <c r="A278" s="215" t="s">
        <v>466</v>
      </c>
      <c r="B278">
        <v>0</v>
      </c>
      <c r="C278" s="215" t="s">
        <v>491</v>
      </c>
      <c r="D278">
        <v>0</v>
      </c>
      <c r="E278">
        <v>1290.4100000000001</v>
      </c>
      <c r="H278">
        <v>3.43</v>
      </c>
      <c r="K278">
        <v>144492674.24000001</v>
      </c>
      <c r="L278">
        <v>79</v>
      </c>
      <c r="M278" s="215" t="s">
        <v>256</v>
      </c>
      <c r="N278">
        <v>111974</v>
      </c>
    </row>
    <row r="279" spans="1:14" x14ac:dyDescent="0.25">
      <c r="A279" s="215" t="s">
        <v>129</v>
      </c>
      <c r="B279">
        <v>69.5</v>
      </c>
      <c r="C279" s="215" t="s">
        <v>491</v>
      </c>
      <c r="D279">
        <v>8.75</v>
      </c>
      <c r="E279">
        <v>78.45</v>
      </c>
      <c r="F279">
        <v>0.89</v>
      </c>
      <c r="G279">
        <v>3746106.88</v>
      </c>
      <c r="H279">
        <v>3.14</v>
      </c>
      <c r="I279">
        <v>-1.97</v>
      </c>
      <c r="J279">
        <v>-5.41</v>
      </c>
      <c r="K279">
        <v>1975752280.8800001</v>
      </c>
      <c r="L279">
        <v>291155</v>
      </c>
      <c r="M279" s="215" t="s">
        <v>208</v>
      </c>
      <c r="N279">
        <v>25186378</v>
      </c>
    </row>
    <row r="280" spans="1:14" x14ac:dyDescent="0.25">
      <c r="A280" s="215" t="s">
        <v>130</v>
      </c>
      <c r="B280">
        <v>85.3</v>
      </c>
      <c r="C280" s="215" t="s">
        <v>491</v>
      </c>
      <c r="D280">
        <v>8.99</v>
      </c>
      <c r="E280">
        <v>104.26</v>
      </c>
      <c r="F280">
        <v>0.82</v>
      </c>
      <c r="G280">
        <v>277158</v>
      </c>
      <c r="H280">
        <v>1.51</v>
      </c>
      <c r="I280">
        <v>-20</v>
      </c>
      <c r="J280">
        <v>-6.95</v>
      </c>
      <c r="K280">
        <v>387748551.80000001</v>
      </c>
      <c r="L280">
        <v>14504</v>
      </c>
      <c r="M280" s="215" t="s">
        <v>208</v>
      </c>
      <c r="N280">
        <v>3719038</v>
      </c>
    </row>
    <row r="281" spans="1:14" x14ac:dyDescent="0.25">
      <c r="A281" s="215" t="s">
        <v>465</v>
      </c>
      <c r="B281">
        <v>109.39</v>
      </c>
      <c r="C281" s="215" t="s">
        <v>491</v>
      </c>
      <c r="D281">
        <v>3.07</v>
      </c>
      <c r="E281">
        <v>98.79</v>
      </c>
      <c r="F281">
        <v>1.1100000000000001</v>
      </c>
      <c r="G281">
        <v>23849.46</v>
      </c>
      <c r="H281">
        <v>0.11</v>
      </c>
      <c r="K281">
        <v>203504869.33000001</v>
      </c>
      <c r="L281">
        <v>104</v>
      </c>
      <c r="M281" s="215" t="s">
        <v>208</v>
      </c>
      <c r="N281">
        <v>2060000</v>
      </c>
    </row>
    <row r="282" spans="1:14" x14ac:dyDescent="0.25">
      <c r="A282" s="215" t="s">
        <v>140</v>
      </c>
      <c r="B282">
        <v>67</v>
      </c>
      <c r="C282" s="215" t="s">
        <v>491</v>
      </c>
      <c r="D282">
        <v>9.2100000000000009</v>
      </c>
      <c r="E282">
        <v>84.78</v>
      </c>
      <c r="F282">
        <v>0.77</v>
      </c>
      <c r="G282">
        <v>23293.56</v>
      </c>
      <c r="H282">
        <v>3.06</v>
      </c>
      <c r="I282">
        <v>-23.65</v>
      </c>
      <c r="J282">
        <v>-59.97</v>
      </c>
      <c r="K282">
        <v>133592138.40000001</v>
      </c>
      <c r="L282">
        <v>2833</v>
      </c>
      <c r="M282" s="215" t="s">
        <v>208</v>
      </c>
      <c r="N282">
        <v>1575760</v>
      </c>
    </row>
    <row r="283" spans="1:14" x14ac:dyDescent="0.25">
      <c r="A283" s="215" t="s">
        <v>162</v>
      </c>
      <c r="B283">
        <v>61.24</v>
      </c>
      <c r="C283" s="215" t="s">
        <v>491</v>
      </c>
      <c r="D283">
        <v>10.79</v>
      </c>
      <c r="E283">
        <v>77.900000000000006</v>
      </c>
      <c r="F283">
        <v>0.79</v>
      </c>
      <c r="G283">
        <v>965333.24</v>
      </c>
      <c r="H283">
        <v>8.65</v>
      </c>
      <c r="I283">
        <v>-9.89</v>
      </c>
      <c r="J283">
        <v>-12.81</v>
      </c>
      <c r="K283">
        <v>705006354.13</v>
      </c>
      <c r="L283">
        <v>50102</v>
      </c>
      <c r="M283" s="215" t="s">
        <v>208</v>
      </c>
      <c r="N283">
        <v>9050620</v>
      </c>
    </row>
    <row r="284" spans="1:14" x14ac:dyDescent="0.25">
      <c r="A284" s="215" t="s">
        <v>30</v>
      </c>
      <c r="B284">
        <v>49.88</v>
      </c>
      <c r="C284" s="215" t="s">
        <v>491</v>
      </c>
      <c r="D284">
        <v>9.35</v>
      </c>
      <c r="E284">
        <v>59.74</v>
      </c>
      <c r="F284">
        <v>0.84</v>
      </c>
      <c r="G284">
        <v>538950.62</v>
      </c>
      <c r="H284">
        <v>1.04</v>
      </c>
      <c r="K284">
        <v>301097627.76999998</v>
      </c>
      <c r="L284">
        <v>23734</v>
      </c>
      <c r="M284" s="215" t="s">
        <v>208</v>
      </c>
      <c r="N284">
        <v>5040000</v>
      </c>
    </row>
    <row r="285" spans="1:14" x14ac:dyDescent="0.25">
      <c r="A285" s="215" t="s">
        <v>180</v>
      </c>
      <c r="B285">
        <v>12.4</v>
      </c>
      <c r="C285" s="215" t="s">
        <v>491</v>
      </c>
      <c r="D285">
        <v>3.55</v>
      </c>
      <c r="E285">
        <v>22.73</v>
      </c>
      <c r="F285">
        <v>0.56999999999999995</v>
      </c>
      <c r="G285">
        <v>4938.4399999999996</v>
      </c>
      <c r="H285">
        <v>6.53</v>
      </c>
      <c r="I285">
        <v>-42.43</v>
      </c>
      <c r="J285">
        <v>-33.96</v>
      </c>
      <c r="K285">
        <v>11724556.689999999</v>
      </c>
      <c r="M285" s="215" t="s">
        <v>256</v>
      </c>
      <c r="N285">
        <v>515824</v>
      </c>
    </row>
    <row r="286" spans="1:14" x14ac:dyDescent="0.25">
      <c r="A286" s="215" t="s">
        <v>113</v>
      </c>
      <c r="B286">
        <v>1200</v>
      </c>
      <c r="C286" s="215" t="s">
        <v>491</v>
      </c>
      <c r="D286">
        <v>5.81</v>
      </c>
      <c r="E286">
        <v>1667.55</v>
      </c>
      <c r="F286">
        <v>0.72</v>
      </c>
      <c r="G286">
        <v>15195.7</v>
      </c>
      <c r="H286">
        <v>1.77</v>
      </c>
      <c r="I286">
        <v>-6.43</v>
      </c>
      <c r="J286">
        <v>-1.22</v>
      </c>
      <c r="K286">
        <v>108777317.33</v>
      </c>
      <c r="L286">
        <v>911</v>
      </c>
      <c r="M286" s="215" t="s">
        <v>206</v>
      </c>
      <c r="N286">
        <v>65232</v>
      </c>
    </row>
    <row r="287" spans="1:14" x14ac:dyDescent="0.25">
      <c r="A287" s="215" t="s">
        <v>467</v>
      </c>
      <c r="B287">
        <v>0</v>
      </c>
      <c r="C287" s="215" t="s">
        <v>491</v>
      </c>
      <c r="D287">
        <v>0</v>
      </c>
      <c r="E287">
        <v>98.21</v>
      </c>
      <c r="H287">
        <v>3.16</v>
      </c>
      <c r="K287">
        <v>2079401563.03</v>
      </c>
      <c r="L287">
        <v>1</v>
      </c>
      <c r="M287" s="215" t="s">
        <v>208</v>
      </c>
      <c r="N287">
        <v>21173640</v>
      </c>
    </row>
    <row r="288" spans="1:14" x14ac:dyDescent="0.25">
      <c r="A288" s="215" t="s">
        <v>52</v>
      </c>
      <c r="B288">
        <v>208.5</v>
      </c>
      <c r="C288" s="215" t="s">
        <v>491</v>
      </c>
      <c r="D288">
        <v>10.78</v>
      </c>
      <c r="E288">
        <v>218.07</v>
      </c>
      <c r="F288">
        <v>0.95</v>
      </c>
      <c r="G288">
        <v>176096.74</v>
      </c>
      <c r="H288">
        <v>1.76</v>
      </c>
      <c r="I288">
        <v>4.32</v>
      </c>
      <c r="J288">
        <v>-2.31</v>
      </c>
      <c r="K288">
        <v>249642644.66</v>
      </c>
      <c r="L288">
        <v>7413</v>
      </c>
      <c r="M288" s="215" t="s">
        <v>206</v>
      </c>
      <c r="N288">
        <v>1144800</v>
      </c>
    </row>
    <row r="289" spans="1:14" x14ac:dyDescent="0.25">
      <c r="A289" s="215" t="s">
        <v>300</v>
      </c>
      <c r="B289">
        <v>74.98</v>
      </c>
      <c r="C289" s="215" t="s">
        <v>491</v>
      </c>
      <c r="D289">
        <v>10.4</v>
      </c>
      <c r="E289">
        <v>101.91</v>
      </c>
      <c r="F289">
        <v>0.73</v>
      </c>
      <c r="G289">
        <v>978312.41</v>
      </c>
      <c r="H289">
        <v>5.64</v>
      </c>
      <c r="K289">
        <v>491699602.74000001</v>
      </c>
      <c r="L289">
        <v>6268</v>
      </c>
      <c r="M289" s="215" t="s">
        <v>208</v>
      </c>
      <c r="N289">
        <v>4824987</v>
      </c>
    </row>
    <row r="290" spans="1:14" x14ac:dyDescent="0.25">
      <c r="A290" s="215" t="s">
        <v>233</v>
      </c>
      <c r="B290">
        <v>2950.01</v>
      </c>
      <c r="C290" s="215" t="s">
        <v>491</v>
      </c>
      <c r="D290">
        <v>8.19</v>
      </c>
      <c r="E290">
        <v>2729.28</v>
      </c>
      <c r="F290">
        <v>1.1000000000000001</v>
      </c>
      <c r="H290">
        <v>5.91</v>
      </c>
      <c r="K290">
        <v>2490138966.8099999</v>
      </c>
      <c r="L290">
        <v>57</v>
      </c>
      <c r="M290" s="215" t="s">
        <v>208</v>
      </c>
      <c r="N290">
        <v>953878</v>
      </c>
    </row>
    <row r="291" spans="1:14" x14ac:dyDescent="0.25">
      <c r="A291" s="215" t="s">
        <v>56</v>
      </c>
      <c r="B291">
        <v>92.1</v>
      </c>
      <c r="C291" s="215" t="s">
        <v>491</v>
      </c>
      <c r="D291">
        <v>0</v>
      </c>
      <c r="E291">
        <v>94.06</v>
      </c>
      <c r="F291">
        <v>0.98</v>
      </c>
      <c r="G291">
        <v>88283.32</v>
      </c>
      <c r="H291">
        <v>0.55000000000000004</v>
      </c>
      <c r="K291">
        <v>357852662.82999998</v>
      </c>
      <c r="L291">
        <v>1434</v>
      </c>
      <c r="M291" s="215" t="s">
        <v>208</v>
      </c>
      <c r="N291">
        <v>3804642</v>
      </c>
    </row>
    <row r="292" spans="1:14" x14ac:dyDescent="0.25">
      <c r="A292" s="215" t="s">
        <v>211</v>
      </c>
      <c r="B292">
        <v>37.01</v>
      </c>
      <c r="C292" s="215" t="s">
        <v>491</v>
      </c>
      <c r="D292">
        <v>0</v>
      </c>
      <c r="E292">
        <v>94.06</v>
      </c>
      <c r="F292">
        <v>0.4</v>
      </c>
      <c r="G292">
        <v>5081.1899999999996</v>
      </c>
      <c r="H292">
        <v>0.55000000000000004</v>
      </c>
      <c r="K292">
        <v>357852662.82999998</v>
      </c>
      <c r="L292">
        <v>1434</v>
      </c>
      <c r="M292" s="215" t="s">
        <v>208</v>
      </c>
      <c r="N292">
        <v>3804642</v>
      </c>
    </row>
    <row r="293" spans="1:14" x14ac:dyDescent="0.25">
      <c r="A293" s="215" t="s">
        <v>33</v>
      </c>
      <c r="B293">
        <v>202.46</v>
      </c>
      <c r="C293" s="215" t="s">
        <v>491</v>
      </c>
      <c r="D293">
        <v>8.8699999999999992</v>
      </c>
      <c r="E293">
        <v>312.20999999999998</v>
      </c>
      <c r="F293">
        <v>0.64</v>
      </c>
      <c r="G293">
        <v>110612.03</v>
      </c>
      <c r="H293">
        <v>1.54</v>
      </c>
      <c r="I293">
        <v>9.82</v>
      </c>
      <c r="J293">
        <v>8.77</v>
      </c>
      <c r="K293">
        <v>119869423.17</v>
      </c>
      <c r="L293">
        <v>2590</v>
      </c>
      <c r="M293" s="215" t="s">
        <v>206</v>
      </c>
      <c r="N293">
        <v>383936</v>
      </c>
    </row>
    <row r="294" spans="1:14" x14ac:dyDescent="0.25">
      <c r="A294" s="215" t="s">
        <v>468</v>
      </c>
      <c r="B294">
        <v>9.58</v>
      </c>
      <c r="C294" s="215" t="s">
        <v>491</v>
      </c>
      <c r="D294">
        <v>2.2999999999999998</v>
      </c>
      <c r="E294">
        <v>9.69</v>
      </c>
      <c r="F294">
        <v>0.99</v>
      </c>
      <c r="G294">
        <v>90920.35</v>
      </c>
      <c r="H294">
        <v>11.4</v>
      </c>
      <c r="K294">
        <v>56643529.039999999</v>
      </c>
      <c r="L294">
        <v>717</v>
      </c>
      <c r="M294" s="215" t="s">
        <v>208</v>
      </c>
      <c r="N294">
        <v>5845602</v>
      </c>
    </row>
    <row r="295" spans="1:14" x14ac:dyDescent="0.25">
      <c r="A295" s="215" t="s">
        <v>214</v>
      </c>
      <c r="B295">
        <v>123</v>
      </c>
      <c r="C295" s="215" t="s">
        <v>491</v>
      </c>
      <c r="D295">
        <v>0</v>
      </c>
      <c r="E295">
        <v>110.21</v>
      </c>
      <c r="F295">
        <v>1.1200000000000001</v>
      </c>
      <c r="H295">
        <v>5.0999999999999996</v>
      </c>
      <c r="I295">
        <v>-47.71</v>
      </c>
      <c r="J295">
        <v>9</v>
      </c>
      <c r="K295">
        <v>131819480.59</v>
      </c>
      <c r="L295">
        <v>3846</v>
      </c>
      <c r="M295" s="215" t="s">
        <v>208</v>
      </c>
      <c r="N295">
        <v>1196040</v>
      </c>
    </row>
    <row r="296" spans="1:14" x14ac:dyDescent="0.25">
      <c r="A296" s="215" t="s">
        <v>341</v>
      </c>
      <c r="B296">
        <v>76000</v>
      </c>
      <c r="C296" s="215" t="s">
        <v>491</v>
      </c>
      <c r="D296">
        <v>14.58</v>
      </c>
      <c r="E296">
        <v>71685.41</v>
      </c>
      <c r="F296">
        <v>1.06</v>
      </c>
      <c r="G296">
        <v>76000</v>
      </c>
      <c r="H296">
        <v>0.12</v>
      </c>
      <c r="K296">
        <v>170324541.30000001</v>
      </c>
      <c r="L296">
        <v>10</v>
      </c>
      <c r="M296" s="215" t="s">
        <v>206</v>
      </c>
      <c r="N296">
        <v>2376</v>
      </c>
    </row>
    <row r="297" spans="1:14" x14ac:dyDescent="0.25">
      <c r="A297" s="215" t="s">
        <v>152</v>
      </c>
      <c r="B297">
        <v>58.43</v>
      </c>
      <c r="C297" s="215" t="s">
        <v>491</v>
      </c>
      <c r="D297">
        <v>9.89</v>
      </c>
      <c r="E297">
        <v>73.989999999999995</v>
      </c>
      <c r="F297">
        <v>0.78</v>
      </c>
      <c r="G297">
        <v>127046.97</v>
      </c>
      <c r="H297">
        <v>2.2400000000000002</v>
      </c>
      <c r="K297">
        <v>49324397.960000001</v>
      </c>
      <c r="L297">
        <v>4736</v>
      </c>
      <c r="M297" s="215" t="s">
        <v>208</v>
      </c>
      <c r="N297">
        <v>666681</v>
      </c>
    </row>
    <row r="298" spans="1:14" x14ac:dyDescent="0.25">
      <c r="A298" s="215" t="s">
        <v>219</v>
      </c>
      <c r="B298">
        <v>0</v>
      </c>
      <c r="C298" s="215" t="s">
        <v>491</v>
      </c>
      <c r="D298">
        <v>0</v>
      </c>
      <c r="E298">
        <v>1046.06</v>
      </c>
      <c r="H298">
        <v>7.08</v>
      </c>
      <c r="I298">
        <v>-6.98</v>
      </c>
      <c r="K298">
        <v>11789134.279999999</v>
      </c>
      <c r="L298">
        <v>1</v>
      </c>
      <c r="M298" s="215" t="s">
        <v>208</v>
      </c>
      <c r="N298">
        <v>11270</v>
      </c>
    </row>
    <row r="299" spans="1:14" x14ac:dyDescent="0.25">
      <c r="A299" s="215" t="s">
        <v>82</v>
      </c>
      <c r="B299">
        <v>44.4</v>
      </c>
      <c r="C299" s="215" t="s">
        <v>491</v>
      </c>
      <c r="D299">
        <v>30.47</v>
      </c>
      <c r="E299">
        <v>52.81</v>
      </c>
      <c r="F299">
        <v>0.85</v>
      </c>
      <c r="G299">
        <v>150560.26</v>
      </c>
      <c r="H299">
        <v>5.9</v>
      </c>
      <c r="I299">
        <v>17.670000000000002</v>
      </c>
      <c r="J299">
        <v>-17.829999999999998</v>
      </c>
      <c r="K299">
        <v>94947466.890000001</v>
      </c>
      <c r="L299">
        <v>20695</v>
      </c>
      <c r="M299" s="215" t="s">
        <v>206</v>
      </c>
      <c r="N299">
        <v>1798000</v>
      </c>
    </row>
    <row r="300" spans="1:14" x14ac:dyDescent="0.25">
      <c r="A300" s="215" t="s">
        <v>27</v>
      </c>
      <c r="B300">
        <v>105.65</v>
      </c>
      <c r="C300" s="215" t="s">
        <v>491</v>
      </c>
      <c r="D300">
        <v>10.43</v>
      </c>
      <c r="E300">
        <v>103.78</v>
      </c>
      <c r="F300">
        <v>1.02</v>
      </c>
      <c r="G300">
        <v>815937.26</v>
      </c>
      <c r="H300">
        <v>3.59</v>
      </c>
      <c r="K300">
        <v>352540307.86000001</v>
      </c>
      <c r="L300">
        <v>12530</v>
      </c>
      <c r="M300" s="215" t="s">
        <v>208</v>
      </c>
      <c r="N300">
        <v>3397153</v>
      </c>
    </row>
    <row r="301" spans="1:14" x14ac:dyDescent="0.25">
      <c r="A301" s="215" t="s">
        <v>314</v>
      </c>
      <c r="B301">
        <v>86.11</v>
      </c>
      <c r="C301" s="215" t="s">
        <v>491</v>
      </c>
      <c r="D301">
        <v>11.93</v>
      </c>
      <c r="E301">
        <v>95.07</v>
      </c>
      <c r="F301">
        <v>0.92</v>
      </c>
      <c r="G301">
        <v>133458.82</v>
      </c>
      <c r="H301">
        <v>11.61</v>
      </c>
      <c r="K301">
        <v>135220897.16999999</v>
      </c>
      <c r="L301">
        <v>2284</v>
      </c>
      <c r="M301" s="215" t="s">
        <v>208</v>
      </c>
      <c r="N301">
        <v>1422304</v>
      </c>
    </row>
    <row r="302" spans="1:14" x14ac:dyDescent="0.25">
      <c r="A302" s="215" t="s">
        <v>191</v>
      </c>
      <c r="B302">
        <v>86.14</v>
      </c>
      <c r="C302" s="215" t="s">
        <v>491</v>
      </c>
      <c r="D302">
        <v>8.41</v>
      </c>
      <c r="E302">
        <v>97.74</v>
      </c>
      <c r="F302">
        <v>0.88</v>
      </c>
      <c r="G302">
        <v>2336.3200000000002</v>
      </c>
      <c r="H302">
        <v>9.93</v>
      </c>
      <c r="I302">
        <v>9.43</v>
      </c>
      <c r="J302">
        <v>-0.37</v>
      </c>
      <c r="K302">
        <v>80920487.930000007</v>
      </c>
      <c r="L302">
        <v>299</v>
      </c>
      <c r="M302" s="215" t="s">
        <v>208</v>
      </c>
      <c r="N302">
        <v>827913</v>
      </c>
    </row>
    <row r="303" spans="1:14" x14ac:dyDescent="0.25">
      <c r="A303" s="215" t="s">
        <v>168</v>
      </c>
      <c r="B303">
        <v>9</v>
      </c>
      <c r="C303" s="215" t="s">
        <v>491</v>
      </c>
      <c r="D303">
        <v>0</v>
      </c>
      <c r="E303">
        <v>-10.48</v>
      </c>
      <c r="G303">
        <v>1630.28</v>
      </c>
      <c r="J303">
        <v>-25.82</v>
      </c>
      <c r="K303">
        <v>-7949662.9299999997</v>
      </c>
      <c r="L303">
        <v>430</v>
      </c>
      <c r="M303" s="215" t="s">
        <v>206</v>
      </c>
      <c r="N303">
        <v>758400</v>
      </c>
    </row>
    <row r="304" spans="1:14" x14ac:dyDescent="0.25">
      <c r="A304" s="215" t="s">
        <v>469</v>
      </c>
      <c r="B304">
        <v>102.5</v>
      </c>
      <c r="C304" s="215" t="s">
        <v>491</v>
      </c>
      <c r="D304">
        <v>3.41</v>
      </c>
      <c r="E304">
        <v>97.94</v>
      </c>
      <c r="F304">
        <v>1.05</v>
      </c>
      <c r="G304">
        <v>1021324.09</v>
      </c>
      <c r="H304">
        <v>4.28</v>
      </c>
      <c r="K304">
        <v>702532554.17999995</v>
      </c>
      <c r="L304">
        <v>74</v>
      </c>
      <c r="M304" s="215" t="s">
        <v>208</v>
      </c>
      <c r="N304">
        <v>7173000</v>
      </c>
    </row>
    <row r="305" spans="1:14" x14ac:dyDescent="0.25">
      <c r="A305" s="215" t="s">
        <v>221</v>
      </c>
      <c r="B305">
        <v>15.56</v>
      </c>
      <c r="C305" s="215" t="s">
        <v>491</v>
      </c>
      <c r="D305">
        <v>0</v>
      </c>
      <c r="E305">
        <v>0.06</v>
      </c>
      <c r="F305">
        <v>259.33</v>
      </c>
      <c r="H305">
        <v>70.239999999999995</v>
      </c>
      <c r="I305">
        <v>72.22</v>
      </c>
      <c r="J305">
        <v>-42.65</v>
      </c>
      <c r="K305">
        <v>624841.51</v>
      </c>
      <c r="L305">
        <v>9172</v>
      </c>
      <c r="M305" s="215" t="s">
        <v>206</v>
      </c>
      <c r="N305">
        <v>10050000</v>
      </c>
    </row>
    <row r="306" spans="1:14" x14ac:dyDescent="0.25">
      <c r="A306" s="215" t="s">
        <v>99</v>
      </c>
      <c r="B306">
        <v>124.45</v>
      </c>
      <c r="C306" s="215" t="s">
        <v>491</v>
      </c>
      <c r="D306">
        <v>11.09</v>
      </c>
      <c r="E306">
        <v>99.08</v>
      </c>
      <c r="F306">
        <v>1.26</v>
      </c>
      <c r="G306">
        <v>34205.5</v>
      </c>
      <c r="H306">
        <v>5.4</v>
      </c>
      <c r="I306">
        <v>9.14</v>
      </c>
      <c r="J306">
        <v>1.35</v>
      </c>
      <c r="K306">
        <v>69353084.560000002</v>
      </c>
      <c r="L306">
        <v>3457</v>
      </c>
      <c r="M306" s="215" t="s">
        <v>208</v>
      </c>
      <c r="N306">
        <v>700000</v>
      </c>
    </row>
    <row r="307" spans="1:14" x14ac:dyDescent="0.25">
      <c r="A307" s="215" t="s">
        <v>97</v>
      </c>
      <c r="B307">
        <v>90</v>
      </c>
      <c r="C307" s="215" t="s">
        <v>491</v>
      </c>
      <c r="D307">
        <v>10.1</v>
      </c>
      <c r="E307">
        <v>103.28</v>
      </c>
      <c r="F307">
        <v>0.87</v>
      </c>
      <c r="G307">
        <v>320187.18</v>
      </c>
      <c r="H307">
        <v>2.3199999999999998</v>
      </c>
      <c r="I307">
        <v>-2.08</v>
      </c>
      <c r="J307">
        <v>-3.76</v>
      </c>
      <c r="K307">
        <v>218430325.94</v>
      </c>
      <c r="L307">
        <v>6068</v>
      </c>
      <c r="M307" s="215" t="s">
        <v>208</v>
      </c>
      <c r="N307">
        <v>2115000</v>
      </c>
    </row>
    <row r="308" spans="1:14" x14ac:dyDescent="0.25">
      <c r="A308" s="215" t="s">
        <v>171</v>
      </c>
      <c r="B308">
        <v>38.6</v>
      </c>
      <c r="C308" s="215" t="s">
        <v>491</v>
      </c>
      <c r="D308">
        <v>9.19</v>
      </c>
      <c r="E308">
        <v>42.06</v>
      </c>
      <c r="F308">
        <v>0.94</v>
      </c>
      <c r="G308">
        <v>7499.88</v>
      </c>
      <c r="H308">
        <v>3.99</v>
      </c>
      <c r="I308">
        <v>-1.72</v>
      </c>
      <c r="J308">
        <v>-12.47</v>
      </c>
      <c r="K308">
        <v>40137277.100000001</v>
      </c>
      <c r="L308">
        <v>781</v>
      </c>
      <c r="M308" s="215" t="s">
        <v>208</v>
      </c>
      <c r="N308">
        <v>954304</v>
      </c>
    </row>
    <row r="309" spans="1:14" x14ac:dyDescent="0.25">
      <c r="A309" s="215" t="s">
        <v>354</v>
      </c>
      <c r="B309">
        <v>150</v>
      </c>
      <c r="C309" s="215" t="s">
        <v>491</v>
      </c>
      <c r="D309">
        <v>8.1300000000000008</v>
      </c>
      <c r="E309">
        <v>159.91</v>
      </c>
      <c r="F309">
        <v>0.94</v>
      </c>
      <c r="G309">
        <v>47514.2</v>
      </c>
      <c r="H309">
        <v>0.56000000000000005</v>
      </c>
      <c r="K309">
        <v>270163925.60000002</v>
      </c>
      <c r="L309">
        <v>160</v>
      </c>
      <c r="M309" s="215" t="s">
        <v>206</v>
      </c>
      <c r="N309">
        <v>1689507</v>
      </c>
    </row>
    <row r="310" spans="1:14" x14ac:dyDescent="0.25">
      <c r="A310" s="215" t="s">
        <v>315</v>
      </c>
      <c r="B310">
        <v>97.6</v>
      </c>
      <c r="C310" s="215" t="s">
        <v>491</v>
      </c>
      <c r="D310">
        <v>6.8</v>
      </c>
      <c r="E310">
        <v>97.21</v>
      </c>
      <c r="F310">
        <v>1</v>
      </c>
      <c r="G310">
        <v>648498.71</v>
      </c>
      <c r="H310">
        <v>1.96</v>
      </c>
      <c r="K310">
        <v>828054407.24000001</v>
      </c>
      <c r="L310">
        <v>81</v>
      </c>
      <c r="M310" s="215" t="s">
        <v>208</v>
      </c>
      <c r="N310">
        <v>8518064</v>
      </c>
    </row>
    <row r="311" spans="1:14" x14ac:dyDescent="0.25">
      <c r="A311" s="215" t="s">
        <v>359</v>
      </c>
      <c r="B311">
        <v>1000</v>
      </c>
      <c r="C311" s="215" t="s">
        <v>491</v>
      </c>
      <c r="D311">
        <v>7.48</v>
      </c>
      <c r="E311">
        <v>905.76</v>
      </c>
      <c r="F311">
        <v>1.1000000000000001</v>
      </c>
      <c r="G311">
        <v>8666.67</v>
      </c>
      <c r="H311">
        <v>11.15</v>
      </c>
      <c r="K311">
        <v>10045809.960000001</v>
      </c>
      <c r="L311">
        <v>95</v>
      </c>
      <c r="M311" s="215" t="s">
        <v>208</v>
      </c>
      <c r="N311">
        <v>11091</v>
      </c>
    </row>
    <row r="312" spans="1:14" x14ac:dyDescent="0.25">
      <c r="A312" s="215" t="s">
        <v>146</v>
      </c>
      <c r="B312">
        <v>85.52</v>
      </c>
      <c r="C312" s="215" t="s">
        <v>491</v>
      </c>
      <c r="D312">
        <v>10.3</v>
      </c>
      <c r="E312">
        <v>112.52</v>
      </c>
      <c r="F312">
        <v>0.76</v>
      </c>
      <c r="G312">
        <v>355654.88</v>
      </c>
      <c r="H312">
        <v>1.0900000000000001</v>
      </c>
      <c r="K312">
        <v>311940949.64999998</v>
      </c>
      <c r="L312">
        <v>1867</v>
      </c>
      <c r="M312" s="215" t="s">
        <v>208</v>
      </c>
      <c r="N312">
        <v>2772204</v>
      </c>
    </row>
    <row r="313" spans="1:14" x14ac:dyDescent="0.25">
      <c r="A313" s="215" t="s">
        <v>232</v>
      </c>
      <c r="B313">
        <v>0</v>
      </c>
      <c r="C313" s="215" t="s">
        <v>491</v>
      </c>
      <c r="D313">
        <v>0</v>
      </c>
      <c r="E313">
        <v>60.79</v>
      </c>
      <c r="H313">
        <v>186.17</v>
      </c>
      <c r="K313">
        <v>80684223.040000007</v>
      </c>
      <c r="L313">
        <v>2</v>
      </c>
      <c r="M313" s="215" t="s">
        <v>206</v>
      </c>
      <c r="N313">
        <v>1327300</v>
      </c>
    </row>
    <row r="314" spans="1:14" x14ac:dyDescent="0.25">
      <c r="A314" s="215" t="s">
        <v>470</v>
      </c>
      <c r="B314">
        <v>101.5</v>
      </c>
      <c r="C314" s="215" t="s">
        <v>491</v>
      </c>
      <c r="D314">
        <v>12.78</v>
      </c>
      <c r="E314">
        <v>98.41</v>
      </c>
      <c r="F314">
        <v>1.03</v>
      </c>
      <c r="G314">
        <v>3727.42</v>
      </c>
      <c r="H314">
        <v>100.67</v>
      </c>
      <c r="K314">
        <v>24337124.079999998</v>
      </c>
      <c r="L314">
        <v>72</v>
      </c>
      <c r="M314" s="215" t="s">
        <v>208</v>
      </c>
      <c r="N314">
        <v>247300</v>
      </c>
    </row>
    <row r="315" spans="1:14" x14ac:dyDescent="0.25">
      <c r="A315" s="215" t="s">
        <v>28</v>
      </c>
      <c r="B315">
        <v>88.7</v>
      </c>
      <c r="C315" s="215" t="s">
        <v>491</v>
      </c>
      <c r="D315">
        <v>5.79</v>
      </c>
      <c r="E315">
        <v>100.51</v>
      </c>
      <c r="F315">
        <v>0.89</v>
      </c>
      <c r="G315">
        <v>901907.41</v>
      </c>
      <c r="H315">
        <v>12.09</v>
      </c>
      <c r="K315">
        <v>319657407.01999998</v>
      </c>
      <c r="L315">
        <v>2867</v>
      </c>
      <c r="M315" s="215" t="s">
        <v>208</v>
      </c>
      <c r="N315">
        <v>3180207</v>
      </c>
    </row>
    <row r="316" spans="1:14" x14ac:dyDescent="0.25">
      <c r="A316" s="215" t="s">
        <v>93</v>
      </c>
      <c r="B316">
        <v>92.5</v>
      </c>
      <c r="C316" s="215" t="s">
        <v>491</v>
      </c>
      <c r="D316">
        <v>8.17</v>
      </c>
      <c r="E316">
        <v>112.62</v>
      </c>
      <c r="F316">
        <v>0.82</v>
      </c>
      <c r="G316">
        <v>126995.24</v>
      </c>
      <c r="H316">
        <v>1.0900000000000001</v>
      </c>
      <c r="K316">
        <v>478616998.38999999</v>
      </c>
      <c r="L316">
        <v>4015</v>
      </c>
      <c r="M316" s="215" t="s">
        <v>208</v>
      </c>
      <c r="N316">
        <v>4250000</v>
      </c>
    </row>
    <row r="317" spans="1:14" x14ac:dyDescent="0.25">
      <c r="A317" s="215" t="s">
        <v>45</v>
      </c>
      <c r="B317">
        <v>75.88</v>
      </c>
      <c r="C317" s="215" t="s">
        <v>491</v>
      </c>
      <c r="D317">
        <v>6.78</v>
      </c>
      <c r="E317">
        <v>95.59</v>
      </c>
      <c r="F317">
        <v>0.8</v>
      </c>
      <c r="G317">
        <v>1799346.06</v>
      </c>
      <c r="H317">
        <v>1.47</v>
      </c>
      <c r="K317">
        <v>1508445585.8900001</v>
      </c>
      <c r="L317">
        <v>119526</v>
      </c>
      <c r="M317" s="215" t="s">
        <v>208</v>
      </c>
      <c r="N317">
        <v>15780613</v>
      </c>
    </row>
    <row r="318" spans="1:14" x14ac:dyDescent="0.25">
      <c r="A318" s="215" t="s">
        <v>96</v>
      </c>
      <c r="B318">
        <v>83.64</v>
      </c>
      <c r="C318" s="215" t="s">
        <v>491</v>
      </c>
      <c r="D318">
        <v>10.06</v>
      </c>
      <c r="E318">
        <v>107.45</v>
      </c>
      <c r="F318">
        <v>0.78</v>
      </c>
      <c r="G318">
        <v>1039725.62</v>
      </c>
      <c r="H318">
        <v>3.87</v>
      </c>
      <c r="K318">
        <v>718503950.55999994</v>
      </c>
      <c r="L318">
        <v>7787</v>
      </c>
      <c r="M318" s="215" t="s">
        <v>208</v>
      </c>
      <c r="N318">
        <v>6687035</v>
      </c>
    </row>
    <row r="319" spans="1:14" x14ac:dyDescent="0.25">
      <c r="A319" s="215" t="s">
        <v>235</v>
      </c>
      <c r="B319">
        <v>1200</v>
      </c>
      <c r="C319" s="215" t="s">
        <v>491</v>
      </c>
      <c r="D319">
        <v>3.34</v>
      </c>
      <c r="E319">
        <v>365.4</v>
      </c>
      <c r="F319">
        <v>3.28</v>
      </c>
      <c r="G319">
        <v>1200</v>
      </c>
      <c r="H319">
        <v>70.8</v>
      </c>
      <c r="K319">
        <v>18639596.100000001</v>
      </c>
      <c r="L319">
        <v>149</v>
      </c>
      <c r="M319" s="215" t="s">
        <v>208</v>
      </c>
      <c r="N319">
        <v>51012</v>
      </c>
    </row>
    <row r="320" spans="1:14" x14ac:dyDescent="0.25">
      <c r="A320" s="215" t="s">
        <v>253</v>
      </c>
      <c r="B320">
        <v>0</v>
      </c>
      <c r="C320" s="215" t="s">
        <v>491</v>
      </c>
      <c r="D320">
        <v>0</v>
      </c>
      <c r="E320">
        <v>5524.03</v>
      </c>
      <c r="H320">
        <v>2.91</v>
      </c>
      <c r="I320">
        <v>-3.03</v>
      </c>
      <c r="K320">
        <v>100056791.59999999</v>
      </c>
      <c r="L320">
        <v>66</v>
      </c>
      <c r="M320" s="215" t="s">
        <v>208</v>
      </c>
      <c r="N320">
        <v>18113</v>
      </c>
    </row>
    <row r="321" spans="1:14" x14ac:dyDescent="0.25">
      <c r="A321" s="215" t="s">
        <v>321</v>
      </c>
      <c r="B321">
        <v>83.43</v>
      </c>
      <c r="C321" s="215" t="s">
        <v>491</v>
      </c>
      <c r="D321">
        <v>12.81</v>
      </c>
      <c r="E321">
        <v>92.45</v>
      </c>
      <c r="F321">
        <v>0.9</v>
      </c>
      <c r="G321">
        <v>200101.53</v>
      </c>
      <c r="H321">
        <v>17.02</v>
      </c>
      <c r="I321">
        <v>13.33</v>
      </c>
      <c r="J321">
        <v>-2.21</v>
      </c>
      <c r="K321">
        <v>99576629.269999996</v>
      </c>
      <c r="L321">
        <v>4748</v>
      </c>
      <c r="M321" s="215" t="s">
        <v>208</v>
      </c>
      <c r="N321">
        <v>1077087</v>
      </c>
    </row>
    <row r="322" spans="1:14" x14ac:dyDescent="0.25">
      <c r="A322" s="215" t="s">
        <v>167</v>
      </c>
      <c r="B322">
        <v>89.89</v>
      </c>
      <c r="C322" s="215" t="s">
        <v>491</v>
      </c>
      <c r="D322">
        <v>11.12</v>
      </c>
      <c r="E322">
        <v>100.99</v>
      </c>
      <c r="F322">
        <v>0.89</v>
      </c>
      <c r="G322">
        <v>486237.97</v>
      </c>
      <c r="H322">
        <v>7.54</v>
      </c>
      <c r="I322">
        <v>3.63</v>
      </c>
      <c r="J322">
        <v>-5.59</v>
      </c>
      <c r="K322">
        <v>328448674.24000001</v>
      </c>
      <c r="L322">
        <v>21203</v>
      </c>
      <c r="M322" s="215" t="s">
        <v>208</v>
      </c>
      <c r="N322">
        <v>3252384</v>
      </c>
    </row>
    <row r="323" spans="1:14" x14ac:dyDescent="0.25">
      <c r="A323" s="215" t="s">
        <v>312</v>
      </c>
      <c r="B323">
        <v>7.78</v>
      </c>
      <c r="C323" s="215" t="s">
        <v>491</v>
      </c>
      <c r="D323">
        <v>10.220000000000001</v>
      </c>
      <c r="E323">
        <v>9.34</v>
      </c>
      <c r="F323">
        <v>0.83</v>
      </c>
      <c r="G323">
        <v>975503.21</v>
      </c>
      <c r="H323">
        <v>6.22</v>
      </c>
      <c r="K323">
        <v>412682158.61000001</v>
      </c>
      <c r="L323">
        <v>53564</v>
      </c>
      <c r="M323" s="215" t="s">
        <v>208</v>
      </c>
      <c r="N323">
        <v>44196050</v>
      </c>
    </row>
    <row r="324" spans="1:14" x14ac:dyDescent="0.25">
      <c r="A324" s="215" t="s">
        <v>173</v>
      </c>
      <c r="B324">
        <v>100</v>
      </c>
      <c r="C324" s="215" t="s">
        <v>491</v>
      </c>
      <c r="D324">
        <v>30.68</v>
      </c>
      <c r="E324">
        <v>100.84</v>
      </c>
      <c r="F324">
        <v>0.99</v>
      </c>
      <c r="G324">
        <v>239178.74</v>
      </c>
      <c r="H324">
        <v>1.01</v>
      </c>
      <c r="I324">
        <v>75.400000000000006</v>
      </c>
      <c r="J324">
        <v>6.64</v>
      </c>
      <c r="K324">
        <v>126470249.69</v>
      </c>
      <c r="L324">
        <v>3475</v>
      </c>
      <c r="M324" s="215" t="s">
        <v>206</v>
      </c>
      <c r="N324">
        <v>1254164</v>
      </c>
    </row>
    <row r="325" spans="1:14" x14ac:dyDescent="0.25">
      <c r="A325" s="215" t="s">
        <v>210</v>
      </c>
      <c r="B325">
        <v>233.49</v>
      </c>
      <c r="C325" s="215" t="s">
        <v>491</v>
      </c>
      <c r="D325">
        <v>12.32</v>
      </c>
      <c r="E325">
        <v>334.39</v>
      </c>
      <c r="F325">
        <v>0.7</v>
      </c>
      <c r="H325">
        <v>7.71</v>
      </c>
      <c r="I325">
        <v>14.22</v>
      </c>
      <c r="K325">
        <v>183942936.03999999</v>
      </c>
      <c r="L325">
        <v>53</v>
      </c>
      <c r="M325" s="215" t="s">
        <v>208</v>
      </c>
      <c r="N325">
        <v>550084</v>
      </c>
    </row>
    <row r="326" spans="1:14" x14ac:dyDescent="0.25">
      <c r="A326" s="215" t="s">
        <v>147</v>
      </c>
      <c r="B326">
        <v>1055</v>
      </c>
      <c r="C326" s="215" t="s">
        <v>491</v>
      </c>
      <c r="D326">
        <v>0</v>
      </c>
      <c r="E326">
        <v>0</v>
      </c>
      <c r="K326">
        <v>0</v>
      </c>
      <c r="L326">
        <v>0</v>
      </c>
      <c r="M326" s="215" t="s">
        <v>208</v>
      </c>
      <c r="N326">
        <v>0</v>
      </c>
    </row>
    <row r="327" spans="1:14" x14ac:dyDescent="0.25">
      <c r="A327" s="215" t="s">
        <v>114</v>
      </c>
      <c r="B327">
        <v>226.95</v>
      </c>
      <c r="C327" s="215" t="s">
        <v>491</v>
      </c>
      <c r="D327">
        <v>64.16</v>
      </c>
      <c r="E327">
        <v>238.79</v>
      </c>
      <c r="F327">
        <v>0.95</v>
      </c>
      <c r="G327">
        <v>69159.67</v>
      </c>
      <c r="H327">
        <v>0.67</v>
      </c>
      <c r="I327">
        <v>122.18</v>
      </c>
      <c r="J327">
        <v>0.59</v>
      </c>
      <c r="K327">
        <v>91223530.5</v>
      </c>
      <c r="L327">
        <v>209</v>
      </c>
      <c r="M327" s="215" t="s">
        <v>206</v>
      </c>
      <c r="N327">
        <v>382017</v>
      </c>
    </row>
    <row r="328" spans="1:14" x14ac:dyDescent="0.25">
      <c r="A328" s="215" t="s">
        <v>216</v>
      </c>
      <c r="B328">
        <v>94.97</v>
      </c>
      <c r="C328" s="215" t="s">
        <v>491</v>
      </c>
      <c r="D328">
        <v>0</v>
      </c>
      <c r="E328">
        <v>0</v>
      </c>
      <c r="I328">
        <v>142.93</v>
      </c>
      <c r="J328">
        <v>-9.35</v>
      </c>
      <c r="K328">
        <v>0</v>
      </c>
      <c r="L328">
        <v>0</v>
      </c>
      <c r="M328" s="215" t="s">
        <v>206</v>
      </c>
      <c r="N328">
        <v>0</v>
      </c>
    </row>
    <row r="329" spans="1:14" x14ac:dyDescent="0.25">
      <c r="A329" s="215" t="s">
        <v>92</v>
      </c>
      <c r="B329">
        <v>104.51</v>
      </c>
      <c r="C329" s="215" t="s">
        <v>491</v>
      </c>
      <c r="D329">
        <v>0</v>
      </c>
      <c r="E329">
        <v>5.97</v>
      </c>
      <c r="F329">
        <v>17.510000000000002</v>
      </c>
      <c r="H329">
        <v>2489.44</v>
      </c>
      <c r="I329">
        <v>135.25</v>
      </c>
      <c r="J329">
        <v>3</v>
      </c>
      <c r="K329">
        <v>6407890.29</v>
      </c>
      <c r="L329">
        <v>2604</v>
      </c>
      <c r="M329" s="215" t="s">
        <v>206</v>
      </c>
      <c r="N329">
        <v>1073530</v>
      </c>
    </row>
    <row r="330" spans="1:14" x14ac:dyDescent="0.25">
      <c r="A330" s="215" t="s">
        <v>100</v>
      </c>
      <c r="B330">
        <v>143.34</v>
      </c>
      <c r="C330" s="215" t="s">
        <v>491</v>
      </c>
      <c r="D330">
        <v>9.75</v>
      </c>
      <c r="E330">
        <v>216.2</v>
      </c>
      <c r="F330">
        <v>0.66</v>
      </c>
      <c r="G330">
        <v>55737.24</v>
      </c>
      <c r="H330">
        <v>1.6</v>
      </c>
      <c r="I330">
        <v>-9.02</v>
      </c>
      <c r="J330">
        <v>-13.33</v>
      </c>
      <c r="K330">
        <v>138833934.63999999</v>
      </c>
      <c r="L330">
        <v>4950</v>
      </c>
      <c r="M330" s="215" t="s">
        <v>206</v>
      </c>
      <c r="N330">
        <v>642168</v>
      </c>
    </row>
    <row r="331" spans="1:14" x14ac:dyDescent="0.25">
      <c r="A331" s="215" t="s">
        <v>183</v>
      </c>
      <c r="B331">
        <v>69.05</v>
      </c>
      <c r="C331" s="215" t="s">
        <v>491</v>
      </c>
      <c r="D331">
        <v>10.87</v>
      </c>
      <c r="E331">
        <v>86.47</v>
      </c>
      <c r="F331">
        <v>0.81</v>
      </c>
      <c r="G331">
        <v>181832.47</v>
      </c>
      <c r="H331">
        <v>0.81</v>
      </c>
      <c r="K331">
        <v>93232405.030000001</v>
      </c>
      <c r="L331">
        <v>6679</v>
      </c>
      <c r="M331" s="215" t="s">
        <v>208</v>
      </c>
      <c r="N331">
        <v>1078164</v>
      </c>
    </row>
    <row r="332" spans="1:14" x14ac:dyDescent="0.25">
      <c r="A332" s="215" t="s">
        <v>471</v>
      </c>
      <c r="B332">
        <v>0</v>
      </c>
      <c r="C332" s="215" t="s">
        <v>491</v>
      </c>
      <c r="D332">
        <v>0</v>
      </c>
      <c r="E332">
        <v>100.05</v>
      </c>
      <c r="H332">
        <v>50.48</v>
      </c>
      <c r="K332">
        <v>30273495.59</v>
      </c>
      <c r="L332">
        <v>50</v>
      </c>
      <c r="M332" s="215" t="s">
        <v>208</v>
      </c>
      <c r="N332">
        <v>302580</v>
      </c>
    </row>
    <row r="333" spans="1:14" x14ac:dyDescent="0.25">
      <c r="A333" s="215" t="s">
        <v>322</v>
      </c>
      <c r="B333">
        <v>1213.99</v>
      </c>
      <c r="C333" s="215" t="s">
        <v>491</v>
      </c>
      <c r="D333">
        <v>0</v>
      </c>
      <c r="E333">
        <v>981.12</v>
      </c>
      <c r="F333">
        <v>1.24</v>
      </c>
      <c r="G333">
        <v>24879.5</v>
      </c>
      <c r="H333">
        <v>13.51</v>
      </c>
      <c r="K333">
        <v>116237083.16</v>
      </c>
      <c r="L333">
        <v>233</v>
      </c>
      <c r="M333" s="215" t="s">
        <v>208</v>
      </c>
      <c r="N333">
        <v>118474</v>
      </c>
    </row>
    <row r="334" spans="1:14" x14ac:dyDescent="0.25">
      <c r="A334" s="215" t="s">
        <v>165</v>
      </c>
      <c r="B334">
        <v>227.5</v>
      </c>
      <c r="C334" s="215" t="s">
        <v>491</v>
      </c>
      <c r="D334">
        <v>1.43</v>
      </c>
      <c r="E334">
        <v>255.58</v>
      </c>
      <c r="F334">
        <v>0.89</v>
      </c>
      <c r="H334">
        <v>12.78</v>
      </c>
      <c r="K334">
        <v>86231672.670000002</v>
      </c>
      <c r="L334">
        <v>7</v>
      </c>
      <c r="M334" s="215" t="s">
        <v>208</v>
      </c>
      <c r="N334">
        <v>337399</v>
      </c>
    </row>
    <row r="335" spans="1:14" x14ac:dyDescent="0.25">
      <c r="A335" s="215" t="s">
        <v>357</v>
      </c>
      <c r="B335">
        <v>100.56</v>
      </c>
      <c r="C335" s="215" t="s">
        <v>491</v>
      </c>
      <c r="D335">
        <v>9.86</v>
      </c>
      <c r="E335">
        <v>96.81</v>
      </c>
      <c r="F335">
        <v>1.05</v>
      </c>
      <c r="G335">
        <v>769861.09</v>
      </c>
      <c r="H335">
        <v>3.1</v>
      </c>
      <c r="K335">
        <v>173063751.55000001</v>
      </c>
      <c r="L335">
        <v>7036</v>
      </c>
      <c r="M335" s="215" t="s">
        <v>208</v>
      </c>
      <c r="N335">
        <v>1787671</v>
      </c>
    </row>
    <row r="336" spans="1:14" x14ac:dyDescent="0.25">
      <c r="A336" s="215" t="s">
        <v>472</v>
      </c>
      <c r="B336">
        <v>0</v>
      </c>
      <c r="C336" s="215" t="s">
        <v>491</v>
      </c>
      <c r="D336">
        <v>0</v>
      </c>
      <c r="E336">
        <v>102.5</v>
      </c>
      <c r="H336">
        <v>3.99</v>
      </c>
      <c r="K336">
        <v>8840651.0299999993</v>
      </c>
      <c r="L336">
        <v>24</v>
      </c>
      <c r="M336" s="215" t="s">
        <v>208</v>
      </c>
      <c r="N336">
        <v>86250</v>
      </c>
    </row>
    <row r="337" spans="1:14" x14ac:dyDescent="0.25">
      <c r="A337" s="215" t="s">
        <v>473</v>
      </c>
      <c r="B337">
        <v>111.6</v>
      </c>
      <c r="C337" s="215" t="s">
        <v>491</v>
      </c>
      <c r="D337">
        <v>6.19</v>
      </c>
      <c r="E337">
        <v>100.79</v>
      </c>
      <c r="F337">
        <v>1.1100000000000001</v>
      </c>
      <c r="G337">
        <v>58375.21</v>
      </c>
      <c r="H337">
        <v>3.16</v>
      </c>
      <c r="K337">
        <v>131030556.13</v>
      </c>
      <c r="L337">
        <v>480</v>
      </c>
      <c r="M337" s="215" t="s">
        <v>208</v>
      </c>
      <c r="N337">
        <v>1300000</v>
      </c>
    </row>
    <row r="338" spans="1:14" x14ac:dyDescent="0.25">
      <c r="A338" s="215" t="s">
        <v>275</v>
      </c>
      <c r="B338">
        <v>63</v>
      </c>
      <c r="C338" s="215" t="s">
        <v>491</v>
      </c>
      <c r="D338">
        <v>7.78</v>
      </c>
      <c r="E338">
        <v>93.5</v>
      </c>
      <c r="F338">
        <v>0.68</v>
      </c>
      <c r="G338">
        <v>17444.14</v>
      </c>
      <c r="H338">
        <v>5.48</v>
      </c>
      <c r="K338">
        <v>129916212.29000001</v>
      </c>
      <c r="L338">
        <v>1189</v>
      </c>
      <c r="M338" s="215" t="s">
        <v>208</v>
      </c>
      <c r="N338">
        <v>1389471</v>
      </c>
    </row>
    <row r="339" spans="1:14" x14ac:dyDescent="0.25">
      <c r="A339" s="215" t="s">
        <v>217</v>
      </c>
      <c r="B339">
        <v>107</v>
      </c>
      <c r="C339" s="215" t="s">
        <v>491</v>
      </c>
      <c r="D339">
        <v>7.89</v>
      </c>
      <c r="E339">
        <v>60.58</v>
      </c>
      <c r="F339">
        <v>1.77</v>
      </c>
      <c r="G339">
        <v>173932.96</v>
      </c>
      <c r="H339">
        <v>28.62</v>
      </c>
      <c r="K339">
        <v>425557771.5</v>
      </c>
      <c r="L339">
        <v>386</v>
      </c>
      <c r="M339" s="215" t="s">
        <v>208</v>
      </c>
      <c r="N339">
        <v>7024543</v>
      </c>
    </row>
    <row r="340" spans="1:14" x14ac:dyDescent="0.25">
      <c r="A340" s="215" t="s">
        <v>349</v>
      </c>
      <c r="B340">
        <v>94</v>
      </c>
      <c r="C340" s="215" t="s">
        <v>491</v>
      </c>
      <c r="D340">
        <v>11.27</v>
      </c>
      <c r="E340">
        <v>95.3</v>
      </c>
      <c r="F340">
        <v>1.01</v>
      </c>
      <c r="G340">
        <v>14144.88</v>
      </c>
      <c r="H340">
        <v>9.48</v>
      </c>
      <c r="K340">
        <v>87421299.180000007</v>
      </c>
      <c r="L340">
        <v>253</v>
      </c>
      <c r="M340" s="215" t="s">
        <v>208</v>
      </c>
      <c r="N340">
        <v>917304</v>
      </c>
    </row>
    <row r="341" spans="1:14" x14ac:dyDescent="0.25">
      <c r="A341" s="215" t="s">
        <v>185</v>
      </c>
      <c r="B341">
        <v>80.36</v>
      </c>
      <c r="C341" s="215" t="s">
        <v>491</v>
      </c>
      <c r="D341">
        <v>11.22</v>
      </c>
      <c r="E341">
        <v>87.72</v>
      </c>
      <c r="F341">
        <v>0.9</v>
      </c>
      <c r="G341">
        <v>307229.26</v>
      </c>
      <c r="H341">
        <v>2.66</v>
      </c>
      <c r="K341">
        <v>126323975.06</v>
      </c>
      <c r="L341">
        <v>11400</v>
      </c>
      <c r="M341" s="215" t="s">
        <v>208</v>
      </c>
      <c r="N341">
        <v>1440000</v>
      </c>
    </row>
    <row r="342" spans="1:14" x14ac:dyDescent="0.25">
      <c r="A342" s="215" t="s">
        <v>44</v>
      </c>
      <c r="B342">
        <v>169.87</v>
      </c>
      <c r="C342" s="215" t="s">
        <v>491</v>
      </c>
      <c r="D342">
        <v>5.25</v>
      </c>
      <c r="E342">
        <v>215.12</v>
      </c>
      <c r="F342">
        <v>0.79</v>
      </c>
      <c r="G342">
        <v>1832172.18</v>
      </c>
      <c r="H342">
        <v>1.08</v>
      </c>
      <c r="I342">
        <v>-20.03</v>
      </c>
      <c r="J342">
        <v>-10.36</v>
      </c>
      <c r="K342">
        <v>2151195623.1399999</v>
      </c>
      <c r="L342">
        <v>80577</v>
      </c>
      <c r="M342" s="215" t="s">
        <v>208</v>
      </c>
      <c r="N342">
        <v>10000000</v>
      </c>
    </row>
    <row r="343" spans="1:14" x14ac:dyDescent="0.25">
      <c r="A343" s="215" t="s">
        <v>73</v>
      </c>
      <c r="B343">
        <v>252.39</v>
      </c>
      <c r="C343" s="215" t="s">
        <v>491</v>
      </c>
      <c r="D343">
        <v>5.94</v>
      </c>
      <c r="E343">
        <v>268.07</v>
      </c>
      <c r="F343">
        <v>0.93</v>
      </c>
      <c r="G343">
        <v>534369.76</v>
      </c>
      <c r="H343">
        <v>4.2</v>
      </c>
      <c r="K343">
        <v>469946826.99000001</v>
      </c>
      <c r="L343">
        <v>10177</v>
      </c>
      <c r="M343" s="215" t="s">
        <v>206</v>
      </c>
      <c r="N343">
        <v>1753057</v>
      </c>
    </row>
    <row r="344" spans="1:14" x14ac:dyDescent="0.25">
      <c r="A344" s="215" t="s">
        <v>24</v>
      </c>
      <c r="B344">
        <v>99.57</v>
      </c>
      <c r="C344" s="215" t="s">
        <v>491</v>
      </c>
      <c r="D344">
        <v>6</v>
      </c>
      <c r="E344">
        <v>100.97</v>
      </c>
      <c r="F344">
        <v>0.99</v>
      </c>
      <c r="G344">
        <v>6935715.5</v>
      </c>
      <c r="H344">
        <v>4.2300000000000004</v>
      </c>
      <c r="I344">
        <v>-3.04</v>
      </c>
      <c r="J344">
        <v>-1.69</v>
      </c>
      <c r="K344">
        <v>3947593005.4899998</v>
      </c>
      <c r="L344">
        <v>87425</v>
      </c>
      <c r="M344" s="215" t="s">
        <v>208</v>
      </c>
      <c r="N344">
        <v>39097087</v>
      </c>
    </row>
    <row r="345" spans="1:14" x14ac:dyDescent="0.25">
      <c r="A345" s="215" t="s">
        <v>371</v>
      </c>
      <c r="B345">
        <v>0</v>
      </c>
      <c r="C345" s="215" t="s">
        <v>491</v>
      </c>
      <c r="D345">
        <v>0</v>
      </c>
      <c r="E345">
        <v>706.79</v>
      </c>
      <c r="H345">
        <v>56.19</v>
      </c>
      <c r="K345">
        <v>24344618.539999999</v>
      </c>
      <c r="L345">
        <v>46</v>
      </c>
      <c r="M345" s="215" t="s">
        <v>208</v>
      </c>
      <c r="N345">
        <v>34444</v>
      </c>
    </row>
    <row r="346" spans="1:14" x14ac:dyDescent="0.25">
      <c r="A346" s="215" t="s">
        <v>32</v>
      </c>
      <c r="B346">
        <v>103.08</v>
      </c>
      <c r="C346" s="215" t="s">
        <v>491</v>
      </c>
      <c r="D346">
        <v>8.1300000000000008</v>
      </c>
      <c r="E346">
        <v>99.03</v>
      </c>
      <c r="F346">
        <v>1.04</v>
      </c>
      <c r="G346">
        <v>3940844.76</v>
      </c>
      <c r="H346">
        <v>1.37</v>
      </c>
      <c r="I346">
        <v>16.22</v>
      </c>
      <c r="J346">
        <v>2.8</v>
      </c>
      <c r="K346">
        <v>1508161155.3499999</v>
      </c>
      <c r="L346">
        <v>156522</v>
      </c>
      <c r="M346" s="215" t="s">
        <v>208</v>
      </c>
      <c r="N346">
        <v>15228960</v>
      </c>
    </row>
    <row r="347" spans="1:14" x14ac:dyDescent="0.25">
      <c r="A347" s="215" t="s">
        <v>238</v>
      </c>
      <c r="B347">
        <v>165</v>
      </c>
      <c r="C347" s="215" t="s">
        <v>491</v>
      </c>
      <c r="D347">
        <v>1.31</v>
      </c>
      <c r="E347">
        <v>151.33000000000001</v>
      </c>
      <c r="F347">
        <v>1.0900000000000001</v>
      </c>
      <c r="H347">
        <v>0.1</v>
      </c>
      <c r="K347">
        <v>257260762.05000001</v>
      </c>
      <c r="L347">
        <v>70</v>
      </c>
      <c r="M347" s="215" t="s">
        <v>208</v>
      </c>
      <c r="N347">
        <v>1699996</v>
      </c>
    </row>
    <row r="348" spans="1:14" x14ac:dyDescent="0.25">
      <c r="A348" s="215" t="s">
        <v>370</v>
      </c>
      <c r="B348">
        <v>74.260000000000005</v>
      </c>
      <c r="C348" s="215" t="s">
        <v>491</v>
      </c>
      <c r="D348">
        <v>9.8699999999999992</v>
      </c>
      <c r="E348">
        <v>100.28</v>
      </c>
      <c r="F348">
        <v>0.73</v>
      </c>
      <c r="G348">
        <v>55003.47</v>
      </c>
      <c r="H348">
        <v>4</v>
      </c>
      <c r="K348">
        <v>75206560.900000006</v>
      </c>
      <c r="L348">
        <v>2079</v>
      </c>
      <c r="M348" s="215" t="s">
        <v>208</v>
      </c>
      <c r="N348">
        <v>750000</v>
      </c>
    </row>
    <row r="349" spans="1:14" x14ac:dyDescent="0.25">
      <c r="A349" s="215" t="s">
        <v>64</v>
      </c>
      <c r="B349">
        <v>22.59</v>
      </c>
      <c r="C349" s="215" t="s">
        <v>491</v>
      </c>
      <c r="D349">
        <v>1.44</v>
      </c>
      <c r="E349">
        <v>41</v>
      </c>
      <c r="F349">
        <v>0.51</v>
      </c>
      <c r="G349">
        <v>12950.29</v>
      </c>
      <c r="H349">
        <v>6.41</v>
      </c>
      <c r="I349">
        <v>-23.8</v>
      </c>
      <c r="J349">
        <v>-30.41</v>
      </c>
      <c r="K349">
        <v>119008191.84</v>
      </c>
      <c r="L349">
        <v>3633</v>
      </c>
      <c r="M349" s="215" t="s">
        <v>206</v>
      </c>
      <c r="N349">
        <v>2902772</v>
      </c>
    </row>
    <row r="350" spans="1:14" x14ac:dyDescent="0.25">
      <c r="A350" s="215" t="s">
        <v>251</v>
      </c>
      <c r="B350">
        <v>107</v>
      </c>
      <c r="C350" s="215" t="s">
        <v>491</v>
      </c>
      <c r="D350">
        <v>8.98</v>
      </c>
      <c r="E350">
        <v>108.55</v>
      </c>
      <c r="F350">
        <v>0.99</v>
      </c>
      <c r="G350">
        <v>19571.5</v>
      </c>
      <c r="H350">
        <v>0.08</v>
      </c>
      <c r="K350">
        <v>146528261.25999999</v>
      </c>
      <c r="L350">
        <v>197</v>
      </c>
      <c r="M350" s="215" t="s">
        <v>206</v>
      </c>
      <c r="N350">
        <v>1349837</v>
      </c>
    </row>
    <row r="351" spans="1:14" x14ac:dyDescent="0.25">
      <c r="A351" s="215" t="s">
        <v>175</v>
      </c>
      <c r="B351">
        <v>7</v>
      </c>
      <c r="C351" s="215" t="s">
        <v>491</v>
      </c>
      <c r="D351">
        <v>33.630000000000003</v>
      </c>
      <c r="E351">
        <v>25.43</v>
      </c>
      <c r="F351">
        <v>0.28000000000000003</v>
      </c>
      <c r="G351">
        <v>681.45</v>
      </c>
      <c r="H351">
        <v>22.78</v>
      </c>
      <c r="I351">
        <v>18.989999999999998</v>
      </c>
      <c r="J351">
        <v>-69.13</v>
      </c>
      <c r="K351">
        <v>3217007.07</v>
      </c>
      <c r="L351">
        <v>1015</v>
      </c>
      <c r="M351" s="215" t="s">
        <v>208</v>
      </c>
      <c r="N351">
        <v>126523</v>
      </c>
    </row>
    <row r="352" spans="1:14" x14ac:dyDescent="0.25">
      <c r="A352" s="215" t="s">
        <v>143</v>
      </c>
      <c r="B352">
        <v>456.02</v>
      </c>
      <c r="C352" s="215" t="s">
        <v>491</v>
      </c>
      <c r="D352">
        <v>8.7200000000000006</v>
      </c>
      <c r="E352">
        <v>456.79</v>
      </c>
      <c r="F352">
        <v>1</v>
      </c>
      <c r="G352">
        <v>338454.41</v>
      </c>
      <c r="H352">
        <v>1.33</v>
      </c>
      <c r="I352">
        <v>7.64</v>
      </c>
      <c r="J352">
        <v>1.52</v>
      </c>
      <c r="K352">
        <v>312904364.25999999</v>
      </c>
      <c r="L352">
        <v>16743</v>
      </c>
      <c r="M352" s="215" t="s">
        <v>206</v>
      </c>
      <c r="N352">
        <v>685000</v>
      </c>
    </row>
    <row r="353" spans="1:14" x14ac:dyDescent="0.25">
      <c r="A353" s="215" t="s">
        <v>367</v>
      </c>
      <c r="B353">
        <v>0</v>
      </c>
      <c r="C353" s="215" t="s">
        <v>491</v>
      </c>
      <c r="D353">
        <v>0</v>
      </c>
      <c r="E353">
        <v>99.08</v>
      </c>
      <c r="H353">
        <v>0.87</v>
      </c>
      <c r="K353">
        <v>40079578.259999998</v>
      </c>
      <c r="L353">
        <v>220</v>
      </c>
      <c r="M353" s="215" t="s">
        <v>208</v>
      </c>
      <c r="N353">
        <v>404500</v>
      </c>
    </row>
    <row r="354" spans="1:14" x14ac:dyDescent="0.25">
      <c r="A354" s="215" t="s">
        <v>218</v>
      </c>
      <c r="B354">
        <v>926.98</v>
      </c>
      <c r="C354" s="215" t="s">
        <v>491</v>
      </c>
      <c r="D354">
        <v>6.76</v>
      </c>
      <c r="E354">
        <v>1583.09</v>
      </c>
      <c r="F354">
        <v>0.59</v>
      </c>
      <c r="H354">
        <v>3.94</v>
      </c>
      <c r="K354">
        <v>4937917235.8299999</v>
      </c>
      <c r="L354">
        <v>2</v>
      </c>
      <c r="M354" s="215" t="s">
        <v>208</v>
      </c>
      <c r="N354">
        <v>3215347</v>
      </c>
    </row>
    <row r="355" spans="1:14" x14ac:dyDescent="0.25">
      <c r="A355" s="215" t="s">
        <v>230</v>
      </c>
      <c r="B355">
        <v>3500</v>
      </c>
      <c r="C355" s="215" t="s">
        <v>491</v>
      </c>
      <c r="D355">
        <v>3.11</v>
      </c>
      <c r="E355">
        <v>3416.54</v>
      </c>
      <c r="F355">
        <v>1.02</v>
      </c>
      <c r="G355">
        <v>3500</v>
      </c>
      <c r="H355">
        <v>1.23</v>
      </c>
      <c r="J355">
        <v>11.87</v>
      </c>
      <c r="K355">
        <v>1541247743.29</v>
      </c>
      <c r="L355">
        <v>58</v>
      </c>
      <c r="M355" s="215" t="s">
        <v>208</v>
      </c>
      <c r="N355">
        <v>451113</v>
      </c>
    </row>
    <row r="356" spans="1:14" x14ac:dyDescent="0.25">
      <c r="A356" s="215" t="s">
        <v>223</v>
      </c>
      <c r="B356">
        <v>762.38</v>
      </c>
      <c r="C356" s="215" t="s">
        <v>491</v>
      </c>
      <c r="D356">
        <v>8.84</v>
      </c>
      <c r="E356">
        <v>1343.36</v>
      </c>
      <c r="F356">
        <v>0.56999999999999995</v>
      </c>
      <c r="H356">
        <v>0.31</v>
      </c>
      <c r="I356">
        <v>15.27</v>
      </c>
      <c r="K356">
        <v>1057569612.03</v>
      </c>
      <c r="L356">
        <v>60</v>
      </c>
      <c r="M356" s="215" t="s">
        <v>206</v>
      </c>
      <c r="N356">
        <v>787256</v>
      </c>
    </row>
    <row r="357" spans="1:14" x14ac:dyDescent="0.25">
      <c r="A357" s="215" t="s">
        <v>31</v>
      </c>
      <c r="B357">
        <v>100.2</v>
      </c>
      <c r="C357" s="215" t="s">
        <v>491</v>
      </c>
      <c r="D357">
        <v>6.84</v>
      </c>
      <c r="E357">
        <v>118.74</v>
      </c>
      <c r="F357">
        <v>0.84</v>
      </c>
      <c r="G357">
        <v>3494516.53</v>
      </c>
      <c r="H357">
        <v>2.69</v>
      </c>
      <c r="K357">
        <v>1754791262.49</v>
      </c>
      <c r="L357">
        <v>60457</v>
      </c>
      <c r="M357" s="215" t="s">
        <v>208</v>
      </c>
      <c r="N357">
        <v>14778781</v>
      </c>
    </row>
    <row r="358" spans="1:14" x14ac:dyDescent="0.25">
      <c r="A358" s="215" t="s">
        <v>474</v>
      </c>
      <c r="B358">
        <v>101.99</v>
      </c>
      <c r="C358" s="215" t="s">
        <v>491</v>
      </c>
      <c r="D358">
        <v>6.7</v>
      </c>
      <c r="E358">
        <v>101.68</v>
      </c>
      <c r="F358">
        <v>1</v>
      </c>
      <c r="G358">
        <v>10070.040000000001</v>
      </c>
      <c r="H358">
        <v>5.53</v>
      </c>
      <c r="K358">
        <v>209244750.34999999</v>
      </c>
      <c r="L358">
        <v>55</v>
      </c>
      <c r="M358" s="215" t="s">
        <v>208</v>
      </c>
      <c r="N358">
        <v>2057925</v>
      </c>
    </row>
    <row r="359" spans="1:14" x14ac:dyDescent="0.25">
      <c r="A359" s="215" t="s">
        <v>12</v>
      </c>
      <c r="B359">
        <v>91.99</v>
      </c>
      <c r="C359" s="215" t="s">
        <v>491</v>
      </c>
      <c r="D359">
        <v>10.050000000000001</v>
      </c>
      <c r="E359">
        <v>98.32</v>
      </c>
      <c r="F359">
        <v>0.94</v>
      </c>
      <c r="G359">
        <v>879150.53</v>
      </c>
      <c r="H359">
        <v>15.43</v>
      </c>
      <c r="I359">
        <v>7.76</v>
      </c>
      <c r="J359">
        <v>-3.01</v>
      </c>
      <c r="K359">
        <v>472927195.19999999</v>
      </c>
      <c r="L359">
        <v>10682</v>
      </c>
      <c r="M359" s="215" t="s">
        <v>208</v>
      </c>
      <c r="N359">
        <v>4810097</v>
      </c>
    </row>
    <row r="360" spans="1:14" x14ac:dyDescent="0.25">
      <c r="A360" s="215" t="s">
        <v>189</v>
      </c>
      <c r="B360">
        <v>100.34</v>
      </c>
      <c r="C360" s="215" t="s">
        <v>491</v>
      </c>
      <c r="D360">
        <v>8.0299999999999994</v>
      </c>
      <c r="E360">
        <v>97</v>
      </c>
      <c r="F360">
        <v>1.03</v>
      </c>
      <c r="G360">
        <v>1169714.21</v>
      </c>
      <c r="H360">
        <v>1.0900000000000001</v>
      </c>
      <c r="I360">
        <v>-1.71</v>
      </c>
      <c r="J360">
        <v>-0.17</v>
      </c>
      <c r="K360">
        <v>437140913.98000002</v>
      </c>
      <c r="L360">
        <v>28656</v>
      </c>
      <c r="M360" s="215" t="s">
        <v>208</v>
      </c>
      <c r="N360">
        <v>4506414</v>
      </c>
    </row>
    <row r="361" spans="1:14" x14ac:dyDescent="0.25">
      <c r="A361" s="215" t="s">
        <v>80</v>
      </c>
      <c r="B361">
        <v>126.89</v>
      </c>
      <c r="C361" s="215" t="s">
        <v>491</v>
      </c>
      <c r="D361">
        <v>7.57</v>
      </c>
      <c r="E361">
        <v>196.63</v>
      </c>
      <c r="F361">
        <v>0.64</v>
      </c>
      <c r="G361">
        <v>994714.59</v>
      </c>
      <c r="H361">
        <v>1.34</v>
      </c>
      <c r="I361">
        <v>8.43</v>
      </c>
      <c r="J361">
        <v>-7.66</v>
      </c>
      <c r="K361">
        <v>725693907.41999996</v>
      </c>
      <c r="L361">
        <v>29885</v>
      </c>
      <c r="M361" s="215" t="s">
        <v>208</v>
      </c>
      <c r="N361">
        <v>3690695</v>
      </c>
    </row>
    <row r="362" spans="1:14" x14ac:dyDescent="0.25">
      <c r="A362" s="215" t="s">
        <v>281</v>
      </c>
      <c r="B362">
        <v>35.74</v>
      </c>
      <c r="C362" s="215" t="s">
        <v>491</v>
      </c>
      <c r="D362">
        <v>0</v>
      </c>
      <c r="E362">
        <v>55.89</v>
      </c>
      <c r="F362">
        <v>0.64</v>
      </c>
      <c r="G362">
        <v>1322</v>
      </c>
      <c r="H362">
        <v>5.18</v>
      </c>
      <c r="J362">
        <v>-17.61</v>
      </c>
      <c r="K362">
        <v>79904489.010000005</v>
      </c>
      <c r="L362">
        <v>50</v>
      </c>
      <c r="M362" s="215" t="s">
        <v>206</v>
      </c>
      <c r="N362">
        <v>1429740</v>
      </c>
    </row>
    <row r="363" spans="1:14" x14ac:dyDescent="0.25">
      <c r="A363" s="215" t="s">
        <v>302</v>
      </c>
      <c r="B363">
        <v>95.95</v>
      </c>
      <c r="C363" s="215" t="s">
        <v>491</v>
      </c>
      <c r="D363">
        <v>14.23</v>
      </c>
      <c r="E363">
        <v>89.29</v>
      </c>
      <c r="F363">
        <v>1.08</v>
      </c>
      <c r="G363">
        <v>3972036.68</v>
      </c>
      <c r="H363">
        <v>5.32</v>
      </c>
      <c r="K363">
        <v>708642133.38</v>
      </c>
      <c r="L363">
        <v>44699</v>
      </c>
      <c r="M363" s="215" t="s">
        <v>208</v>
      </c>
      <c r="N363">
        <v>7936528</v>
      </c>
    </row>
    <row r="364" spans="1:14" x14ac:dyDescent="0.25">
      <c r="A364" s="215" t="s">
        <v>268</v>
      </c>
      <c r="B364">
        <v>128.79</v>
      </c>
      <c r="C364" s="215" t="s">
        <v>491</v>
      </c>
      <c r="D364">
        <v>0</v>
      </c>
      <c r="E364">
        <v>152.16999999999999</v>
      </c>
      <c r="F364">
        <v>0.85</v>
      </c>
      <c r="G364">
        <v>128.5</v>
      </c>
      <c r="H364">
        <v>0</v>
      </c>
      <c r="K364">
        <v>44128028.219999999</v>
      </c>
      <c r="L364">
        <v>33</v>
      </c>
      <c r="M364" s="215" t="s">
        <v>208</v>
      </c>
      <c r="N364">
        <v>290000</v>
      </c>
    </row>
    <row r="365" spans="1:14" x14ac:dyDescent="0.25">
      <c r="A365" s="215" t="s">
        <v>381</v>
      </c>
      <c r="B365">
        <v>0</v>
      </c>
      <c r="C365" s="215" t="s">
        <v>491</v>
      </c>
      <c r="D365">
        <v>0</v>
      </c>
      <c r="E365">
        <v>104.44</v>
      </c>
      <c r="H365">
        <v>18.09</v>
      </c>
      <c r="K365">
        <v>41270942.899999999</v>
      </c>
      <c r="L365">
        <v>10</v>
      </c>
      <c r="M365" s="215" t="s">
        <v>208</v>
      </c>
      <c r="N365">
        <v>395150</v>
      </c>
    </row>
    <row r="366" spans="1:14" x14ac:dyDescent="0.25">
      <c r="A366" s="215" t="s">
        <v>335</v>
      </c>
      <c r="B366">
        <v>0</v>
      </c>
      <c r="C366" s="215" t="s">
        <v>491</v>
      </c>
      <c r="D366">
        <v>0</v>
      </c>
      <c r="E366">
        <v>99.21</v>
      </c>
      <c r="H366">
        <v>0.04</v>
      </c>
      <c r="K366">
        <v>351020648.91000003</v>
      </c>
      <c r="L366">
        <v>3</v>
      </c>
      <c r="M366" s="215" t="s">
        <v>208</v>
      </c>
      <c r="N366">
        <v>3538046</v>
      </c>
    </row>
    <row r="367" spans="1:14" x14ac:dyDescent="0.25">
      <c r="A367" s="215" t="s">
        <v>254</v>
      </c>
      <c r="B367">
        <v>74.8</v>
      </c>
      <c r="C367" s="215" t="s">
        <v>491</v>
      </c>
      <c r="D367">
        <v>0</v>
      </c>
      <c r="E367">
        <v>96.09</v>
      </c>
      <c r="F367">
        <v>0.79</v>
      </c>
      <c r="G367">
        <v>31861.68</v>
      </c>
      <c r="H367">
        <v>37.1</v>
      </c>
      <c r="K367">
        <v>146886360.66999999</v>
      </c>
      <c r="L367">
        <v>1346</v>
      </c>
      <c r="M367" s="215" t="s">
        <v>208</v>
      </c>
      <c r="N367">
        <v>1528615</v>
      </c>
    </row>
    <row r="368" spans="1:14" x14ac:dyDescent="0.25">
      <c r="A368" s="215" t="s">
        <v>50</v>
      </c>
      <c r="B368">
        <v>94</v>
      </c>
      <c r="C368" s="215" t="s">
        <v>491</v>
      </c>
      <c r="D368">
        <v>6</v>
      </c>
      <c r="E368">
        <v>101.67</v>
      </c>
      <c r="F368">
        <v>0.92</v>
      </c>
      <c r="G368">
        <v>4005689.82</v>
      </c>
      <c r="H368">
        <v>1.1000000000000001</v>
      </c>
      <c r="I368">
        <v>-8.0399999999999991</v>
      </c>
      <c r="J368">
        <v>-3.76</v>
      </c>
      <c r="K368">
        <v>1899441860.0599999</v>
      </c>
      <c r="L368">
        <v>254916</v>
      </c>
      <c r="M368" s="215" t="s">
        <v>208</v>
      </c>
      <c r="N368">
        <v>18681577</v>
      </c>
    </row>
    <row r="369" spans="1:14" x14ac:dyDescent="0.25">
      <c r="A369" s="215" t="s">
        <v>475</v>
      </c>
      <c r="B369">
        <v>0</v>
      </c>
      <c r="C369" s="215" t="s">
        <v>491</v>
      </c>
      <c r="D369">
        <v>0</v>
      </c>
      <c r="E369">
        <v>86.17</v>
      </c>
      <c r="H369">
        <v>20.58</v>
      </c>
      <c r="K369">
        <v>34976102.310000002</v>
      </c>
      <c r="L369">
        <v>1</v>
      </c>
      <c r="M369" s="215" t="s">
        <v>208</v>
      </c>
      <c r="N369">
        <v>405873</v>
      </c>
    </row>
    <row r="370" spans="1:14" x14ac:dyDescent="0.25">
      <c r="A370" s="215" t="s">
        <v>244</v>
      </c>
      <c r="B370">
        <v>230</v>
      </c>
      <c r="C370" s="215" t="s">
        <v>491</v>
      </c>
      <c r="D370">
        <v>40.53</v>
      </c>
      <c r="E370">
        <v>453.65</v>
      </c>
      <c r="F370">
        <v>0.51</v>
      </c>
      <c r="G370">
        <v>1080</v>
      </c>
      <c r="H370">
        <v>7.53</v>
      </c>
      <c r="K370">
        <v>24950603.140000001</v>
      </c>
      <c r="L370">
        <v>86</v>
      </c>
      <c r="M370" s="215" t="s">
        <v>208</v>
      </c>
      <c r="N370">
        <v>55000</v>
      </c>
    </row>
    <row r="371" spans="1:14" x14ac:dyDescent="0.25">
      <c r="A371" s="215" t="s">
        <v>16</v>
      </c>
      <c r="B371">
        <v>100.21</v>
      </c>
      <c r="C371" s="215" t="s">
        <v>491</v>
      </c>
      <c r="D371">
        <v>10.99</v>
      </c>
      <c r="E371">
        <v>96.82</v>
      </c>
      <c r="F371">
        <v>1.03</v>
      </c>
      <c r="G371">
        <v>4197406.82</v>
      </c>
      <c r="H371">
        <v>5.47</v>
      </c>
      <c r="K371">
        <v>1202207530.3199999</v>
      </c>
      <c r="L371">
        <v>77282</v>
      </c>
      <c r="M371" s="215" t="s">
        <v>208</v>
      </c>
      <c r="N371">
        <v>12417281</v>
      </c>
    </row>
    <row r="372" spans="1:14" x14ac:dyDescent="0.25">
      <c r="A372" s="215" t="s">
        <v>249</v>
      </c>
      <c r="B372">
        <v>1050</v>
      </c>
      <c r="C372" s="215" t="s">
        <v>491</v>
      </c>
      <c r="D372">
        <v>0</v>
      </c>
      <c r="E372">
        <v>965.78</v>
      </c>
      <c r="F372">
        <v>1.0900000000000001</v>
      </c>
      <c r="G372">
        <v>1050</v>
      </c>
      <c r="H372">
        <v>7.1</v>
      </c>
      <c r="K372">
        <v>111413907.36</v>
      </c>
      <c r="L372">
        <v>79</v>
      </c>
      <c r="M372" s="215" t="s">
        <v>208</v>
      </c>
      <c r="N372">
        <v>115362</v>
      </c>
    </row>
    <row r="373" spans="1:14" x14ac:dyDescent="0.25">
      <c r="A373" s="215" t="s">
        <v>377</v>
      </c>
      <c r="B373">
        <v>0</v>
      </c>
      <c r="C373" s="215" t="s">
        <v>491</v>
      </c>
      <c r="D373">
        <v>0</v>
      </c>
      <c r="E373">
        <v>104.92</v>
      </c>
      <c r="H373">
        <v>0.96</v>
      </c>
      <c r="K373">
        <v>68200831.090000004</v>
      </c>
      <c r="L373">
        <v>1</v>
      </c>
      <c r="M373" s="215" t="s">
        <v>208</v>
      </c>
      <c r="N373">
        <v>650000</v>
      </c>
    </row>
    <row r="374" spans="1:14" x14ac:dyDescent="0.25">
      <c r="A374" s="215" t="s">
        <v>306</v>
      </c>
      <c r="B374">
        <v>1000</v>
      </c>
      <c r="C374" s="215" t="s">
        <v>491</v>
      </c>
      <c r="D374">
        <v>0.14000000000000001</v>
      </c>
      <c r="E374">
        <v>990.72</v>
      </c>
      <c r="F374">
        <v>1.01</v>
      </c>
      <c r="G374">
        <v>80103.92</v>
      </c>
      <c r="H374">
        <v>2.65</v>
      </c>
      <c r="K374">
        <v>146329614.13999999</v>
      </c>
      <c r="L374">
        <v>384</v>
      </c>
      <c r="M374" s="215" t="s">
        <v>206</v>
      </c>
      <c r="N374">
        <v>147700</v>
      </c>
    </row>
    <row r="375" spans="1:14" x14ac:dyDescent="0.25">
      <c r="A375" s="215" t="s">
        <v>274</v>
      </c>
      <c r="B375">
        <v>94794.81</v>
      </c>
      <c r="C375" s="215" t="s">
        <v>491</v>
      </c>
      <c r="D375">
        <v>115.74</v>
      </c>
      <c r="E375">
        <v>137549.16</v>
      </c>
      <c r="F375">
        <v>0.69</v>
      </c>
      <c r="H375">
        <v>3.46</v>
      </c>
      <c r="K375">
        <v>74138997.670000002</v>
      </c>
      <c r="L375">
        <v>54</v>
      </c>
      <c r="M375" s="215" t="s">
        <v>208</v>
      </c>
      <c r="N375">
        <v>539</v>
      </c>
    </row>
    <row r="376" spans="1:14" x14ac:dyDescent="0.25">
      <c r="A376" s="215" t="s">
        <v>186</v>
      </c>
      <c r="B376">
        <v>68.739999999999995</v>
      </c>
      <c r="C376" s="215" t="s">
        <v>491</v>
      </c>
      <c r="D376">
        <v>10.85</v>
      </c>
      <c r="E376">
        <v>99.2</v>
      </c>
      <c r="F376">
        <v>0.7</v>
      </c>
      <c r="G376">
        <v>1017903.26</v>
      </c>
      <c r="H376">
        <v>13.31</v>
      </c>
      <c r="K376">
        <v>916067410.38</v>
      </c>
      <c r="L376">
        <v>15187</v>
      </c>
      <c r="M376" s="215" t="s">
        <v>208</v>
      </c>
      <c r="N376">
        <v>9234329</v>
      </c>
    </row>
    <row r="377" spans="1:14" x14ac:dyDescent="0.25">
      <c r="A377" s="215" t="s">
        <v>188</v>
      </c>
      <c r="B377">
        <v>96.58</v>
      </c>
      <c r="C377" s="215" t="s">
        <v>491</v>
      </c>
      <c r="D377">
        <v>12.47</v>
      </c>
      <c r="E377">
        <v>94.36</v>
      </c>
      <c r="F377">
        <v>1.03</v>
      </c>
      <c r="G377">
        <v>1396543.85</v>
      </c>
      <c r="H377">
        <v>6.02</v>
      </c>
      <c r="K377">
        <v>1167961094.9200001</v>
      </c>
      <c r="L377">
        <v>8270</v>
      </c>
      <c r="M377" s="215" t="s">
        <v>208</v>
      </c>
      <c r="N377">
        <v>12377709</v>
      </c>
    </row>
    <row r="378" spans="1:14" x14ac:dyDescent="0.25">
      <c r="A378" s="215" t="s">
        <v>239</v>
      </c>
      <c r="B378">
        <v>0</v>
      </c>
      <c r="C378" s="215" t="s">
        <v>491</v>
      </c>
      <c r="D378">
        <v>0</v>
      </c>
      <c r="E378">
        <v>101.08</v>
      </c>
      <c r="H378">
        <v>0</v>
      </c>
      <c r="K378">
        <v>108416198.23</v>
      </c>
      <c r="L378">
        <v>25</v>
      </c>
      <c r="M378" s="215" t="s">
        <v>208</v>
      </c>
      <c r="N378">
        <v>1072588</v>
      </c>
    </row>
    <row r="379" spans="1:14" x14ac:dyDescent="0.25">
      <c r="A379" s="215" t="s">
        <v>262</v>
      </c>
      <c r="B379">
        <v>0</v>
      </c>
      <c r="C379" s="215" t="s">
        <v>491</v>
      </c>
      <c r="D379">
        <v>0</v>
      </c>
      <c r="E379">
        <v>78.099999999999994</v>
      </c>
      <c r="H379">
        <v>0.63</v>
      </c>
      <c r="K379">
        <v>72545951.030000001</v>
      </c>
      <c r="L379">
        <v>33</v>
      </c>
      <c r="M379" s="215" t="s">
        <v>208</v>
      </c>
      <c r="N379">
        <v>928908</v>
      </c>
    </row>
    <row r="380" spans="1:14" x14ac:dyDescent="0.25">
      <c r="A380" s="215" t="s">
        <v>119</v>
      </c>
      <c r="B380">
        <v>7.85</v>
      </c>
      <c r="C380" s="215" t="s">
        <v>491</v>
      </c>
      <c r="D380">
        <v>2.62</v>
      </c>
      <c r="E380">
        <v>12.49</v>
      </c>
      <c r="F380">
        <v>0.63</v>
      </c>
      <c r="G380">
        <v>2947.44</v>
      </c>
      <c r="H380">
        <v>2.62</v>
      </c>
      <c r="I380">
        <v>-26.48</v>
      </c>
      <c r="J380">
        <v>-11.18</v>
      </c>
      <c r="K380">
        <v>52471361.409999996</v>
      </c>
      <c r="L380">
        <v>4521</v>
      </c>
      <c r="M380" s="215" t="s">
        <v>208</v>
      </c>
      <c r="N380">
        <v>4200000</v>
      </c>
    </row>
    <row r="381" spans="1:14" x14ac:dyDescent="0.25">
      <c r="A381" s="215" t="s">
        <v>88</v>
      </c>
      <c r="B381">
        <v>18.25</v>
      </c>
      <c r="C381" s="215" t="s">
        <v>491</v>
      </c>
      <c r="D381">
        <v>17.66</v>
      </c>
      <c r="E381">
        <v>54.69</v>
      </c>
      <c r="F381">
        <v>0.34</v>
      </c>
      <c r="G381">
        <v>87602.94</v>
      </c>
      <c r="H381">
        <v>5.63</v>
      </c>
      <c r="I381">
        <v>-31.36</v>
      </c>
      <c r="J381">
        <v>-42.44</v>
      </c>
      <c r="K381">
        <v>132062273.78</v>
      </c>
      <c r="L381">
        <v>30413</v>
      </c>
      <c r="M381" s="215" t="s">
        <v>206</v>
      </c>
      <c r="N381">
        <v>2414570</v>
      </c>
    </row>
    <row r="382" spans="1:14" x14ac:dyDescent="0.25">
      <c r="A382" s="215" t="s">
        <v>271</v>
      </c>
      <c r="B382">
        <v>1.44</v>
      </c>
      <c r="C382" s="215" t="s">
        <v>491</v>
      </c>
      <c r="D382">
        <v>0.87</v>
      </c>
      <c r="E382">
        <v>0.37</v>
      </c>
      <c r="F382">
        <v>3.95</v>
      </c>
      <c r="G382">
        <v>3190.21</v>
      </c>
      <c r="H382">
        <v>16.010000000000002</v>
      </c>
      <c r="K382">
        <v>19002842.359999999</v>
      </c>
      <c r="L382">
        <v>1244</v>
      </c>
      <c r="M382" s="215" t="s">
        <v>208</v>
      </c>
      <c r="N382">
        <v>51699979</v>
      </c>
    </row>
    <row r="383" spans="1:14" x14ac:dyDescent="0.25">
      <c r="A383" s="215" t="s">
        <v>40</v>
      </c>
      <c r="B383">
        <v>77.06</v>
      </c>
      <c r="C383" s="215" t="s">
        <v>491</v>
      </c>
      <c r="D383">
        <v>6.58</v>
      </c>
      <c r="E383">
        <v>91.74</v>
      </c>
      <c r="F383">
        <v>0.84</v>
      </c>
      <c r="G383">
        <v>123000.91</v>
      </c>
      <c r="H383">
        <v>1.82</v>
      </c>
      <c r="I383">
        <v>0.36</v>
      </c>
      <c r="J383">
        <v>-7.15</v>
      </c>
      <c r="K383">
        <v>1119557783.9300001</v>
      </c>
      <c r="L383">
        <v>19198</v>
      </c>
      <c r="M383" s="215" t="s">
        <v>206</v>
      </c>
      <c r="N383">
        <v>12203832</v>
      </c>
    </row>
    <row r="384" spans="1:14" x14ac:dyDescent="0.25">
      <c r="A384" s="215" t="s">
        <v>128</v>
      </c>
      <c r="B384">
        <v>99.51</v>
      </c>
      <c r="C384" s="215" t="s">
        <v>491</v>
      </c>
      <c r="D384">
        <v>15.04</v>
      </c>
      <c r="E384">
        <v>92.45</v>
      </c>
      <c r="F384">
        <v>1.08</v>
      </c>
      <c r="G384">
        <v>575021.88</v>
      </c>
      <c r="H384">
        <v>2.81</v>
      </c>
      <c r="K384">
        <v>96921910.810000002</v>
      </c>
      <c r="L384">
        <v>6449</v>
      </c>
      <c r="M384" s="215" t="s">
        <v>208</v>
      </c>
      <c r="N384">
        <v>1048320</v>
      </c>
    </row>
    <row r="385" spans="1:14" x14ac:dyDescent="0.25">
      <c r="A385" s="215" t="s">
        <v>229</v>
      </c>
      <c r="B385">
        <v>0</v>
      </c>
      <c r="C385" s="215" t="s">
        <v>491</v>
      </c>
      <c r="D385">
        <v>0</v>
      </c>
      <c r="E385">
        <v>1065.47</v>
      </c>
      <c r="H385">
        <v>0.21</v>
      </c>
      <c r="I385">
        <v>42.53</v>
      </c>
      <c r="K385">
        <v>666493504.55999994</v>
      </c>
      <c r="L385">
        <v>69</v>
      </c>
      <c r="M385" s="215" t="s">
        <v>206</v>
      </c>
      <c r="N385">
        <v>625540</v>
      </c>
    </row>
    <row r="386" spans="1:14" x14ac:dyDescent="0.25">
      <c r="A386" s="215" t="s">
        <v>348</v>
      </c>
      <c r="B386">
        <v>0</v>
      </c>
      <c r="C386" s="215" t="s">
        <v>491</v>
      </c>
      <c r="D386">
        <v>0</v>
      </c>
      <c r="E386">
        <v>579.03</v>
      </c>
      <c r="H386">
        <v>0.12</v>
      </c>
      <c r="K386">
        <v>93082502.140000001</v>
      </c>
      <c r="L386">
        <v>2</v>
      </c>
      <c r="M386" s="215" t="s">
        <v>206</v>
      </c>
      <c r="N386">
        <v>160757</v>
      </c>
    </row>
    <row r="387" spans="1:14" x14ac:dyDescent="0.25">
      <c r="A387" s="215" t="s">
        <v>270</v>
      </c>
      <c r="B387">
        <v>150</v>
      </c>
      <c r="C387" s="215" t="s">
        <v>491</v>
      </c>
      <c r="D387">
        <v>12.22</v>
      </c>
      <c r="E387">
        <v>11.39</v>
      </c>
      <c r="F387">
        <v>13.17</v>
      </c>
      <c r="G387">
        <v>2395</v>
      </c>
      <c r="H387">
        <v>113.1</v>
      </c>
      <c r="K387">
        <v>1413361.57</v>
      </c>
      <c r="L387">
        <v>164</v>
      </c>
      <c r="M387" s="215" t="s">
        <v>208</v>
      </c>
      <c r="N387">
        <v>124104</v>
      </c>
    </row>
    <row r="388" spans="1:14" x14ac:dyDescent="0.25">
      <c r="A388" s="215" t="s">
        <v>75</v>
      </c>
      <c r="B388">
        <v>32.94</v>
      </c>
      <c r="C388" s="215" t="s">
        <v>491</v>
      </c>
      <c r="D388">
        <v>0</v>
      </c>
      <c r="E388">
        <v>65.2</v>
      </c>
      <c r="F388">
        <v>0.51</v>
      </c>
      <c r="G388">
        <v>5360</v>
      </c>
      <c r="H388">
        <v>2.39</v>
      </c>
      <c r="I388">
        <v>58.77</v>
      </c>
      <c r="K388">
        <v>48375032.780000001</v>
      </c>
      <c r="L388">
        <v>1723</v>
      </c>
      <c r="M388" s="215" t="s">
        <v>208</v>
      </c>
      <c r="N388">
        <v>742000</v>
      </c>
    </row>
    <row r="389" spans="1:14" x14ac:dyDescent="0.25">
      <c r="A389" s="215" t="s">
        <v>476</v>
      </c>
      <c r="B389">
        <v>77.5</v>
      </c>
      <c r="C389" s="215" t="s">
        <v>491</v>
      </c>
      <c r="D389">
        <v>6.92</v>
      </c>
      <c r="E389">
        <v>119.6</v>
      </c>
      <c r="F389">
        <v>0.65</v>
      </c>
      <c r="G389">
        <v>53186.15</v>
      </c>
      <c r="H389">
        <v>1.1200000000000001</v>
      </c>
      <c r="K389">
        <v>239192558.80000001</v>
      </c>
      <c r="L389">
        <v>1944</v>
      </c>
      <c r="M389" s="215" t="s">
        <v>208</v>
      </c>
      <c r="N389">
        <v>2000000</v>
      </c>
    </row>
    <row r="390" spans="1:14" x14ac:dyDescent="0.25">
      <c r="A390" s="215" t="s">
        <v>69</v>
      </c>
      <c r="B390">
        <v>846.05</v>
      </c>
      <c r="C390" s="215" t="s">
        <v>491</v>
      </c>
      <c r="D390">
        <v>0</v>
      </c>
      <c r="E390">
        <v>3122.11</v>
      </c>
      <c r="F390">
        <v>0.27</v>
      </c>
      <c r="G390">
        <v>127282.44</v>
      </c>
      <c r="H390">
        <v>6.62</v>
      </c>
      <c r="I390">
        <v>-9.82</v>
      </c>
      <c r="J390">
        <v>-27.02</v>
      </c>
      <c r="K390">
        <v>327197260.69999999</v>
      </c>
      <c r="L390">
        <v>3126</v>
      </c>
      <c r="M390" s="215" t="s">
        <v>206</v>
      </c>
      <c r="N390">
        <v>104800</v>
      </c>
    </row>
    <row r="391" spans="1:14" x14ac:dyDescent="0.25">
      <c r="A391" s="215" t="s">
        <v>318</v>
      </c>
      <c r="B391">
        <v>95.28</v>
      </c>
      <c r="C391" s="215" t="s">
        <v>491</v>
      </c>
      <c r="D391">
        <v>10.88</v>
      </c>
      <c r="E391">
        <v>93.89</v>
      </c>
      <c r="F391">
        <v>1.01</v>
      </c>
      <c r="G391">
        <v>1306881.32</v>
      </c>
      <c r="H391">
        <v>1.41</v>
      </c>
      <c r="K391">
        <v>281838303.05000001</v>
      </c>
      <c r="L391">
        <v>6823</v>
      </c>
      <c r="M391" s="215" t="s">
        <v>208</v>
      </c>
      <c r="N391">
        <v>3001734</v>
      </c>
    </row>
    <row r="392" spans="1:14" x14ac:dyDescent="0.25">
      <c r="A392" s="215" t="s">
        <v>313</v>
      </c>
      <c r="B392">
        <v>87.5</v>
      </c>
      <c r="C392" s="215" t="s">
        <v>491</v>
      </c>
      <c r="D392">
        <v>7.87</v>
      </c>
      <c r="E392">
        <v>111.06</v>
      </c>
      <c r="F392">
        <v>0.8</v>
      </c>
      <c r="G392">
        <v>805577.38</v>
      </c>
      <c r="H392">
        <v>4.4000000000000004</v>
      </c>
      <c r="K392">
        <v>1405986303.1199999</v>
      </c>
      <c r="L392">
        <v>18251</v>
      </c>
      <c r="M392" s="215" t="s">
        <v>208</v>
      </c>
      <c r="N392">
        <v>12660067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B3CD4-6275-4F0A-A57E-F7253A072BB6}">
  <dimension ref="A1:C329"/>
  <sheetViews>
    <sheetView topLeftCell="A314" workbookViewId="0">
      <selection activeCell="C19" sqref="C19"/>
    </sheetView>
  </sheetViews>
  <sheetFormatPr defaultColWidth="9.140625" defaultRowHeight="15" x14ac:dyDescent="0.25"/>
  <cols>
    <col min="1" max="1" width="9.140625" style="204"/>
    <col min="2" max="2" width="7.42578125" style="204" bestFit="1" customWidth="1"/>
    <col min="3" max="3" width="11.140625" style="204" bestFit="1" customWidth="1"/>
    <col min="4" max="16384" width="9.140625" style="136"/>
  </cols>
  <sheetData>
    <row r="1" spans="1:3" x14ac:dyDescent="0.25">
      <c r="A1" s="214" t="s">
        <v>197</v>
      </c>
      <c r="B1" s="214" t="s">
        <v>291</v>
      </c>
      <c r="C1" s="214" t="s">
        <v>292</v>
      </c>
    </row>
    <row r="2" spans="1:3" x14ac:dyDescent="0.25">
      <c r="A2" s="205" t="s">
        <v>40</v>
      </c>
      <c r="B2" s="205" t="s">
        <v>290</v>
      </c>
      <c r="C2" s="205" t="s">
        <v>289</v>
      </c>
    </row>
    <row r="3" spans="1:3" x14ac:dyDescent="0.25">
      <c r="A3" s="205" t="s">
        <v>126</v>
      </c>
      <c r="B3" s="205" t="s">
        <v>289</v>
      </c>
      <c r="C3" s="205" t="s">
        <v>293</v>
      </c>
    </row>
    <row r="4" spans="1:3" x14ac:dyDescent="0.25">
      <c r="A4" s="205" t="s">
        <v>357</v>
      </c>
      <c r="B4" s="205" t="s">
        <v>289</v>
      </c>
      <c r="C4" s="205" t="s">
        <v>293</v>
      </c>
    </row>
    <row r="5" spans="1:3" x14ac:dyDescent="0.25">
      <c r="A5" s="205" t="s">
        <v>300</v>
      </c>
      <c r="B5" s="205" t="s">
        <v>289</v>
      </c>
      <c r="C5" s="205" t="s">
        <v>289</v>
      </c>
    </row>
    <row r="6" spans="1:3" x14ac:dyDescent="0.25">
      <c r="A6" s="205" t="s">
        <v>58</v>
      </c>
      <c r="B6" s="205" t="s">
        <v>290</v>
      </c>
      <c r="C6" s="205" t="s">
        <v>289</v>
      </c>
    </row>
    <row r="7" spans="1:3" x14ac:dyDescent="0.25">
      <c r="A7" s="205" t="s">
        <v>29</v>
      </c>
      <c r="B7" s="205" t="s">
        <v>289</v>
      </c>
      <c r="C7" s="205" t="s">
        <v>289</v>
      </c>
    </row>
    <row r="8" spans="1:3" x14ac:dyDescent="0.25">
      <c r="A8" s="205" t="s">
        <v>230</v>
      </c>
      <c r="B8" s="205" t="s">
        <v>289</v>
      </c>
      <c r="C8" s="205" t="s">
        <v>289</v>
      </c>
    </row>
    <row r="9" spans="1:3" x14ac:dyDescent="0.25">
      <c r="A9" s="205" t="s">
        <v>457</v>
      </c>
      <c r="B9" s="205" t="s">
        <v>290</v>
      </c>
      <c r="C9" s="205" t="s">
        <v>289</v>
      </c>
    </row>
    <row r="10" spans="1:3" x14ac:dyDescent="0.25">
      <c r="A10" s="205" t="s">
        <v>127</v>
      </c>
      <c r="B10" s="205" t="s">
        <v>289</v>
      </c>
      <c r="C10" s="205" t="s">
        <v>289</v>
      </c>
    </row>
    <row r="11" spans="1:3" x14ac:dyDescent="0.25">
      <c r="A11" s="205" t="s">
        <v>128</v>
      </c>
      <c r="B11" s="205" t="s">
        <v>289</v>
      </c>
      <c r="C11" s="205" t="s">
        <v>293</v>
      </c>
    </row>
    <row r="12" spans="1:3" x14ac:dyDescent="0.25">
      <c r="A12" s="205" t="s">
        <v>262</v>
      </c>
      <c r="B12" s="205" t="s">
        <v>289</v>
      </c>
      <c r="C12" s="205" t="s">
        <v>289</v>
      </c>
    </row>
    <row r="13" spans="1:3" x14ac:dyDescent="0.25">
      <c r="A13" s="205" t="s">
        <v>110</v>
      </c>
      <c r="B13" s="205" t="s">
        <v>290</v>
      </c>
      <c r="C13" s="205" t="s">
        <v>289</v>
      </c>
    </row>
    <row r="14" spans="1:3" x14ac:dyDescent="0.25">
      <c r="A14" s="205" t="s">
        <v>8</v>
      </c>
      <c r="B14" s="205" t="s">
        <v>289</v>
      </c>
      <c r="C14" s="205" t="s">
        <v>293</v>
      </c>
    </row>
    <row r="15" spans="1:3" x14ac:dyDescent="0.25">
      <c r="A15" s="205" t="s">
        <v>59</v>
      </c>
      <c r="B15" s="205" t="s">
        <v>289</v>
      </c>
      <c r="C15" s="205" t="s">
        <v>289</v>
      </c>
    </row>
    <row r="16" spans="1:3" x14ac:dyDescent="0.25">
      <c r="A16" s="205" t="s">
        <v>59</v>
      </c>
      <c r="B16" s="205" t="s">
        <v>289</v>
      </c>
      <c r="C16" s="205" t="s">
        <v>290</v>
      </c>
    </row>
    <row r="17" spans="1:3" x14ac:dyDescent="0.25">
      <c r="A17" s="205" t="s">
        <v>240</v>
      </c>
      <c r="B17" s="205" t="s">
        <v>289</v>
      </c>
      <c r="C17" s="205" t="s">
        <v>293</v>
      </c>
    </row>
    <row r="18" spans="1:3" x14ac:dyDescent="0.25">
      <c r="A18" s="205" t="s">
        <v>60</v>
      </c>
      <c r="B18" s="205" t="s">
        <v>289</v>
      </c>
      <c r="C18" s="205" t="s">
        <v>290</v>
      </c>
    </row>
    <row r="19" spans="1:3" x14ac:dyDescent="0.25">
      <c r="A19" s="205" t="s">
        <v>98</v>
      </c>
      <c r="B19" s="205" t="s">
        <v>289</v>
      </c>
      <c r="C19" s="205" t="s">
        <v>290</v>
      </c>
    </row>
    <row r="20" spans="1:3" x14ac:dyDescent="0.25">
      <c r="A20" s="205" t="s">
        <v>129</v>
      </c>
      <c r="B20" s="205" t="s">
        <v>293</v>
      </c>
      <c r="C20" s="205" t="s">
        <v>293</v>
      </c>
    </row>
    <row r="21" spans="1:3" x14ac:dyDescent="0.25">
      <c r="A21" s="205" t="s">
        <v>130</v>
      </c>
      <c r="B21" s="205" t="s">
        <v>293</v>
      </c>
      <c r="C21" s="205" t="s">
        <v>293</v>
      </c>
    </row>
    <row r="22" spans="1:3" x14ac:dyDescent="0.25">
      <c r="A22" s="205" t="s">
        <v>21</v>
      </c>
      <c r="B22" s="205" t="s">
        <v>289</v>
      </c>
      <c r="C22" s="205" t="s">
        <v>293</v>
      </c>
    </row>
    <row r="23" spans="1:3" x14ac:dyDescent="0.25">
      <c r="A23" s="205" t="s">
        <v>131</v>
      </c>
      <c r="B23" s="205" t="s">
        <v>289</v>
      </c>
      <c r="C23" s="205" t="s">
        <v>293</v>
      </c>
    </row>
    <row r="24" spans="1:3" x14ac:dyDescent="0.25">
      <c r="A24" s="205" t="s">
        <v>468</v>
      </c>
      <c r="B24" s="205" t="s">
        <v>293</v>
      </c>
      <c r="C24" s="205" t="s">
        <v>293</v>
      </c>
    </row>
    <row r="25" spans="1:3" x14ac:dyDescent="0.25">
      <c r="A25" s="205" t="s">
        <v>462</v>
      </c>
      <c r="B25" s="205" t="s">
        <v>290</v>
      </c>
      <c r="C25" s="205" t="s">
        <v>289</v>
      </c>
    </row>
    <row r="26" spans="1:3" x14ac:dyDescent="0.25">
      <c r="A26" s="205" t="s">
        <v>242</v>
      </c>
      <c r="B26" s="205" t="s">
        <v>289</v>
      </c>
      <c r="C26" s="205" t="s">
        <v>289</v>
      </c>
    </row>
    <row r="27" spans="1:3" x14ac:dyDescent="0.25">
      <c r="A27" s="205" t="s">
        <v>356</v>
      </c>
      <c r="B27" s="205" t="s">
        <v>289</v>
      </c>
      <c r="C27" s="205" t="s">
        <v>293</v>
      </c>
    </row>
    <row r="28" spans="1:3" x14ac:dyDescent="0.25">
      <c r="A28" s="205" t="s">
        <v>328</v>
      </c>
      <c r="B28" s="205" t="s">
        <v>290</v>
      </c>
      <c r="C28" s="205" t="s">
        <v>290</v>
      </c>
    </row>
    <row r="29" spans="1:3" x14ac:dyDescent="0.25">
      <c r="A29" s="205" t="s">
        <v>263</v>
      </c>
      <c r="B29" s="205" t="s">
        <v>290</v>
      </c>
      <c r="C29" s="205" t="s">
        <v>289</v>
      </c>
    </row>
    <row r="30" spans="1:3" x14ac:dyDescent="0.25">
      <c r="A30" s="205" t="s">
        <v>228</v>
      </c>
      <c r="B30" s="205" t="s">
        <v>290</v>
      </c>
      <c r="C30" s="205" t="s">
        <v>289</v>
      </c>
    </row>
    <row r="31" spans="1:3" x14ac:dyDescent="0.25">
      <c r="A31" s="205" t="s">
        <v>303</v>
      </c>
      <c r="B31" s="205" t="s">
        <v>290</v>
      </c>
      <c r="C31" s="205" t="s">
        <v>289</v>
      </c>
    </row>
    <row r="32" spans="1:3" x14ac:dyDescent="0.25">
      <c r="A32" s="205" t="s">
        <v>99</v>
      </c>
      <c r="B32" s="205" t="s">
        <v>289</v>
      </c>
      <c r="C32" s="205" t="s">
        <v>290</v>
      </c>
    </row>
    <row r="33" spans="1:3" x14ac:dyDescent="0.25">
      <c r="A33" s="205" t="s">
        <v>132</v>
      </c>
      <c r="B33" s="205" t="s">
        <v>293</v>
      </c>
      <c r="C33" s="205" t="s">
        <v>293</v>
      </c>
    </row>
    <row r="34" spans="1:3" x14ac:dyDescent="0.25">
      <c r="A34" s="205" t="s">
        <v>111</v>
      </c>
      <c r="B34" s="205" t="s">
        <v>289</v>
      </c>
      <c r="C34" s="205" t="s">
        <v>289</v>
      </c>
    </row>
    <row r="35" spans="1:3" x14ac:dyDescent="0.25">
      <c r="A35" s="205" t="s">
        <v>251</v>
      </c>
      <c r="B35" s="205" t="s">
        <v>290</v>
      </c>
      <c r="C35" s="205" t="s">
        <v>290</v>
      </c>
    </row>
    <row r="36" spans="1:3" x14ac:dyDescent="0.25">
      <c r="A36" s="205" t="s">
        <v>31</v>
      </c>
      <c r="B36" s="205" t="s">
        <v>289</v>
      </c>
      <c r="C36" s="205" t="s">
        <v>289</v>
      </c>
    </row>
    <row r="37" spans="1:3" x14ac:dyDescent="0.25">
      <c r="A37" s="205" t="s">
        <v>133</v>
      </c>
      <c r="B37" s="205" t="s">
        <v>289</v>
      </c>
      <c r="C37" s="205" t="s">
        <v>289</v>
      </c>
    </row>
    <row r="38" spans="1:3" x14ac:dyDescent="0.25">
      <c r="A38" s="205" t="s">
        <v>252</v>
      </c>
      <c r="B38" s="205" t="s">
        <v>289</v>
      </c>
      <c r="C38" s="205" t="s">
        <v>289</v>
      </c>
    </row>
    <row r="39" spans="1:3" x14ac:dyDescent="0.25">
      <c r="A39" s="205" t="s">
        <v>265</v>
      </c>
      <c r="B39" s="205" t="s">
        <v>289</v>
      </c>
      <c r="C39" s="205" t="s">
        <v>289</v>
      </c>
    </row>
    <row r="40" spans="1:3" x14ac:dyDescent="0.25">
      <c r="A40" s="205" t="s">
        <v>241</v>
      </c>
      <c r="B40" s="205" t="s">
        <v>293</v>
      </c>
      <c r="C40" s="205" t="s">
        <v>293</v>
      </c>
    </row>
    <row r="41" spans="1:3" x14ac:dyDescent="0.25">
      <c r="A41" s="205" t="s">
        <v>354</v>
      </c>
      <c r="B41" s="205" t="s">
        <v>289</v>
      </c>
      <c r="C41" s="205" t="s">
        <v>290</v>
      </c>
    </row>
    <row r="42" spans="1:3" x14ac:dyDescent="0.25">
      <c r="A42" s="205" t="s">
        <v>331</v>
      </c>
      <c r="B42" s="205" t="s">
        <v>289</v>
      </c>
      <c r="C42" s="205" t="s">
        <v>289</v>
      </c>
    </row>
    <row r="43" spans="1:3" x14ac:dyDescent="0.25">
      <c r="A43" s="205" t="s">
        <v>12</v>
      </c>
      <c r="B43" s="205" t="s">
        <v>289</v>
      </c>
      <c r="C43" s="205" t="s">
        <v>293</v>
      </c>
    </row>
    <row r="44" spans="1:3" x14ac:dyDescent="0.25">
      <c r="A44" s="205" t="s">
        <v>32</v>
      </c>
      <c r="B44" s="205" t="s">
        <v>289</v>
      </c>
      <c r="C44" s="205" t="s">
        <v>289</v>
      </c>
    </row>
    <row r="45" spans="1:3" x14ac:dyDescent="0.25">
      <c r="A45" s="205" t="s">
        <v>435</v>
      </c>
      <c r="B45" s="205" t="s">
        <v>477</v>
      </c>
      <c r="C45" s="205" t="s">
        <v>289</v>
      </c>
    </row>
    <row r="46" spans="1:3" x14ac:dyDescent="0.25">
      <c r="A46" s="205" t="s">
        <v>333</v>
      </c>
      <c r="B46" s="205" t="s">
        <v>290</v>
      </c>
      <c r="C46" s="205" t="s">
        <v>290</v>
      </c>
    </row>
    <row r="47" spans="1:3" x14ac:dyDescent="0.25">
      <c r="A47" s="205" t="s">
        <v>334</v>
      </c>
      <c r="B47" s="205" t="s">
        <v>478</v>
      </c>
      <c r="C47" s="205" t="s">
        <v>289</v>
      </c>
    </row>
    <row r="48" spans="1:3" x14ac:dyDescent="0.25">
      <c r="A48" s="205" t="s">
        <v>61</v>
      </c>
      <c r="B48" s="205" t="s">
        <v>289</v>
      </c>
      <c r="C48" s="205" t="s">
        <v>289</v>
      </c>
    </row>
    <row r="49" spans="1:3" x14ac:dyDescent="0.25">
      <c r="A49" s="205" t="s">
        <v>355</v>
      </c>
      <c r="B49" s="205" t="s">
        <v>289</v>
      </c>
      <c r="C49" s="205" t="s">
        <v>293</v>
      </c>
    </row>
    <row r="50" spans="1:3" x14ac:dyDescent="0.25">
      <c r="A50" s="205" t="s">
        <v>62</v>
      </c>
      <c r="B50" s="205" t="s">
        <v>290</v>
      </c>
      <c r="C50" s="205" t="s">
        <v>289</v>
      </c>
    </row>
    <row r="51" spans="1:3" x14ac:dyDescent="0.25">
      <c r="A51" s="205" t="s">
        <v>255</v>
      </c>
      <c r="B51" s="205" t="s">
        <v>289</v>
      </c>
      <c r="C51" s="205" t="s">
        <v>293</v>
      </c>
    </row>
    <row r="52" spans="1:3" x14ac:dyDescent="0.25">
      <c r="A52" s="205" t="s">
        <v>308</v>
      </c>
      <c r="B52" s="205" t="s">
        <v>290</v>
      </c>
      <c r="C52" s="205" t="s">
        <v>290</v>
      </c>
    </row>
    <row r="53" spans="1:3" x14ac:dyDescent="0.25">
      <c r="A53" s="205" t="s">
        <v>63</v>
      </c>
      <c r="B53" s="205" t="s">
        <v>290</v>
      </c>
      <c r="C53" s="205" t="s">
        <v>289</v>
      </c>
    </row>
    <row r="54" spans="1:3" x14ac:dyDescent="0.25">
      <c r="A54" s="205" t="s">
        <v>349</v>
      </c>
      <c r="B54" s="205" t="s">
        <v>293</v>
      </c>
      <c r="C54" s="205" t="s">
        <v>293</v>
      </c>
    </row>
    <row r="55" spans="1:3" x14ac:dyDescent="0.25">
      <c r="A55" s="205" t="s">
        <v>136</v>
      </c>
      <c r="B55" s="205" t="s">
        <v>293</v>
      </c>
      <c r="C55" s="205" t="s">
        <v>293</v>
      </c>
    </row>
    <row r="56" spans="1:3" x14ac:dyDescent="0.25">
      <c r="A56" s="205" t="s">
        <v>13</v>
      </c>
      <c r="B56" s="205" t="s">
        <v>289</v>
      </c>
      <c r="C56" s="205" t="s">
        <v>293</v>
      </c>
    </row>
    <row r="57" spans="1:3" x14ac:dyDescent="0.25">
      <c r="A57" s="205" t="s">
        <v>137</v>
      </c>
      <c r="B57" s="205" t="s">
        <v>293</v>
      </c>
      <c r="C57" s="205" t="s">
        <v>293</v>
      </c>
    </row>
    <row r="58" spans="1:3" x14ac:dyDescent="0.25">
      <c r="A58" s="205" t="s">
        <v>64</v>
      </c>
      <c r="B58" s="205" t="s">
        <v>290</v>
      </c>
      <c r="C58" s="205" t="s">
        <v>289</v>
      </c>
    </row>
    <row r="59" spans="1:3" x14ac:dyDescent="0.25">
      <c r="A59" s="205" t="s">
        <v>138</v>
      </c>
      <c r="B59" s="205" t="s">
        <v>289</v>
      </c>
      <c r="C59" s="205" t="s">
        <v>293</v>
      </c>
    </row>
    <row r="60" spans="1:3" x14ac:dyDescent="0.25">
      <c r="A60" s="205" t="s">
        <v>139</v>
      </c>
      <c r="B60" s="205" t="s">
        <v>290</v>
      </c>
      <c r="C60" s="205" t="s">
        <v>290</v>
      </c>
    </row>
    <row r="61" spans="1:3" x14ac:dyDescent="0.25">
      <c r="A61" s="205" t="s">
        <v>324</v>
      </c>
      <c r="B61" s="205" t="s">
        <v>289</v>
      </c>
      <c r="C61" s="205" t="s">
        <v>289</v>
      </c>
    </row>
    <row r="62" spans="1:3" x14ac:dyDescent="0.25">
      <c r="A62" s="205" t="s">
        <v>140</v>
      </c>
      <c r="B62" s="205" t="s">
        <v>293</v>
      </c>
      <c r="C62" s="205" t="s">
        <v>293</v>
      </c>
    </row>
    <row r="63" spans="1:3" x14ac:dyDescent="0.25">
      <c r="A63" s="205" t="s">
        <v>90</v>
      </c>
      <c r="B63" s="205" t="s">
        <v>289</v>
      </c>
      <c r="C63" s="205" t="s">
        <v>289</v>
      </c>
    </row>
    <row r="64" spans="1:3" x14ac:dyDescent="0.25">
      <c r="A64" s="205" t="s">
        <v>452</v>
      </c>
      <c r="B64" s="205" t="s">
        <v>289</v>
      </c>
      <c r="C64" s="205" t="s">
        <v>293</v>
      </c>
    </row>
    <row r="65" spans="1:3" x14ac:dyDescent="0.25">
      <c r="A65" s="205" t="s">
        <v>243</v>
      </c>
      <c r="B65" s="205" t="s">
        <v>290</v>
      </c>
      <c r="C65" s="205" t="s">
        <v>289</v>
      </c>
    </row>
    <row r="66" spans="1:3" x14ac:dyDescent="0.25">
      <c r="A66" s="205" t="s">
        <v>310</v>
      </c>
      <c r="B66" s="205" t="s">
        <v>289</v>
      </c>
      <c r="C66" s="205" t="s">
        <v>293</v>
      </c>
    </row>
    <row r="67" spans="1:3" x14ac:dyDescent="0.25">
      <c r="A67" s="205" t="s">
        <v>65</v>
      </c>
      <c r="B67" s="205" t="s">
        <v>290</v>
      </c>
      <c r="C67" s="205" t="s">
        <v>289</v>
      </c>
    </row>
    <row r="68" spans="1:3" x14ac:dyDescent="0.25">
      <c r="A68" s="205" t="s">
        <v>264</v>
      </c>
      <c r="B68" s="205" t="s">
        <v>289</v>
      </c>
      <c r="C68" s="205" t="s">
        <v>289</v>
      </c>
    </row>
    <row r="69" spans="1:3" x14ac:dyDescent="0.25">
      <c r="A69" s="205" t="s">
        <v>66</v>
      </c>
      <c r="B69" s="205" t="s">
        <v>289</v>
      </c>
      <c r="C69" s="205" t="s">
        <v>289</v>
      </c>
    </row>
    <row r="70" spans="1:3" x14ac:dyDescent="0.25">
      <c r="A70" s="205" t="s">
        <v>448</v>
      </c>
      <c r="B70" s="205" t="s">
        <v>289</v>
      </c>
      <c r="C70" s="205" t="s">
        <v>293</v>
      </c>
    </row>
    <row r="71" spans="1:3" x14ac:dyDescent="0.25">
      <c r="A71" s="205" t="s">
        <v>67</v>
      </c>
      <c r="B71" s="205" t="s">
        <v>290</v>
      </c>
      <c r="C71" s="205" t="s">
        <v>289</v>
      </c>
    </row>
    <row r="72" spans="1:3" x14ac:dyDescent="0.25">
      <c r="A72" s="205" t="s">
        <v>68</v>
      </c>
      <c r="B72" s="205" t="s">
        <v>290</v>
      </c>
      <c r="C72" s="205" t="s">
        <v>289</v>
      </c>
    </row>
    <row r="73" spans="1:3" x14ac:dyDescent="0.25">
      <c r="A73" s="205" t="s">
        <v>223</v>
      </c>
      <c r="B73" s="205" t="s">
        <v>290</v>
      </c>
      <c r="C73" s="205" t="s">
        <v>289</v>
      </c>
    </row>
    <row r="74" spans="1:3" x14ac:dyDescent="0.25">
      <c r="A74" s="213" t="s">
        <v>482</v>
      </c>
      <c r="B74" s="205" t="s">
        <v>289</v>
      </c>
      <c r="C74" s="205" t="s">
        <v>289</v>
      </c>
    </row>
    <row r="75" spans="1:3" x14ac:dyDescent="0.25">
      <c r="A75" s="205" t="s">
        <v>437</v>
      </c>
      <c r="B75" s="205" t="s">
        <v>289</v>
      </c>
      <c r="C75" s="205" t="s">
        <v>293</v>
      </c>
    </row>
    <row r="76" spans="1:3" ht="15" customHeight="1" x14ac:dyDescent="0.25">
      <c r="A76" s="205" t="s">
        <v>463</v>
      </c>
      <c r="B76" s="205" t="s">
        <v>289</v>
      </c>
      <c r="C76" s="205" t="s">
        <v>293</v>
      </c>
    </row>
    <row r="77" spans="1:3" x14ac:dyDescent="0.25">
      <c r="A77" s="205" t="s">
        <v>266</v>
      </c>
      <c r="B77" s="205" t="s">
        <v>290</v>
      </c>
      <c r="C77" s="205" t="s">
        <v>290</v>
      </c>
    </row>
    <row r="78" spans="1:3" x14ac:dyDescent="0.25">
      <c r="A78" s="205" t="s">
        <v>33</v>
      </c>
      <c r="B78" s="205" t="s">
        <v>289</v>
      </c>
      <c r="C78" s="205" t="s">
        <v>289</v>
      </c>
    </row>
    <row r="79" spans="1:3" x14ac:dyDescent="0.25">
      <c r="A79" s="205" t="s">
        <v>100</v>
      </c>
      <c r="B79" s="205" t="s">
        <v>289</v>
      </c>
      <c r="C79" s="205" t="s">
        <v>290</v>
      </c>
    </row>
    <row r="80" spans="1:3" x14ac:dyDescent="0.25">
      <c r="A80" s="205" t="s">
        <v>69</v>
      </c>
      <c r="B80" s="205" t="s">
        <v>290</v>
      </c>
      <c r="C80" s="205" t="s">
        <v>290</v>
      </c>
    </row>
    <row r="81" spans="1:3" x14ac:dyDescent="0.25">
      <c r="A81" s="205" t="s">
        <v>142</v>
      </c>
      <c r="B81" s="205" t="s">
        <v>289</v>
      </c>
      <c r="C81" s="205" t="s">
        <v>289</v>
      </c>
    </row>
    <row r="82" spans="1:3" x14ac:dyDescent="0.25">
      <c r="A82" s="205" t="s">
        <v>101</v>
      </c>
      <c r="B82" s="205" t="s">
        <v>290</v>
      </c>
      <c r="C82" s="205" t="s">
        <v>289</v>
      </c>
    </row>
    <row r="83" spans="1:3" x14ac:dyDescent="0.25">
      <c r="A83" s="205" t="s">
        <v>101</v>
      </c>
      <c r="B83" s="205" t="s">
        <v>290</v>
      </c>
      <c r="C83" s="205" t="s">
        <v>290</v>
      </c>
    </row>
    <row r="84" spans="1:3" x14ac:dyDescent="0.25">
      <c r="A84" s="205" t="s">
        <v>22</v>
      </c>
      <c r="B84" s="205" t="s">
        <v>289</v>
      </c>
      <c r="C84" s="205" t="s">
        <v>293</v>
      </c>
    </row>
    <row r="85" spans="1:3" x14ac:dyDescent="0.25">
      <c r="A85" s="205" t="s">
        <v>41</v>
      </c>
      <c r="B85" s="205" t="s">
        <v>289</v>
      </c>
      <c r="C85" s="205" t="s">
        <v>289</v>
      </c>
    </row>
    <row r="86" spans="1:3" x14ac:dyDescent="0.25">
      <c r="A86" s="205" t="s">
        <v>143</v>
      </c>
      <c r="B86" s="205" t="s">
        <v>290</v>
      </c>
      <c r="C86" s="205" t="s">
        <v>289</v>
      </c>
    </row>
    <row r="87" spans="1:3" x14ac:dyDescent="0.25">
      <c r="A87" s="205" t="s">
        <v>91</v>
      </c>
      <c r="B87" s="205" t="s">
        <v>289</v>
      </c>
      <c r="C87" s="205" t="s">
        <v>289</v>
      </c>
    </row>
    <row r="88" spans="1:3" x14ac:dyDescent="0.25">
      <c r="A88" s="205" t="s">
        <v>246</v>
      </c>
      <c r="B88" s="205" t="s">
        <v>290</v>
      </c>
      <c r="C88" s="205" t="s">
        <v>290</v>
      </c>
    </row>
    <row r="89" spans="1:3" x14ac:dyDescent="0.25">
      <c r="A89" s="205" t="s">
        <v>238</v>
      </c>
      <c r="B89" s="205" t="s">
        <v>289</v>
      </c>
      <c r="C89" s="205" t="s">
        <v>289</v>
      </c>
    </row>
    <row r="90" spans="1:3" x14ac:dyDescent="0.25">
      <c r="A90" s="205" t="s">
        <v>112</v>
      </c>
      <c r="B90" s="205" t="s">
        <v>293</v>
      </c>
      <c r="C90" s="205" t="s">
        <v>293</v>
      </c>
    </row>
    <row r="91" spans="1:3" x14ac:dyDescent="0.25">
      <c r="A91" s="205" t="s">
        <v>112</v>
      </c>
      <c r="B91" s="205" t="s">
        <v>290</v>
      </c>
      <c r="C91" s="205" t="s">
        <v>289</v>
      </c>
    </row>
    <row r="92" spans="1:3" x14ac:dyDescent="0.25">
      <c r="A92" s="212" t="s">
        <v>323</v>
      </c>
      <c r="B92" s="205" t="s">
        <v>293</v>
      </c>
      <c r="C92" s="205" t="s">
        <v>293</v>
      </c>
    </row>
    <row r="93" spans="1:3" x14ac:dyDescent="0.25">
      <c r="A93" s="205" t="s">
        <v>144</v>
      </c>
      <c r="B93" s="205" t="s">
        <v>290</v>
      </c>
      <c r="C93" s="205" t="s">
        <v>290</v>
      </c>
    </row>
    <row r="94" spans="1:3" x14ac:dyDescent="0.25">
      <c r="A94" s="205" t="s">
        <v>113</v>
      </c>
      <c r="B94" s="205" t="s">
        <v>290</v>
      </c>
      <c r="C94" s="205" t="s">
        <v>289</v>
      </c>
    </row>
    <row r="95" spans="1:3" x14ac:dyDescent="0.25">
      <c r="A95" s="205" t="s">
        <v>113</v>
      </c>
      <c r="B95" s="205" t="s">
        <v>290</v>
      </c>
      <c r="C95" s="205" t="s">
        <v>289</v>
      </c>
    </row>
    <row r="96" spans="1:3" x14ac:dyDescent="0.25">
      <c r="A96" s="205" t="s">
        <v>70</v>
      </c>
      <c r="B96" s="205" t="s">
        <v>289</v>
      </c>
      <c r="C96" s="205" t="s">
        <v>289</v>
      </c>
    </row>
    <row r="97" spans="1:3" x14ac:dyDescent="0.25">
      <c r="A97" s="205" t="s">
        <v>71</v>
      </c>
      <c r="B97" s="205" t="s">
        <v>289</v>
      </c>
      <c r="C97" s="205" t="s">
        <v>289</v>
      </c>
    </row>
    <row r="98" spans="1:3" x14ac:dyDescent="0.25">
      <c r="A98" s="205" t="s">
        <v>215</v>
      </c>
      <c r="B98" s="205" t="s">
        <v>289</v>
      </c>
      <c r="C98" s="205" t="s">
        <v>289</v>
      </c>
    </row>
    <row r="99" spans="1:3" x14ac:dyDescent="0.25">
      <c r="A99" s="212" t="s">
        <v>233</v>
      </c>
      <c r="B99" s="205" t="s">
        <v>289</v>
      </c>
      <c r="C99" s="205" t="s">
        <v>289</v>
      </c>
    </row>
    <row r="100" spans="1:3" x14ac:dyDescent="0.25">
      <c r="A100" s="205" t="s">
        <v>42</v>
      </c>
      <c r="B100" s="205" t="s">
        <v>290</v>
      </c>
      <c r="C100" s="205" t="s">
        <v>289</v>
      </c>
    </row>
    <row r="101" spans="1:3" x14ac:dyDescent="0.25">
      <c r="A101" s="205" t="s">
        <v>317</v>
      </c>
      <c r="B101" s="205" t="s">
        <v>289</v>
      </c>
      <c r="C101" s="205" t="s">
        <v>289</v>
      </c>
    </row>
    <row r="102" spans="1:3" x14ac:dyDescent="0.25">
      <c r="A102" s="212" t="s">
        <v>465</v>
      </c>
      <c r="B102" s="205" t="s">
        <v>293</v>
      </c>
      <c r="C102" s="205" t="s">
        <v>293</v>
      </c>
    </row>
    <row r="103" spans="1:3" x14ac:dyDescent="0.25">
      <c r="A103" s="205" t="s">
        <v>145</v>
      </c>
      <c r="B103" s="205" t="s">
        <v>293</v>
      </c>
      <c r="C103" s="205" t="s">
        <v>293</v>
      </c>
    </row>
    <row r="104" spans="1:3" x14ac:dyDescent="0.25">
      <c r="A104" s="212" t="s">
        <v>340</v>
      </c>
      <c r="B104" s="205" t="s">
        <v>293</v>
      </c>
      <c r="C104" s="205" t="s">
        <v>293</v>
      </c>
    </row>
    <row r="105" spans="1:3" x14ac:dyDescent="0.25">
      <c r="A105" s="205" t="s">
        <v>267</v>
      </c>
      <c r="B105" s="205" t="s">
        <v>290</v>
      </c>
      <c r="C105" s="205" t="s">
        <v>290</v>
      </c>
    </row>
    <row r="106" spans="1:3" x14ac:dyDescent="0.25">
      <c r="A106" s="205" t="s">
        <v>34</v>
      </c>
      <c r="B106" s="205" t="s">
        <v>289</v>
      </c>
      <c r="C106" s="205" t="s">
        <v>289</v>
      </c>
    </row>
    <row r="107" spans="1:3" x14ac:dyDescent="0.25">
      <c r="A107" s="205" t="s">
        <v>92</v>
      </c>
      <c r="B107" s="205" t="s">
        <v>290</v>
      </c>
      <c r="C107" s="205" t="s">
        <v>289</v>
      </c>
    </row>
    <row r="108" spans="1:3" x14ac:dyDescent="0.25">
      <c r="A108" s="205" t="s">
        <v>43</v>
      </c>
      <c r="B108" s="205" t="s">
        <v>289</v>
      </c>
      <c r="C108" s="205" t="s">
        <v>289</v>
      </c>
    </row>
    <row r="109" spans="1:3" x14ac:dyDescent="0.25">
      <c r="A109" s="212" t="s">
        <v>469</v>
      </c>
      <c r="B109" s="205" t="s">
        <v>289</v>
      </c>
      <c r="C109" s="205" t="s">
        <v>289</v>
      </c>
    </row>
    <row r="110" spans="1:3" x14ac:dyDescent="0.25">
      <c r="A110" s="205" t="s">
        <v>72</v>
      </c>
      <c r="B110" s="205" t="s">
        <v>290</v>
      </c>
      <c r="C110" s="205" t="s">
        <v>290</v>
      </c>
    </row>
    <row r="111" spans="1:3" x14ac:dyDescent="0.25">
      <c r="A111" s="205" t="s">
        <v>316</v>
      </c>
      <c r="B111" s="205" t="s">
        <v>290</v>
      </c>
      <c r="C111" s="205" t="s">
        <v>289</v>
      </c>
    </row>
    <row r="112" spans="1:3" x14ac:dyDescent="0.25">
      <c r="A112" s="205" t="s">
        <v>9</v>
      </c>
      <c r="B112" s="205" t="s">
        <v>289</v>
      </c>
      <c r="C112" s="205" t="s">
        <v>293</v>
      </c>
    </row>
    <row r="113" spans="1:3" x14ac:dyDescent="0.25">
      <c r="A113" s="212" t="s">
        <v>350</v>
      </c>
      <c r="B113" s="205" t="s">
        <v>289</v>
      </c>
      <c r="C113" s="205" t="s">
        <v>289</v>
      </c>
    </row>
    <row r="114" spans="1:3" x14ac:dyDescent="0.25">
      <c r="A114" s="205" t="s">
        <v>146</v>
      </c>
      <c r="B114" s="205" t="s">
        <v>289</v>
      </c>
      <c r="C114" s="205" t="s">
        <v>289</v>
      </c>
    </row>
    <row r="115" spans="1:3" x14ac:dyDescent="0.25">
      <c r="A115" s="212" t="s">
        <v>360</v>
      </c>
      <c r="B115" s="205" t="s">
        <v>293</v>
      </c>
      <c r="C115" s="205" t="s">
        <v>293</v>
      </c>
    </row>
    <row r="116" spans="1:3" x14ac:dyDescent="0.25">
      <c r="A116" s="205" t="s">
        <v>51</v>
      </c>
      <c r="B116" s="205" t="s">
        <v>290</v>
      </c>
      <c r="C116" s="205" t="s">
        <v>290</v>
      </c>
    </row>
    <row r="117" spans="1:3" x14ac:dyDescent="0.25">
      <c r="A117" s="212" t="s">
        <v>309</v>
      </c>
      <c r="B117" s="205" t="s">
        <v>289</v>
      </c>
      <c r="C117" s="205" t="s">
        <v>289</v>
      </c>
    </row>
    <row r="118" spans="1:3" x14ac:dyDescent="0.25">
      <c r="A118" s="205" t="s">
        <v>10</v>
      </c>
      <c r="B118" s="205" t="s">
        <v>289</v>
      </c>
      <c r="C118" s="205" t="s">
        <v>293</v>
      </c>
    </row>
    <row r="119" spans="1:3" x14ac:dyDescent="0.25">
      <c r="A119" s="205" t="s">
        <v>148</v>
      </c>
      <c r="B119" s="205" t="s">
        <v>293</v>
      </c>
      <c r="C119" s="205" t="s">
        <v>293</v>
      </c>
    </row>
    <row r="120" spans="1:3" x14ac:dyDescent="0.25">
      <c r="A120" s="205" t="s">
        <v>44</v>
      </c>
      <c r="B120" s="205" t="s">
        <v>289</v>
      </c>
      <c r="C120" s="205" t="s">
        <v>289</v>
      </c>
    </row>
    <row r="121" spans="1:3" x14ac:dyDescent="0.25">
      <c r="A121" s="205" t="s">
        <v>149</v>
      </c>
      <c r="B121" s="205" t="s">
        <v>289</v>
      </c>
      <c r="C121" s="205" t="s">
        <v>293</v>
      </c>
    </row>
    <row r="122" spans="1:3" x14ac:dyDescent="0.25">
      <c r="A122" s="205" t="s">
        <v>150</v>
      </c>
      <c r="B122" s="205" t="s">
        <v>293</v>
      </c>
      <c r="C122" s="205" t="s">
        <v>293</v>
      </c>
    </row>
    <row r="123" spans="1:3" x14ac:dyDescent="0.25">
      <c r="A123" s="212" t="s">
        <v>351</v>
      </c>
      <c r="B123" s="205" t="s">
        <v>293</v>
      </c>
      <c r="C123" s="205" t="s">
        <v>293</v>
      </c>
    </row>
    <row r="124" spans="1:3" x14ac:dyDescent="0.25">
      <c r="A124" s="205" t="s">
        <v>35</v>
      </c>
      <c r="B124" s="205" t="s">
        <v>289</v>
      </c>
      <c r="C124" s="205" t="s">
        <v>289</v>
      </c>
    </row>
    <row r="125" spans="1:3" x14ac:dyDescent="0.25">
      <c r="A125" s="205" t="s">
        <v>73</v>
      </c>
      <c r="B125" s="205" t="s">
        <v>289</v>
      </c>
      <c r="C125" s="205" t="s">
        <v>289</v>
      </c>
    </row>
    <row r="126" spans="1:3" x14ac:dyDescent="0.25">
      <c r="A126" s="205" t="s">
        <v>74</v>
      </c>
      <c r="B126" s="205" t="s">
        <v>289</v>
      </c>
      <c r="C126" s="205" t="s">
        <v>289</v>
      </c>
    </row>
    <row r="127" spans="1:3" x14ac:dyDescent="0.25">
      <c r="A127" s="205" t="s">
        <v>151</v>
      </c>
      <c r="B127" s="205" t="s">
        <v>289</v>
      </c>
      <c r="C127" s="205" t="s">
        <v>289</v>
      </c>
    </row>
    <row r="128" spans="1:3" x14ac:dyDescent="0.25">
      <c r="A128" s="205" t="s">
        <v>93</v>
      </c>
      <c r="B128" s="205" t="s">
        <v>290</v>
      </c>
      <c r="C128" s="205" t="s">
        <v>289</v>
      </c>
    </row>
    <row r="129" spans="1:3" x14ac:dyDescent="0.25">
      <c r="A129" s="205" t="s">
        <v>114</v>
      </c>
      <c r="B129" s="205" t="s">
        <v>290</v>
      </c>
      <c r="C129" s="205" t="s">
        <v>289</v>
      </c>
    </row>
    <row r="130" spans="1:3" x14ac:dyDescent="0.25">
      <c r="A130" s="205" t="s">
        <v>247</v>
      </c>
      <c r="B130" s="205" t="s">
        <v>293</v>
      </c>
      <c r="C130" s="205" t="s">
        <v>293</v>
      </c>
    </row>
    <row r="131" spans="1:3" x14ac:dyDescent="0.25">
      <c r="A131" s="205" t="s">
        <v>115</v>
      </c>
      <c r="B131" s="205" t="s">
        <v>290</v>
      </c>
      <c r="C131" s="205" t="s">
        <v>289</v>
      </c>
    </row>
    <row r="132" spans="1:3" x14ac:dyDescent="0.25">
      <c r="A132" s="205" t="s">
        <v>248</v>
      </c>
      <c r="B132" s="205" t="s">
        <v>289</v>
      </c>
      <c r="C132" s="205" t="s">
        <v>289</v>
      </c>
    </row>
    <row r="133" spans="1:3" x14ac:dyDescent="0.25">
      <c r="A133" s="212" t="s">
        <v>305</v>
      </c>
      <c r="B133" s="205" t="s">
        <v>293</v>
      </c>
      <c r="C133" s="205" t="s">
        <v>293</v>
      </c>
    </row>
    <row r="134" spans="1:3" x14ac:dyDescent="0.25">
      <c r="A134" s="212" t="s">
        <v>231</v>
      </c>
      <c r="B134" s="205" t="s">
        <v>293</v>
      </c>
      <c r="C134" s="205" t="s">
        <v>293</v>
      </c>
    </row>
    <row r="135" spans="1:3" x14ac:dyDescent="0.25">
      <c r="A135" s="205" t="s">
        <v>313</v>
      </c>
      <c r="B135" s="205" t="s">
        <v>289</v>
      </c>
      <c r="C135" s="205" t="s">
        <v>289</v>
      </c>
    </row>
    <row r="136" spans="1:3" x14ac:dyDescent="0.25">
      <c r="A136" s="205" t="s">
        <v>45</v>
      </c>
      <c r="B136" s="205" t="s">
        <v>289</v>
      </c>
      <c r="C136" s="205" t="s">
        <v>289</v>
      </c>
    </row>
    <row r="137" spans="1:3" x14ac:dyDescent="0.25">
      <c r="A137" s="212" t="s">
        <v>315</v>
      </c>
      <c r="B137" s="205" t="s">
        <v>289</v>
      </c>
      <c r="C137" s="205" t="s">
        <v>289</v>
      </c>
    </row>
    <row r="138" spans="1:3" x14ac:dyDescent="0.25">
      <c r="A138" s="205" t="s">
        <v>54</v>
      </c>
      <c r="B138" s="205" t="s">
        <v>289</v>
      </c>
      <c r="C138" s="205" t="s">
        <v>289</v>
      </c>
    </row>
    <row r="139" spans="1:3" x14ac:dyDescent="0.25">
      <c r="A139" s="205" t="s">
        <v>102</v>
      </c>
      <c r="B139" s="205" t="s">
        <v>290</v>
      </c>
      <c r="C139" s="205" t="s">
        <v>290</v>
      </c>
    </row>
    <row r="140" spans="1:3" x14ac:dyDescent="0.25">
      <c r="A140" s="205" t="s">
        <v>249</v>
      </c>
      <c r="B140" s="205" t="s">
        <v>290</v>
      </c>
      <c r="C140" s="205" t="s">
        <v>290</v>
      </c>
    </row>
    <row r="141" spans="1:3" x14ac:dyDescent="0.25">
      <c r="A141" s="212" t="s">
        <v>456</v>
      </c>
      <c r="B141" s="205" t="s">
        <v>293</v>
      </c>
      <c r="C141" s="205" t="s">
        <v>293</v>
      </c>
    </row>
    <row r="142" spans="1:3" x14ac:dyDescent="0.25">
      <c r="A142" s="205" t="s">
        <v>152</v>
      </c>
      <c r="B142" s="205" t="s">
        <v>293</v>
      </c>
      <c r="C142" s="205" t="s">
        <v>293</v>
      </c>
    </row>
    <row r="143" spans="1:3" x14ac:dyDescent="0.25">
      <c r="A143" s="212" t="s">
        <v>364</v>
      </c>
      <c r="B143" s="205" t="s">
        <v>293</v>
      </c>
      <c r="C143" s="205" t="s">
        <v>293</v>
      </c>
    </row>
    <row r="144" spans="1:3" x14ac:dyDescent="0.25">
      <c r="A144" s="205" t="s">
        <v>269</v>
      </c>
      <c r="B144" s="205" t="s">
        <v>293</v>
      </c>
      <c r="C144" s="205" t="s">
        <v>293</v>
      </c>
    </row>
    <row r="145" spans="1:3" x14ac:dyDescent="0.25">
      <c r="A145" s="205" t="s">
        <v>23</v>
      </c>
      <c r="B145" s="205" t="s">
        <v>289</v>
      </c>
      <c r="C145" s="205" t="s">
        <v>293</v>
      </c>
    </row>
    <row r="146" spans="1:3" x14ac:dyDescent="0.25">
      <c r="A146" s="212" t="s">
        <v>473</v>
      </c>
      <c r="B146" s="205" t="s">
        <v>293</v>
      </c>
      <c r="C146" s="205" t="s">
        <v>293</v>
      </c>
    </row>
    <row r="147" spans="1:3" x14ac:dyDescent="0.25">
      <c r="A147" s="212" t="s">
        <v>336</v>
      </c>
      <c r="B147" s="205" t="s">
        <v>289</v>
      </c>
      <c r="C147" s="205" t="s">
        <v>289</v>
      </c>
    </row>
    <row r="148" spans="1:3" x14ac:dyDescent="0.25">
      <c r="A148" s="213" t="s">
        <v>481</v>
      </c>
      <c r="B148" s="205" t="s">
        <v>289</v>
      </c>
      <c r="C148" s="205" t="s">
        <v>289</v>
      </c>
    </row>
    <row r="149" spans="1:3" x14ac:dyDescent="0.25">
      <c r="A149" s="212" t="s">
        <v>153</v>
      </c>
      <c r="B149" s="205" t="s">
        <v>293</v>
      </c>
      <c r="C149" s="205" t="s">
        <v>293</v>
      </c>
    </row>
    <row r="150" spans="1:3" x14ac:dyDescent="0.25">
      <c r="A150" s="205" t="s">
        <v>244</v>
      </c>
      <c r="B150" s="205" t="s">
        <v>289</v>
      </c>
      <c r="C150" s="205" t="s">
        <v>290</v>
      </c>
    </row>
    <row r="151" spans="1:3" x14ac:dyDescent="0.25">
      <c r="A151" s="205" t="s">
        <v>116</v>
      </c>
      <c r="B151" s="205" t="s">
        <v>290</v>
      </c>
      <c r="C151" s="205" t="s">
        <v>289</v>
      </c>
    </row>
    <row r="152" spans="1:3" x14ac:dyDescent="0.25">
      <c r="A152" s="212" t="s">
        <v>434</v>
      </c>
      <c r="B152" s="205" t="s">
        <v>293</v>
      </c>
      <c r="C152" s="205" t="s">
        <v>293</v>
      </c>
    </row>
    <row r="153" spans="1:3" x14ac:dyDescent="0.25">
      <c r="A153" s="205" t="s">
        <v>154</v>
      </c>
      <c r="B153" s="205" t="s">
        <v>289</v>
      </c>
      <c r="C153" s="205" t="s">
        <v>289</v>
      </c>
    </row>
    <row r="154" spans="1:3" x14ac:dyDescent="0.25">
      <c r="A154" s="212" t="s">
        <v>154</v>
      </c>
      <c r="B154" s="205" t="s">
        <v>289</v>
      </c>
      <c r="C154" s="205" t="s">
        <v>289</v>
      </c>
    </row>
    <row r="155" spans="1:3" x14ac:dyDescent="0.25">
      <c r="A155" s="205" t="s">
        <v>222</v>
      </c>
      <c r="B155" s="205" t="s">
        <v>293</v>
      </c>
      <c r="C155" s="205" t="s">
        <v>293</v>
      </c>
    </row>
    <row r="156" spans="1:3" x14ac:dyDescent="0.25">
      <c r="A156" s="212" t="s">
        <v>306</v>
      </c>
      <c r="B156" s="205" t="s">
        <v>289</v>
      </c>
      <c r="C156" s="205" t="s">
        <v>289</v>
      </c>
    </row>
    <row r="157" spans="1:3" x14ac:dyDescent="0.25">
      <c r="A157" s="205" t="s">
        <v>155</v>
      </c>
      <c r="B157" s="205" t="s">
        <v>293</v>
      </c>
      <c r="C157" s="205" t="s">
        <v>293</v>
      </c>
    </row>
    <row r="158" spans="1:3" x14ac:dyDescent="0.25">
      <c r="A158" s="205" t="s">
        <v>245</v>
      </c>
      <c r="B158" s="205" t="s">
        <v>293</v>
      </c>
      <c r="C158" s="205" t="s">
        <v>293</v>
      </c>
    </row>
    <row r="159" spans="1:3" x14ac:dyDescent="0.25">
      <c r="A159" s="205" t="s">
        <v>24</v>
      </c>
      <c r="B159" s="205" t="s">
        <v>289</v>
      </c>
      <c r="C159" s="205" t="s">
        <v>293</v>
      </c>
    </row>
    <row r="160" spans="1:3" x14ac:dyDescent="0.25">
      <c r="A160" s="205" t="s">
        <v>15</v>
      </c>
      <c r="B160" s="205" t="s">
        <v>289</v>
      </c>
      <c r="C160" s="205" t="s">
        <v>293</v>
      </c>
    </row>
    <row r="161" spans="1:3" x14ac:dyDescent="0.25">
      <c r="A161" s="205" t="s">
        <v>14</v>
      </c>
      <c r="B161" s="205" t="s">
        <v>289</v>
      </c>
      <c r="C161" s="205" t="s">
        <v>293</v>
      </c>
    </row>
    <row r="162" spans="1:3" x14ac:dyDescent="0.25">
      <c r="A162" s="205" t="s">
        <v>156</v>
      </c>
      <c r="B162" s="205" t="s">
        <v>293</v>
      </c>
      <c r="C162" s="205" t="s">
        <v>293</v>
      </c>
    </row>
    <row r="163" spans="1:3" x14ac:dyDescent="0.25">
      <c r="A163" s="205" t="s">
        <v>157</v>
      </c>
      <c r="B163" s="205" t="s">
        <v>289</v>
      </c>
      <c r="C163" s="205" t="s">
        <v>289</v>
      </c>
    </row>
    <row r="164" spans="1:3" x14ac:dyDescent="0.25">
      <c r="A164" s="212" t="s">
        <v>302</v>
      </c>
      <c r="B164" s="205" t="s">
        <v>293</v>
      </c>
      <c r="C164" s="205" t="s">
        <v>293</v>
      </c>
    </row>
    <row r="165" spans="1:3" x14ac:dyDescent="0.25">
      <c r="A165" s="205" t="s">
        <v>117</v>
      </c>
      <c r="B165" s="205" t="s">
        <v>289</v>
      </c>
      <c r="C165" s="205" t="s">
        <v>289</v>
      </c>
    </row>
    <row r="166" spans="1:3" x14ac:dyDescent="0.25">
      <c r="A166" s="205" t="s">
        <v>270</v>
      </c>
      <c r="B166" s="205" t="s">
        <v>293</v>
      </c>
      <c r="C166" s="205" t="s">
        <v>293</v>
      </c>
    </row>
    <row r="167" spans="1:3" x14ac:dyDescent="0.25">
      <c r="A167" s="205" t="s">
        <v>217</v>
      </c>
      <c r="B167" s="205" t="s">
        <v>293</v>
      </c>
      <c r="C167" s="205" t="s">
        <v>293</v>
      </c>
    </row>
    <row r="168" spans="1:3" x14ac:dyDescent="0.25">
      <c r="A168" s="205" t="s">
        <v>94</v>
      </c>
      <c r="B168" s="205" t="s">
        <v>289</v>
      </c>
      <c r="C168" s="205" t="s">
        <v>289</v>
      </c>
    </row>
    <row r="169" spans="1:3" x14ac:dyDescent="0.25">
      <c r="A169" s="212" t="s">
        <v>460</v>
      </c>
      <c r="B169" s="205" t="s">
        <v>289</v>
      </c>
      <c r="C169" s="205" t="s">
        <v>289</v>
      </c>
    </row>
    <row r="170" spans="1:3" x14ac:dyDescent="0.25">
      <c r="A170" s="205" t="s">
        <v>158</v>
      </c>
      <c r="B170" s="205" t="s">
        <v>293</v>
      </c>
      <c r="C170" s="205" t="s">
        <v>293</v>
      </c>
    </row>
    <row r="171" spans="1:3" x14ac:dyDescent="0.25">
      <c r="A171" s="205" t="s">
        <v>36</v>
      </c>
      <c r="B171" s="205" t="s">
        <v>289</v>
      </c>
      <c r="C171" s="205" t="s">
        <v>289</v>
      </c>
    </row>
    <row r="172" spans="1:3" x14ac:dyDescent="0.25">
      <c r="A172" s="205" t="s">
        <v>46</v>
      </c>
      <c r="B172" s="205" t="s">
        <v>289</v>
      </c>
      <c r="C172" s="205" t="s">
        <v>289</v>
      </c>
    </row>
    <row r="173" spans="1:3" x14ac:dyDescent="0.25">
      <c r="A173" s="212" t="s">
        <v>442</v>
      </c>
      <c r="B173" s="205" t="s">
        <v>293</v>
      </c>
      <c r="C173" s="205" t="s">
        <v>293</v>
      </c>
    </row>
    <row r="174" spans="1:3" x14ac:dyDescent="0.25">
      <c r="A174" s="205" t="s">
        <v>159</v>
      </c>
      <c r="B174" s="205" t="s">
        <v>289</v>
      </c>
      <c r="C174" s="205" t="s">
        <v>289</v>
      </c>
    </row>
    <row r="175" spans="1:3" x14ac:dyDescent="0.25">
      <c r="A175" s="212" t="s">
        <v>159</v>
      </c>
      <c r="B175" s="205" t="s">
        <v>289</v>
      </c>
      <c r="C175" s="205" t="s">
        <v>289</v>
      </c>
    </row>
    <row r="176" spans="1:3" x14ac:dyDescent="0.25">
      <c r="A176" s="205" t="s">
        <v>160</v>
      </c>
      <c r="B176" s="205" t="s">
        <v>289</v>
      </c>
      <c r="C176" s="205" t="s">
        <v>290</v>
      </c>
    </row>
    <row r="177" spans="1:3" x14ac:dyDescent="0.25">
      <c r="A177" s="205" t="s">
        <v>16</v>
      </c>
      <c r="B177" s="205" t="s">
        <v>289</v>
      </c>
      <c r="C177" s="205" t="s">
        <v>293</v>
      </c>
    </row>
    <row r="178" spans="1:3" x14ac:dyDescent="0.25">
      <c r="A178" s="212" t="s">
        <v>451</v>
      </c>
      <c r="B178" s="205" t="s">
        <v>293</v>
      </c>
      <c r="C178" s="205" t="s">
        <v>293</v>
      </c>
    </row>
    <row r="179" spans="1:3" x14ac:dyDescent="0.25">
      <c r="A179" s="212" t="s">
        <v>445</v>
      </c>
      <c r="B179" s="205" t="s">
        <v>293</v>
      </c>
      <c r="C179" s="205" t="s">
        <v>293</v>
      </c>
    </row>
    <row r="180" spans="1:3" x14ac:dyDescent="0.25">
      <c r="A180" s="212" t="s">
        <v>161</v>
      </c>
      <c r="B180" s="205" t="s">
        <v>293</v>
      </c>
      <c r="C180" s="205" t="s">
        <v>293</v>
      </c>
    </row>
    <row r="181" spans="1:3" x14ac:dyDescent="0.25">
      <c r="A181" s="205" t="s">
        <v>161</v>
      </c>
      <c r="B181" s="205" t="s">
        <v>293</v>
      </c>
      <c r="C181" s="205" t="s">
        <v>293</v>
      </c>
    </row>
    <row r="182" spans="1:3" x14ac:dyDescent="0.25">
      <c r="A182" s="205" t="s">
        <v>57</v>
      </c>
      <c r="B182" s="205" t="s">
        <v>289</v>
      </c>
      <c r="C182" s="205" t="s">
        <v>289</v>
      </c>
    </row>
    <row r="183" spans="1:3" x14ac:dyDescent="0.25">
      <c r="A183" s="205" t="s">
        <v>57</v>
      </c>
      <c r="B183" s="205" t="s">
        <v>289</v>
      </c>
      <c r="C183" s="205" t="s">
        <v>289</v>
      </c>
    </row>
    <row r="184" spans="1:3" x14ac:dyDescent="0.25">
      <c r="A184" s="212" t="s">
        <v>314</v>
      </c>
      <c r="B184" s="205" t="s">
        <v>293</v>
      </c>
      <c r="C184" s="205" t="s">
        <v>293</v>
      </c>
    </row>
    <row r="185" spans="1:3" x14ac:dyDescent="0.25">
      <c r="A185" s="205" t="s">
        <v>162</v>
      </c>
      <c r="B185" s="205" t="s">
        <v>293</v>
      </c>
      <c r="C185" s="205" t="s">
        <v>293</v>
      </c>
    </row>
    <row r="186" spans="1:3" x14ac:dyDescent="0.25">
      <c r="A186" s="205" t="s">
        <v>55</v>
      </c>
      <c r="B186" s="205" t="s">
        <v>289</v>
      </c>
      <c r="C186" s="205" t="s">
        <v>289</v>
      </c>
    </row>
    <row r="187" spans="1:3" x14ac:dyDescent="0.25">
      <c r="A187" s="212" t="s">
        <v>470</v>
      </c>
      <c r="B187" s="205" t="s">
        <v>289</v>
      </c>
      <c r="C187" s="205" t="s">
        <v>289</v>
      </c>
    </row>
    <row r="188" spans="1:3" x14ac:dyDescent="0.25">
      <c r="A188" s="205" t="s">
        <v>342</v>
      </c>
      <c r="B188" s="205" t="s">
        <v>293</v>
      </c>
      <c r="C188" s="205" t="s">
        <v>293</v>
      </c>
    </row>
    <row r="189" spans="1:3" x14ac:dyDescent="0.25">
      <c r="A189" s="205" t="s">
        <v>319</v>
      </c>
      <c r="B189" s="205" t="s">
        <v>289</v>
      </c>
      <c r="C189" s="205" t="s">
        <v>289</v>
      </c>
    </row>
    <row r="190" spans="1:3" x14ac:dyDescent="0.25">
      <c r="A190" s="205" t="s">
        <v>346</v>
      </c>
      <c r="B190" s="205" t="s">
        <v>289</v>
      </c>
      <c r="C190" s="205" t="s">
        <v>289</v>
      </c>
    </row>
    <row r="191" spans="1:3" x14ac:dyDescent="0.25">
      <c r="A191" s="212" t="s">
        <v>325</v>
      </c>
      <c r="B191" s="205" t="s">
        <v>293</v>
      </c>
      <c r="C191" s="205" t="s">
        <v>293</v>
      </c>
    </row>
    <row r="192" spans="1:3" x14ac:dyDescent="0.25">
      <c r="A192" s="205" t="s">
        <v>163</v>
      </c>
      <c r="B192" s="205" t="s">
        <v>293</v>
      </c>
      <c r="C192" s="205" t="s">
        <v>293</v>
      </c>
    </row>
    <row r="193" spans="1:3" x14ac:dyDescent="0.25">
      <c r="A193" s="205" t="s">
        <v>337</v>
      </c>
      <c r="B193" s="205" t="s">
        <v>289</v>
      </c>
      <c r="C193" s="205" t="s">
        <v>289</v>
      </c>
    </row>
    <row r="194" spans="1:3" x14ac:dyDescent="0.25">
      <c r="A194" s="205" t="s">
        <v>25</v>
      </c>
      <c r="B194" s="205" t="s">
        <v>289</v>
      </c>
      <c r="C194" s="205" t="s">
        <v>293</v>
      </c>
    </row>
    <row r="195" spans="1:3" x14ac:dyDescent="0.25">
      <c r="A195" s="212" t="s">
        <v>327</v>
      </c>
      <c r="B195" s="205" t="s">
        <v>293</v>
      </c>
      <c r="C195" s="205" t="s">
        <v>293</v>
      </c>
    </row>
    <row r="196" spans="1:3" x14ac:dyDescent="0.25">
      <c r="A196" s="205" t="s">
        <v>164</v>
      </c>
      <c r="B196" s="205" t="s">
        <v>290</v>
      </c>
      <c r="C196" s="205" t="s">
        <v>289</v>
      </c>
    </row>
    <row r="197" spans="1:3" x14ac:dyDescent="0.25">
      <c r="A197" s="205" t="s">
        <v>75</v>
      </c>
      <c r="B197" s="205" t="s">
        <v>289</v>
      </c>
      <c r="C197" s="205" t="s">
        <v>289</v>
      </c>
    </row>
    <row r="198" spans="1:3" x14ac:dyDescent="0.25">
      <c r="A198" s="205" t="s">
        <v>212</v>
      </c>
      <c r="B198" s="205" t="s">
        <v>290</v>
      </c>
      <c r="C198" s="205" t="s">
        <v>289</v>
      </c>
    </row>
    <row r="199" spans="1:3" x14ac:dyDescent="0.25">
      <c r="A199" s="205" t="s">
        <v>52</v>
      </c>
      <c r="B199" s="205" t="s">
        <v>290</v>
      </c>
      <c r="C199" s="205" t="s">
        <v>290</v>
      </c>
    </row>
    <row r="200" spans="1:3" x14ac:dyDescent="0.25">
      <c r="A200" s="205" t="s">
        <v>53</v>
      </c>
      <c r="B200" s="205" t="s">
        <v>289</v>
      </c>
      <c r="C200" s="205" t="s">
        <v>290</v>
      </c>
    </row>
    <row r="201" spans="1:3" x14ac:dyDescent="0.25">
      <c r="A201" s="212" t="s">
        <v>165</v>
      </c>
      <c r="B201" s="205" t="s">
        <v>290</v>
      </c>
      <c r="C201" s="205" t="s">
        <v>289</v>
      </c>
    </row>
    <row r="202" spans="1:3" x14ac:dyDescent="0.25">
      <c r="A202" s="205" t="s">
        <v>76</v>
      </c>
      <c r="B202" s="205" t="s">
        <v>290</v>
      </c>
      <c r="C202" s="205" t="s">
        <v>289</v>
      </c>
    </row>
    <row r="203" spans="1:3" x14ac:dyDescent="0.25">
      <c r="A203" s="212" t="s">
        <v>268</v>
      </c>
      <c r="B203" s="205" t="s">
        <v>289</v>
      </c>
      <c r="C203" s="205" t="s">
        <v>289</v>
      </c>
    </row>
    <row r="204" spans="1:3" x14ac:dyDescent="0.25">
      <c r="A204" s="205" t="s">
        <v>166</v>
      </c>
      <c r="B204" s="205" t="s">
        <v>293</v>
      </c>
      <c r="C204" s="205" t="s">
        <v>293</v>
      </c>
    </row>
    <row r="205" spans="1:3" x14ac:dyDescent="0.25">
      <c r="A205" s="205" t="s">
        <v>167</v>
      </c>
      <c r="B205" s="205" t="s">
        <v>289</v>
      </c>
      <c r="C205" s="205" t="s">
        <v>293</v>
      </c>
    </row>
    <row r="206" spans="1:3" x14ac:dyDescent="0.25">
      <c r="A206" s="205" t="s">
        <v>103</v>
      </c>
      <c r="B206" s="205" t="s">
        <v>289</v>
      </c>
      <c r="C206" s="205" t="s">
        <v>290</v>
      </c>
    </row>
    <row r="207" spans="1:3" x14ac:dyDescent="0.25">
      <c r="A207" s="212" t="s">
        <v>321</v>
      </c>
      <c r="B207" s="205" t="s">
        <v>289</v>
      </c>
      <c r="C207" s="205" t="s">
        <v>289</v>
      </c>
    </row>
    <row r="208" spans="1:3" x14ac:dyDescent="0.25">
      <c r="A208" s="205" t="s">
        <v>168</v>
      </c>
      <c r="B208" s="205" t="s">
        <v>290</v>
      </c>
      <c r="C208" s="205" t="s">
        <v>289</v>
      </c>
    </row>
    <row r="209" spans="1:3" x14ac:dyDescent="0.25">
      <c r="A209" s="205" t="s">
        <v>272</v>
      </c>
      <c r="B209" s="205" t="s">
        <v>289</v>
      </c>
      <c r="C209" s="205" t="s">
        <v>289</v>
      </c>
    </row>
    <row r="210" spans="1:3" x14ac:dyDescent="0.25">
      <c r="A210" s="205" t="s">
        <v>77</v>
      </c>
      <c r="B210" s="205" t="s">
        <v>289</v>
      </c>
      <c r="C210" s="205" t="s">
        <v>289</v>
      </c>
    </row>
    <row r="211" spans="1:3" x14ac:dyDescent="0.25">
      <c r="A211" s="212" t="s">
        <v>77</v>
      </c>
      <c r="B211" s="205" t="s">
        <v>289</v>
      </c>
      <c r="C211" s="205" t="s">
        <v>289</v>
      </c>
    </row>
    <row r="212" spans="1:3" x14ac:dyDescent="0.25">
      <c r="A212" s="205" t="s">
        <v>169</v>
      </c>
      <c r="B212" s="205" t="s">
        <v>289</v>
      </c>
      <c r="C212" s="205" t="s">
        <v>289</v>
      </c>
    </row>
    <row r="213" spans="1:3" x14ac:dyDescent="0.25">
      <c r="A213" s="205" t="s">
        <v>218</v>
      </c>
      <c r="B213" s="205" t="s">
        <v>289</v>
      </c>
      <c r="C213" s="205" t="s">
        <v>289</v>
      </c>
    </row>
    <row r="214" spans="1:3" x14ac:dyDescent="0.25">
      <c r="A214" s="212" t="s">
        <v>368</v>
      </c>
      <c r="B214" s="205" t="s">
        <v>293</v>
      </c>
      <c r="C214" s="205" t="s">
        <v>293</v>
      </c>
    </row>
    <row r="215" spans="1:3" x14ac:dyDescent="0.25">
      <c r="A215" s="212" t="s">
        <v>170</v>
      </c>
      <c r="B215" s="205" t="s">
        <v>293</v>
      </c>
      <c r="C215" s="205" t="s">
        <v>293</v>
      </c>
    </row>
    <row r="216" spans="1:3" x14ac:dyDescent="0.25">
      <c r="A216" s="205" t="s">
        <v>370</v>
      </c>
      <c r="B216" s="205" t="s">
        <v>290</v>
      </c>
      <c r="C216" s="205" t="s">
        <v>289</v>
      </c>
    </row>
    <row r="217" spans="1:3" x14ac:dyDescent="0.25">
      <c r="A217" s="205" t="s">
        <v>172</v>
      </c>
      <c r="B217" s="205" t="s">
        <v>289</v>
      </c>
      <c r="C217" s="205" t="s">
        <v>293</v>
      </c>
    </row>
    <row r="218" spans="1:3" x14ac:dyDescent="0.25">
      <c r="A218" s="205" t="s">
        <v>95</v>
      </c>
      <c r="B218" s="205" t="s">
        <v>290</v>
      </c>
      <c r="C218" s="205" t="s">
        <v>290</v>
      </c>
    </row>
    <row r="219" spans="1:3" x14ac:dyDescent="0.25">
      <c r="A219" s="205" t="s">
        <v>47</v>
      </c>
      <c r="B219" s="205" t="s">
        <v>290</v>
      </c>
      <c r="C219" s="205" t="s">
        <v>289</v>
      </c>
    </row>
    <row r="220" spans="1:3" x14ac:dyDescent="0.25">
      <c r="A220" s="205" t="s">
        <v>271</v>
      </c>
      <c r="B220" s="205" t="s">
        <v>293</v>
      </c>
      <c r="C220" s="205" t="s">
        <v>293</v>
      </c>
    </row>
    <row r="221" spans="1:3" x14ac:dyDescent="0.25">
      <c r="A221" s="205" t="s">
        <v>78</v>
      </c>
      <c r="B221" s="205" t="s">
        <v>290</v>
      </c>
      <c r="C221" s="205" t="s">
        <v>289</v>
      </c>
    </row>
    <row r="222" spans="1:3" x14ac:dyDescent="0.25">
      <c r="A222" s="205" t="s">
        <v>273</v>
      </c>
      <c r="B222" s="205" t="s">
        <v>289</v>
      </c>
      <c r="C222" s="205" t="s">
        <v>289</v>
      </c>
    </row>
    <row r="223" spans="1:3" x14ac:dyDescent="0.25">
      <c r="A223" s="205" t="s">
        <v>234</v>
      </c>
      <c r="B223" s="205" t="s">
        <v>289</v>
      </c>
      <c r="C223" s="205" t="s">
        <v>289</v>
      </c>
    </row>
    <row r="224" spans="1:3" x14ac:dyDescent="0.25">
      <c r="A224" s="205" t="s">
        <v>30</v>
      </c>
      <c r="B224" s="205" t="s">
        <v>289</v>
      </c>
      <c r="C224" s="205" t="s">
        <v>289</v>
      </c>
    </row>
    <row r="225" spans="1:3" x14ac:dyDescent="0.25">
      <c r="A225" s="212" t="s">
        <v>454</v>
      </c>
      <c r="B225" s="205" t="s">
        <v>293</v>
      </c>
      <c r="C225" s="205" t="s">
        <v>293</v>
      </c>
    </row>
    <row r="226" spans="1:3" x14ac:dyDescent="0.25">
      <c r="A226" s="212" t="s">
        <v>464</v>
      </c>
      <c r="B226" s="205" t="s">
        <v>293</v>
      </c>
      <c r="C226" s="205" t="s">
        <v>293</v>
      </c>
    </row>
    <row r="227" spans="1:3" x14ac:dyDescent="0.25">
      <c r="A227" s="205" t="s">
        <v>411</v>
      </c>
      <c r="B227" s="205" t="s">
        <v>293</v>
      </c>
      <c r="C227" s="205" t="s">
        <v>293</v>
      </c>
    </row>
    <row r="228" spans="1:3" x14ac:dyDescent="0.25">
      <c r="A228" s="205" t="s">
        <v>79</v>
      </c>
      <c r="B228" s="205" t="s">
        <v>289</v>
      </c>
      <c r="C228" s="205" t="s">
        <v>289</v>
      </c>
    </row>
    <row r="229" spans="1:3" x14ac:dyDescent="0.25">
      <c r="A229" s="205" t="s">
        <v>175</v>
      </c>
      <c r="B229" s="205" t="s">
        <v>293</v>
      </c>
      <c r="C229" s="205" t="s">
        <v>293</v>
      </c>
    </row>
    <row r="230" spans="1:3" x14ac:dyDescent="0.25">
      <c r="A230" s="205" t="s">
        <v>176</v>
      </c>
      <c r="B230" s="205" t="s">
        <v>289</v>
      </c>
      <c r="C230" s="205" t="s">
        <v>290</v>
      </c>
    </row>
    <row r="231" spans="1:3" x14ac:dyDescent="0.25">
      <c r="A231" s="205" t="s">
        <v>177</v>
      </c>
      <c r="B231" s="205" t="s">
        <v>293</v>
      </c>
      <c r="C231" s="205" t="s">
        <v>293</v>
      </c>
    </row>
    <row r="232" spans="1:3" x14ac:dyDescent="0.25">
      <c r="A232" s="205" t="s">
        <v>118</v>
      </c>
      <c r="B232" s="205" t="s">
        <v>290</v>
      </c>
      <c r="C232" s="205" t="s">
        <v>289</v>
      </c>
    </row>
    <row r="233" spans="1:3" x14ac:dyDescent="0.25">
      <c r="A233" s="212" t="s">
        <v>330</v>
      </c>
      <c r="B233" s="205" t="s">
        <v>293</v>
      </c>
      <c r="C233" s="205" t="s">
        <v>293</v>
      </c>
    </row>
    <row r="234" spans="1:3" x14ac:dyDescent="0.25">
      <c r="A234" s="205" t="s">
        <v>254</v>
      </c>
      <c r="B234" s="205" t="s">
        <v>293</v>
      </c>
      <c r="C234" s="205" t="s">
        <v>293</v>
      </c>
    </row>
    <row r="235" spans="1:3" x14ac:dyDescent="0.25">
      <c r="A235" s="205" t="s">
        <v>17</v>
      </c>
      <c r="B235" s="205" t="s">
        <v>289</v>
      </c>
      <c r="C235" s="205" t="s">
        <v>293</v>
      </c>
    </row>
    <row r="236" spans="1:3" x14ac:dyDescent="0.25">
      <c r="A236" s="205" t="s">
        <v>352</v>
      </c>
      <c r="B236" s="205" t="s">
        <v>293</v>
      </c>
      <c r="C236" s="205" t="s">
        <v>293</v>
      </c>
    </row>
    <row r="237" spans="1:3" x14ac:dyDescent="0.25">
      <c r="A237" s="205" t="s">
        <v>178</v>
      </c>
      <c r="B237" s="205" t="s">
        <v>289</v>
      </c>
      <c r="C237" s="205" t="s">
        <v>289</v>
      </c>
    </row>
    <row r="238" spans="1:3" x14ac:dyDescent="0.25">
      <c r="A238" s="212" t="s">
        <v>178</v>
      </c>
      <c r="B238" s="205" t="s">
        <v>289</v>
      </c>
      <c r="C238" s="205" t="s">
        <v>289</v>
      </c>
    </row>
    <row r="239" spans="1:3" x14ac:dyDescent="0.25">
      <c r="A239" s="205" t="s">
        <v>179</v>
      </c>
      <c r="B239" s="205" t="s">
        <v>293</v>
      </c>
      <c r="C239" s="205" t="s">
        <v>293</v>
      </c>
    </row>
    <row r="240" spans="1:3" x14ac:dyDescent="0.25">
      <c r="A240" s="205" t="s">
        <v>96</v>
      </c>
      <c r="B240" s="205" t="s">
        <v>289</v>
      </c>
      <c r="C240" s="205" t="s">
        <v>289</v>
      </c>
    </row>
    <row r="241" spans="1:3" x14ac:dyDescent="0.25">
      <c r="A241" s="205" t="s">
        <v>274</v>
      </c>
      <c r="B241" s="205" t="s">
        <v>290</v>
      </c>
      <c r="C241" s="205" t="s">
        <v>289</v>
      </c>
    </row>
    <row r="242" spans="1:3" x14ac:dyDescent="0.25">
      <c r="A242" s="205" t="s">
        <v>104</v>
      </c>
      <c r="B242" s="205" t="s">
        <v>289</v>
      </c>
      <c r="C242" s="205" t="s">
        <v>289</v>
      </c>
    </row>
    <row r="243" spans="1:3" x14ac:dyDescent="0.25">
      <c r="A243" s="205" t="s">
        <v>26</v>
      </c>
      <c r="B243" s="205" t="s">
        <v>289</v>
      </c>
      <c r="C243" s="205" t="s">
        <v>293</v>
      </c>
    </row>
    <row r="244" spans="1:3" x14ac:dyDescent="0.25">
      <c r="A244" s="205" t="s">
        <v>275</v>
      </c>
      <c r="B244" s="205" t="s">
        <v>293</v>
      </c>
      <c r="C244" s="205" t="s">
        <v>293</v>
      </c>
    </row>
    <row r="245" spans="1:3" x14ac:dyDescent="0.25">
      <c r="A245" s="205" t="s">
        <v>27</v>
      </c>
      <c r="B245" s="205" t="s">
        <v>289</v>
      </c>
      <c r="C245" s="205" t="s">
        <v>293</v>
      </c>
    </row>
    <row r="246" spans="1:3" x14ac:dyDescent="0.25">
      <c r="A246" s="205" t="s">
        <v>279</v>
      </c>
      <c r="B246" s="205" t="s">
        <v>289</v>
      </c>
      <c r="C246" s="205" t="s">
        <v>289</v>
      </c>
    </row>
    <row r="247" spans="1:3" x14ac:dyDescent="0.25">
      <c r="A247" s="205" t="s">
        <v>105</v>
      </c>
      <c r="B247" s="205" t="s">
        <v>289</v>
      </c>
      <c r="C247" s="205" t="s">
        <v>289</v>
      </c>
    </row>
    <row r="248" spans="1:3" x14ac:dyDescent="0.25">
      <c r="A248" s="205" t="s">
        <v>180</v>
      </c>
      <c r="B248" s="205" t="s">
        <v>289</v>
      </c>
      <c r="C248" s="205" t="s">
        <v>293</v>
      </c>
    </row>
    <row r="249" spans="1:3" x14ac:dyDescent="0.25">
      <c r="A249" s="205" t="s">
        <v>258</v>
      </c>
      <c r="B249" s="205" t="s">
        <v>293</v>
      </c>
      <c r="C249" s="205" t="s">
        <v>293</v>
      </c>
    </row>
    <row r="250" spans="1:3" x14ac:dyDescent="0.25">
      <c r="A250" s="205" t="s">
        <v>80</v>
      </c>
      <c r="B250" s="205" t="s">
        <v>289</v>
      </c>
      <c r="C250" s="205" t="s">
        <v>289</v>
      </c>
    </row>
    <row r="251" spans="1:3" x14ac:dyDescent="0.25">
      <c r="A251" s="212" t="s">
        <v>235</v>
      </c>
      <c r="B251" s="205" t="s">
        <v>293</v>
      </c>
      <c r="C251" s="205" t="s">
        <v>293</v>
      </c>
    </row>
    <row r="252" spans="1:3" x14ac:dyDescent="0.25">
      <c r="A252" s="212" t="s">
        <v>181</v>
      </c>
      <c r="B252" s="205" t="s">
        <v>293</v>
      </c>
      <c r="C252" s="205" t="s">
        <v>293</v>
      </c>
    </row>
    <row r="253" spans="1:3" x14ac:dyDescent="0.25">
      <c r="A253" s="205" t="s">
        <v>18</v>
      </c>
      <c r="B253" s="205" t="s">
        <v>289</v>
      </c>
      <c r="C253" s="205" t="s">
        <v>293</v>
      </c>
    </row>
    <row r="254" spans="1:3" x14ac:dyDescent="0.25">
      <c r="A254" s="205" t="s">
        <v>182</v>
      </c>
      <c r="B254" s="205" t="s">
        <v>289</v>
      </c>
      <c r="C254" s="205" t="s">
        <v>289</v>
      </c>
    </row>
    <row r="255" spans="1:3" x14ac:dyDescent="0.25">
      <c r="A255" s="205" t="s">
        <v>304</v>
      </c>
      <c r="B255" s="205" t="s">
        <v>289</v>
      </c>
      <c r="C255" s="205" t="s">
        <v>289</v>
      </c>
    </row>
    <row r="256" spans="1:3" x14ac:dyDescent="0.25">
      <c r="A256" s="205" t="s">
        <v>183</v>
      </c>
      <c r="B256" s="205" t="s">
        <v>293</v>
      </c>
      <c r="C256" s="205" t="s">
        <v>293</v>
      </c>
    </row>
    <row r="257" spans="1:3" x14ac:dyDescent="0.25">
      <c r="A257" s="205" t="s">
        <v>311</v>
      </c>
      <c r="B257" s="205" t="s">
        <v>289</v>
      </c>
      <c r="C257" s="205" t="s">
        <v>289</v>
      </c>
    </row>
    <row r="258" spans="1:3" x14ac:dyDescent="0.25">
      <c r="A258" s="212" t="s">
        <v>184</v>
      </c>
      <c r="B258" s="205" t="s">
        <v>293</v>
      </c>
      <c r="C258" s="205" t="s">
        <v>293</v>
      </c>
    </row>
    <row r="259" spans="1:3" x14ac:dyDescent="0.25">
      <c r="A259" s="205" t="s">
        <v>81</v>
      </c>
      <c r="B259" s="205" t="s">
        <v>289</v>
      </c>
      <c r="C259" s="205" t="s">
        <v>289</v>
      </c>
    </row>
    <row r="260" spans="1:3" x14ac:dyDescent="0.25">
      <c r="A260" s="212" t="s">
        <v>307</v>
      </c>
      <c r="B260" s="205" t="s">
        <v>293</v>
      </c>
      <c r="C260" s="205" t="s">
        <v>293</v>
      </c>
    </row>
    <row r="261" spans="1:3" x14ac:dyDescent="0.25">
      <c r="A261" s="205" t="s">
        <v>259</v>
      </c>
      <c r="B261" s="205" t="s">
        <v>293</v>
      </c>
      <c r="C261" s="205" t="s">
        <v>293</v>
      </c>
    </row>
    <row r="262" spans="1:3" x14ac:dyDescent="0.25">
      <c r="A262" s="205" t="s">
        <v>185</v>
      </c>
      <c r="B262" s="205" t="s">
        <v>293</v>
      </c>
      <c r="C262" s="205" t="s">
        <v>293</v>
      </c>
    </row>
    <row r="263" spans="1:3" x14ac:dyDescent="0.25">
      <c r="A263" s="213" t="s">
        <v>480</v>
      </c>
      <c r="B263" s="205" t="s">
        <v>289</v>
      </c>
      <c r="C263" s="205" t="s">
        <v>289</v>
      </c>
    </row>
    <row r="264" spans="1:3" x14ac:dyDescent="0.25">
      <c r="A264" s="212" t="s">
        <v>318</v>
      </c>
      <c r="B264" s="205" t="s">
        <v>293</v>
      </c>
      <c r="C264" s="205" t="s">
        <v>293</v>
      </c>
    </row>
    <row r="265" spans="1:3" x14ac:dyDescent="0.25">
      <c r="A265" s="212" t="s">
        <v>301</v>
      </c>
      <c r="B265" s="205" t="s">
        <v>289</v>
      </c>
      <c r="C265" s="205" t="s">
        <v>289</v>
      </c>
    </row>
    <row r="266" spans="1:3" x14ac:dyDescent="0.25">
      <c r="A266" s="205" t="s">
        <v>28</v>
      </c>
      <c r="B266" s="205" t="s">
        <v>289</v>
      </c>
      <c r="C266" s="205" t="s">
        <v>293</v>
      </c>
    </row>
    <row r="267" spans="1:3" x14ac:dyDescent="0.25">
      <c r="A267" s="205" t="s">
        <v>281</v>
      </c>
      <c r="B267" s="205" t="s">
        <v>290</v>
      </c>
      <c r="C267" s="205" t="s">
        <v>290</v>
      </c>
    </row>
    <row r="268" spans="1:3" x14ac:dyDescent="0.25">
      <c r="A268" s="212" t="s">
        <v>186</v>
      </c>
      <c r="B268" s="205" t="s">
        <v>289</v>
      </c>
      <c r="C268" s="205" t="s">
        <v>289</v>
      </c>
    </row>
    <row r="269" spans="1:3" x14ac:dyDescent="0.25">
      <c r="A269" s="205" t="s">
        <v>344</v>
      </c>
      <c r="B269" s="205" t="s">
        <v>290</v>
      </c>
      <c r="C269" s="205" t="s">
        <v>293</v>
      </c>
    </row>
    <row r="270" spans="1:3" x14ac:dyDescent="0.25">
      <c r="A270" s="205" t="s">
        <v>119</v>
      </c>
      <c r="B270" s="205" t="s">
        <v>290</v>
      </c>
      <c r="C270" s="205" t="s">
        <v>289</v>
      </c>
    </row>
    <row r="271" spans="1:3" x14ac:dyDescent="0.25">
      <c r="A271" s="205" t="s">
        <v>37</v>
      </c>
      <c r="B271" s="205" t="s">
        <v>289</v>
      </c>
      <c r="C271" s="205" t="s">
        <v>289</v>
      </c>
    </row>
    <row r="272" spans="1:3" x14ac:dyDescent="0.25">
      <c r="A272" s="212" t="s">
        <v>343</v>
      </c>
      <c r="B272" s="205" t="s">
        <v>289</v>
      </c>
      <c r="C272" s="205" t="s">
        <v>289</v>
      </c>
    </row>
    <row r="273" spans="1:3" x14ac:dyDescent="0.25">
      <c r="A273" s="205" t="s">
        <v>260</v>
      </c>
      <c r="B273" s="205" t="s">
        <v>289</v>
      </c>
      <c r="C273" s="205" t="s">
        <v>289</v>
      </c>
    </row>
    <row r="274" spans="1:3" x14ac:dyDescent="0.25">
      <c r="A274" s="205" t="s">
        <v>224</v>
      </c>
      <c r="B274" s="205" t="s">
        <v>290</v>
      </c>
      <c r="C274" s="205" t="s">
        <v>289</v>
      </c>
    </row>
    <row r="275" spans="1:3" x14ac:dyDescent="0.25">
      <c r="A275" s="205" t="s">
        <v>213</v>
      </c>
      <c r="B275" s="205" t="s">
        <v>289</v>
      </c>
      <c r="C275" s="205" t="s">
        <v>289</v>
      </c>
    </row>
    <row r="276" spans="1:3" x14ac:dyDescent="0.25">
      <c r="A276" s="205" t="s">
        <v>120</v>
      </c>
      <c r="B276" s="205" t="s">
        <v>290</v>
      </c>
      <c r="C276" s="205" t="s">
        <v>289</v>
      </c>
    </row>
    <row r="277" spans="1:3" x14ac:dyDescent="0.25">
      <c r="A277" s="205" t="s">
        <v>373</v>
      </c>
      <c r="B277" s="205" t="s">
        <v>290</v>
      </c>
      <c r="C277" s="205" t="s">
        <v>293</v>
      </c>
    </row>
    <row r="278" spans="1:3" x14ac:dyDescent="0.25">
      <c r="A278" s="212" t="s">
        <v>438</v>
      </c>
      <c r="B278" s="205" t="s">
        <v>293</v>
      </c>
      <c r="C278" s="205" t="s">
        <v>293</v>
      </c>
    </row>
    <row r="279" spans="1:3" x14ac:dyDescent="0.25">
      <c r="A279" s="212" t="s">
        <v>436</v>
      </c>
      <c r="B279" s="205" t="s">
        <v>293</v>
      </c>
      <c r="C279" s="205" t="s">
        <v>293</v>
      </c>
    </row>
    <row r="280" spans="1:3" x14ac:dyDescent="0.25">
      <c r="A280" s="212" t="s">
        <v>347</v>
      </c>
      <c r="B280" s="205" t="s">
        <v>290</v>
      </c>
      <c r="C280" s="205" t="s">
        <v>290</v>
      </c>
    </row>
    <row r="281" spans="1:3" x14ac:dyDescent="0.25">
      <c r="A281" s="205" t="s">
        <v>219</v>
      </c>
      <c r="B281" s="205" t="s">
        <v>290</v>
      </c>
      <c r="C281" s="205" t="s">
        <v>289</v>
      </c>
    </row>
    <row r="282" spans="1:3" x14ac:dyDescent="0.25">
      <c r="A282" s="205" t="s">
        <v>82</v>
      </c>
      <c r="B282" s="205" t="s">
        <v>289</v>
      </c>
      <c r="C282" s="205" t="s">
        <v>290</v>
      </c>
    </row>
    <row r="283" spans="1:3" x14ac:dyDescent="0.25">
      <c r="A283" s="205" t="s">
        <v>187</v>
      </c>
      <c r="B283" s="205" t="s">
        <v>289</v>
      </c>
      <c r="C283" s="205" t="s">
        <v>289</v>
      </c>
    </row>
    <row r="284" spans="1:3" x14ac:dyDescent="0.25">
      <c r="A284" s="205" t="s">
        <v>221</v>
      </c>
      <c r="B284" s="205" t="s">
        <v>290</v>
      </c>
      <c r="C284" s="205" t="s">
        <v>289</v>
      </c>
    </row>
    <row r="285" spans="1:3" x14ac:dyDescent="0.25">
      <c r="A285" s="205" t="s">
        <v>237</v>
      </c>
      <c r="B285" s="205" t="s">
        <v>290</v>
      </c>
      <c r="C285" s="205" t="s">
        <v>289</v>
      </c>
    </row>
    <row r="286" spans="1:3" x14ac:dyDescent="0.25">
      <c r="A286" s="205" t="s">
        <v>83</v>
      </c>
      <c r="B286" s="205" t="s">
        <v>289</v>
      </c>
      <c r="C286" s="205" t="s">
        <v>289</v>
      </c>
    </row>
    <row r="287" spans="1:3" x14ac:dyDescent="0.25">
      <c r="A287" s="205" t="s">
        <v>106</v>
      </c>
      <c r="B287" s="205" t="s">
        <v>289</v>
      </c>
      <c r="C287" s="205" t="s">
        <v>289</v>
      </c>
    </row>
    <row r="288" spans="1:3" x14ac:dyDescent="0.25">
      <c r="A288" s="205" t="s">
        <v>106</v>
      </c>
      <c r="B288" s="205" t="s">
        <v>289</v>
      </c>
      <c r="C288" s="205" t="s">
        <v>289</v>
      </c>
    </row>
    <row r="289" spans="1:3" x14ac:dyDescent="0.25">
      <c r="A289" s="205" t="s">
        <v>11</v>
      </c>
      <c r="B289" s="205" t="s">
        <v>289</v>
      </c>
      <c r="C289" s="205" t="s">
        <v>293</v>
      </c>
    </row>
    <row r="290" spans="1:3" x14ac:dyDescent="0.25">
      <c r="A290" s="205" t="s">
        <v>85</v>
      </c>
      <c r="B290" s="205" t="s">
        <v>290</v>
      </c>
      <c r="C290" s="205" t="s">
        <v>289</v>
      </c>
    </row>
    <row r="291" spans="1:3" x14ac:dyDescent="0.25">
      <c r="A291" s="212" t="s">
        <v>209</v>
      </c>
      <c r="B291" s="205" t="s">
        <v>289</v>
      </c>
      <c r="C291" s="205" t="s">
        <v>289</v>
      </c>
    </row>
    <row r="292" spans="1:3" x14ac:dyDescent="0.25">
      <c r="A292" s="205" t="s">
        <v>107</v>
      </c>
      <c r="B292" s="205" t="s">
        <v>289</v>
      </c>
      <c r="C292" s="205" t="s">
        <v>289</v>
      </c>
    </row>
    <row r="293" spans="1:3" x14ac:dyDescent="0.25">
      <c r="A293" s="205" t="s">
        <v>383</v>
      </c>
      <c r="B293" s="205" t="s">
        <v>293</v>
      </c>
      <c r="C293" s="205" t="s">
        <v>293</v>
      </c>
    </row>
    <row r="294" spans="1:3" x14ac:dyDescent="0.25">
      <c r="A294" s="205" t="s">
        <v>253</v>
      </c>
      <c r="B294" s="205" t="s">
        <v>289</v>
      </c>
      <c r="C294" s="205" t="s">
        <v>290</v>
      </c>
    </row>
    <row r="295" spans="1:3" x14ac:dyDescent="0.25">
      <c r="A295" s="205" t="s">
        <v>108</v>
      </c>
      <c r="B295" s="205" t="s">
        <v>289</v>
      </c>
      <c r="C295" s="205" t="s">
        <v>293</v>
      </c>
    </row>
    <row r="296" spans="1:3" x14ac:dyDescent="0.25">
      <c r="A296" s="205" t="s">
        <v>188</v>
      </c>
      <c r="B296" s="205" t="s">
        <v>293</v>
      </c>
      <c r="C296" s="205" t="s">
        <v>293</v>
      </c>
    </row>
    <row r="297" spans="1:3" x14ac:dyDescent="0.25">
      <c r="A297" s="212" t="s">
        <v>188</v>
      </c>
      <c r="B297" s="205" t="s">
        <v>293</v>
      </c>
      <c r="C297" s="205" t="s">
        <v>293</v>
      </c>
    </row>
    <row r="298" spans="1:3" x14ac:dyDescent="0.25">
      <c r="A298" s="212" t="s">
        <v>476</v>
      </c>
      <c r="B298" s="205" t="s">
        <v>289</v>
      </c>
      <c r="C298" s="205" t="s">
        <v>289</v>
      </c>
    </row>
    <row r="299" spans="1:3" x14ac:dyDescent="0.25">
      <c r="A299" s="205" t="s">
        <v>210</v>
      </c>
      <c r="B299" s="205" t="s">
        <v>289</v>
      </c>
      <c r="C299" s="205" t="s">
        <v>293</v>
      </c>
    </row>
    <row r="300" spans="1:3" x14ac:dyDescent="0.25">
      <c r="A300" s="212" t="s">
        <v>374</v>
      </c>
      <c r="B300" s="205" t="s">
        <v>293</v>
      </c>
      <c r="C300" s="205" t="s">
        <v>293</v>
      </c>
    </row>
    <row r="301" spans="1:3" x14ac:dyDescent="0.25">
      <c r="A301" s="213" t="s">
        <v>483</v>
      </c>
      <c r="B301" s="205" t="s">
        <v>289</v>
      </c>
      <c r="C301" s="205" t="s">
        <v>289</v>
      </c>
    </row>
    <row r="302" spans="1:3" x14ac:dyDescent="0.25">
      <c r="A302" s="205" t="s">
        <v>109</v>
      </c>
      <c r="B302" s="205" t="s">
        <v>289</v>
      </c>
      <c r="C302" s="205" t="s">
        <v>293</v>
      </c>
    </row>
    <row r="303" spans="1:3" x14ac:dyDescent="0.25">
      <c r="A303" s="205" t="s">
        <v>189</v>
      </c>
      <c r="B303" s="205" t="s">
        <v>289</v>
      </c>
      <c r="C303" s="205" t="s">
        <v>293</v>
      </c>
    </row>
    <row r="304" spans="1:3" x14ac:dyDescent="0.25">
      <c r="A304" s="205" t="s">
        <v>190</v>
      </c>
      <c r="B304" s="205" t="s">
        <v>293</v>
      </c>
      <c r="C304" s="205" t="s">
        <v>293</v>
      </c>
    </row>
    <row r="305" spans="1:3" x14ac:dyDescent="0.25">
      <c r="A305" s="205" t="s">
        <v>38</v>
      </c>
      <c r="B305" s="205" t="s">
        <v>289</v>
      </c>
      <c r="C305" s="205" t="s">
        <v>289</v>
      </c>
    </row>
    <row r="306" spans="1:3" x14ac:dyDescent="0.25">
      <c r="A306" s="205" t="s">
        <v>86</v>
      </c>
      <c r="B306" s="205" t="s">
        <v>289</v>
      </c>
      <c r="C306" s="205" t="s">
        <v>289</v>
      </c>
    </row>
    <row r="307" spans="1:3" x14ac:dyDescent="0.25">
      <c r="A307" s="205" t="s">
        <v>48</v>
      </c>
      <c r="B307" s="205" t="s">
        <v>289</v>
      </c>
      <c r="C307" s="205" t="s">
        <v>289</v>
      </c>
    </row>
    <row r="308" spans="1:3" x14ac:dyDescent="0.25">
      <c r="A308" s="212" t="s">
        <v>446</v>
      </c>
      <c r="B308" s="205" t="s">
        <v>289</v>
      </c>
      <c r="C308" s="205" t="s">
        <v>289</v>
      </c>
    </row>
    <row r="309" spans="1:3" x14ac:dyDescent="0.25">
      <c r="A309" s="205" t="s">
        <v>276</v>
      </c>
      <c r="B309" s="205" t="s">
        <v>290</v>
      </c>
      <c r="C309" s="205" t="s">
        <v>293</v>
      </c>
    </row>
    <row r="310" spans="1:3" x14ac:dyDescent="0.25">
      <c r="A310" s="205" t="s">
        <v>87</v>
      </c>
      <c r="B310" s="205" t="s">
        <v>290</v>
      </c>
      <c r="C310" s="205" t="s">
        <v>289</v>
      </c>
    </row>
    <row r="311" spans="1:3" x14ac:dyDescent="0.25">
      <c r="A311" s="212" t="s">
        <v>191</v>
      </c>
      <c r="B311" s="205" t="s">
        <v>293</v>
      </c>
      <c r="C311" s="205" t="s">
        <v>293</v>
      </c>
    </row>
    <row r="312" spans="1:3" x14ac:dyDescent="0.25">
      <c r="A312" s="205" t="s">
        <v>282</v>
      </c>
      <c r="B312" s="205" t="s">
        <v>290</v>
      </c>
      <c r="C312" s="205" t="s">
        <v>293</v>
      </c>
    </row>
    <row r="313" spans="1:3" x14ac:dyDescent="0.25">
      <c r="A313" s="205" t="s">
        <v>19</v>
      </c>
      <c r="B313" s="205" t="s">
        <v>289</v>
      </c>
      <c r="C313" s="205" t="s">
        <v>293</v>
      </c>
    </row>
    <row r="314" spans="1:3" x14ac:dyDescent="0.25">
      <c r="A314" s="205" t="s">
        <v>49</v>
      </c>
      <c r="B314" s="205" t="s">
        <v>289</v>
      </c>
      <c r="C314" s="205" t="s">
        <v>289</v>
      </c>
    </row>
    <row r="315" spans="1:3" x14ac:dyDescent="0.25">
      <c r="A315" s="212" t="s">
        <v>376</v>
      </c>
      <c r="B315" s="205" t="s">
        <v>293</v>
      </c>
      <c r="C315" s="205" t="s">
        <v>293</v>
      </c>
    </row>
    <row r="316" spans="1:3" x14ac:dyDescent="0.25">
      <c r="A316" s="205" t="s">
        <v>97</v>
      </c>
      <c r="B316" s="205" t="s">
        <v>290</v>
      </c>
      <c r="C316" s="205" t="s">
        <v>290</v>
      </c>
    </row>
    <row r="317" spans="1:3" x14ac:dyDescent="0.25">
      <c r="A317" s="205" t="s">
        <v>192</v>
      </c>
      <c r="B317" s="205" t="s">
        <v>289</v>
      </c>
      <c r="C317" s="205" t="s">
        <v>289</v>
      </c>
    </row>
    <row r="318" spans="1:3" x14ac:dyDescent="0.25">
      <c r="A318" s="205" t="s">
        <v>280</v>
      </c>
      <c r="B318" s="205" t="s">
        <v>289</v>
      </c>
      <c r="C318" s="205" t="s">
        <v>289</v>
      </c>
    </row>
    <row r="319" spans="1:3" x14ac:dyDescent="0.25">
      <c r="A319" s="205" t="s">
        <v>121</v>
      </c>
      <c r="B319" s="205" t="s">
        <v>290</v>
      </c>
      <c r="C319" s="205" t="s">
        <v>289</v>
      </c>
    </row>
    <row r="320" spans="1:3" x14ac:dyDescent="0.25">
      <c r="A320" s="213" t="s">
        <v>484</v>
      </c>
      <c r="B320" s="205" t="s">
        <v>289</v>
      </c>
      <c r="C320" s="205" t="s">
        <v>289</v>
      </c>
    </row>
    <row r="321" spans="1:3" x14ac:dyDescent="0.25">
      <c r="A321" s="205" t="s">
        <v>20</v>
      </c>
      <c r="B321" s="205" t="s">
        <v>289</v>
      </c>
      <c r="C321" s="205" t="s">
        <v>293</v>
      </c>
    </row>
    <row r="322" spans="1:3" x14ac:dyDescent="0.25">
      <c r="A322" s="205" t="s">
        <v>88</v>
      </c>
      <c r="B322" s="205" t="s">
        <v>290</v>
      </c>
      <c r="C322" s="205" t="s">
        <v>290</v>
      </c>
    </row>
    <row r="323" spans="1:3" x14ac:dyDescent="0.25">
      <c r="A323" s="205" t="s">
        <v>56</v>
      </c>
      <c r="B323" s="205" t="s">
        <v>289</v>
      </c>
      <c r="C323" s="205" t="s">
        <v>289</v>
      </c>
    </row>
    <row r="324" spans="1:3" x14ac:dyDescent="0.25">
      <c r="A324" s="205" t="s">
        <v>194</v>
      </c>
      <c r="B324" s="205" t="s">
        <v>289</v>
      </c>
      <c r="C324" s="205" t="s">
        <v>289</v>
      </c>
    </row>
    <row r="325" spans="1:3" x14ac:dyDescent="0.25">
      <c r="A325" s="205" t="s">
        <v>39</v>
      </c>
      <c r="B325" s="205" t="s">
        <v>289</v>
      </c>
      <c r="C325" s="205" t="s">
        <v>289</v>
      </c>
    </row>
    <row r="326" spans="1:3" x14ac:dyDescent="0.25">
      <c r="A326" s="205" t="s">
        <v>50</v>
      </c>
      <c r="B326" s="205" t="s">
        <v>289</v>
      </c>
      <c r="C326" s="205" t="s">
        <v>289</v>
      </c>
    </row>
    <row r="327" spans="1:3" x14ac:dyDescent="0.25">
      <c r="A327" s="205" t="s">
        <v>195</v>
      </c>
      <c r="B327" s="205" t="s">
        <v>289</v>
      </c>
      <c r="C327" s="205" t="s">
        <v>289</v>
      </c>
    </row>
    <row r="328" spans="1:3" x14ac:dyDescent="0.25">
      <c r="A328" s="205" t="s">
        <v>196</v>
      </c>
      <c r="B328" s="205" t="s">
        <v>293</v>
      </c>
      <c r="C328" s="205" t="s">
        <v>293</v>
      </c>
    </row>
    <row r="329" spans="1:3" x14ac:dyDescent="0.25">
      <c r="A329" s="205" t="s">
        <v>89</v>
      </c>
      <c r="B329" s="205" t="s">
        <v>290</v>
      </c>
      <c r="C329" s="205" t="s">
        <v>289</v>
      </c>
    </row>
  </sheetData>
  <sortState xmlns:xlrd2="http://schemas.microsoft.com/office/spreadsheetml/2017/richdata2" ref="A2:C329">
    <sortCondition ref="A1:A329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E0D0E-070A-470C-BF7B-E07B8AD37CFC}">
  <dimension ref="A1:M324"/>
  <sheetViews>
    <sheetView workbookViewId="0">
      <selection activeCell="F15" sqref="F15"/>
    </sheetView>
  </sheetViews>
  <sheetFormatPr defaultColWidth="8.85546875" defaultRowHeight="15" x14ac:dyDescent="0.25"/>
  <sheetData>
    <row r="1" spans="1:13" x14ac:dyDescent="0.25">
      <c r="A1" t="s">
        <v>410</v>
      </c>
      <c r="B1" t="s">
        <v>488</v>
      </c>
    </row>
    <row r="2" spans="1:13" x14ac:dyDescent="0.25">
      <c r="A2" t="s">
        <v>40</v>
      </c>
      <c r="B2" t="s">
        <v>499</v>
      </c>
    </row>
    <row r="3" spans="1:13" x14ac:dyDescent="0.25">
      <c r="A3" t="s">
        <v>126</v>
      </c>
      <c r="B3" t="s">
        <v>499</v>
      </c>
    </row>
    <row r="4" spans="1:13" x14ac:dyDescent="0.25">
      <c r="A4" t="s">
        <v>357</v>
      </c>
      <c r="B4" t="s">
        <v>500</v>
      </c>
    </row>
    <row r="5" spans="1:13" x14ac:dyDescent="0.25">
      <c r="A5" t="s">
        <v>358</v>
      </c>
      <c r="B5" t="s">
        <v>500</v>
      </c>
    </row>
    <row r="6" spans="1:13" x14ac:dyDescent="0.25">
      <c r="A6" t="s">
        <v>300</v>
      </c>
      <c r="B6" t="s">
        <v>499</v>
      </c>
    </row>
    <row r="7" spans="1:13" x14ac:dyDescent="0.25">
      <c r="A7" t="s">
        <v>58</v>
      </c>
      <c r="B7" t="s">
        <v>499</v>
      </c>
    </row>
    <row r="8" spans="1:13" x14ac:dyDescent="0.25">
      <c r="A8" t="s">
        <v>29</v>
      </c>
      <c r="B8" t="s">
        <v>512</v>
      </c>
    </row>
    <row r="9" spans="1:13" x14ac:dyDescent="0.25">
      <c r="A9" t="s">
        <v>230</v>
      </c>
      <c r="B9" t="s">
        <v>499</v>
      </c>
    </row>
    <row r="10" spans="1:13" x14ac:dyDescent="0.25">
      <c r="A10" t="s">
        <v>261</v>
      </c>
      <c r="B10" t="s">
        <v>499</v>
      </c>
    </row>
    <row r="11" spans="1:13" x14ac:dyDescent="0.25">
      <c r="A11" t="s">
        <v>127</v>
      </c>
      <c r="B11" t="s">
        <v>500</v>
      </c>
    </row>
    <row r="12" spans="1:13" x14ac:dyDescent="0.25">
      <c r="A12" t="s">
        <v>225</v>
      </c>
      <c r="B12" t="s">
        <v>499</v>
      </c>
    </row>
    <row r="13" spans="1:13" x14ac:dyDescent="0.25">
      <c r="A13" t="s">
        <v>128</v>
      </c>
      <c r="B13" t="s">
        <v>499</v>
      </c>
    </row>
    <row r="14" spans="1:13" x14ac:dyDescent="0.25">
      <c r="A14" t="s">
        <v>110</v>
      </c>
      <c r="B14" t="s">
        <v>499</v>
      </c>
    </row>
    <row r="15" spans="1:13" x14ac:dyDescent="0.25">
      <c r="A15" t="s">
        <v>8</v>
      </c>
      <c r="B15" t="s">
        <v>499</v>
      </c>
    </row>
    <row r="16" spans="1:13" x14ac:dyDescent="0.25">
      <c r="A16" t="s">
        <v>59</v>
      </c>
      <c r="B16" t="s">
        <v>499</v>
      </c>
      <c r="M16" s="210" t="s">
        <v>435</v>
      </c>
    </row>
    <row r="17" spans="1:13" x14ac:dyDescent="0.25">
      <c r="A17" t="s">
        <v>320</v>
      </c>
      <c r="B17" t="s">
        <v>499</v>
      </c>
      <c r="M17" s="132" t="s">
        <v>482</v>
      </c>
    </row>
    <row r="18" spans="1:13" x14ac:dyDescent="0.25">
      <c r="A18" t="s">
        <v>240</v>
      </c>
      <c r="B18" t="s">
        <v>499</v>
      </c>
      <c r="M18" s="126" t="s">
        <v>481</v>
      </c>
    </row>
    <row r="19" spans="1:13" x14ac:dyDescent="0.25">
      <c r="A19" t="s">
        <v>60</v>
      </c>
      <c r="B19" t="s">
        <v>499</v>
      </c>
      <c r="M19" s="126" t="s">
        <v>30</v>
      </c>
    </row>
    <row r="20" spans="1:13" x14ac:dyDescent="0.25">
      <c r="A20" t="s">
        <v>98</v>
      </c>
      <c r="B20" t="s">
        <v>499</v>
      </c>
      <c r="M20" s="126" t="s">
        <v>490</v>
      </c>
    </row>
    <row r="21" spans="1:13" x14ac:dyDescent="0.25">
      <c r="A21" t="s">
        <v>129</v>
      </c>
      <c r="B21" t="s">
        <v>502</v>
      </c>
      <c r="M21" s="126" t="s">
        <v>480</v>
      </c>
    </row>
    <row r="22" spans="1:13" x14ac:dyDescent="0.25">
      <c r="A22" t="s">
        <v>130</v>
      </c>
      <c r="B22" t="s">
        <v>499</v>
      </c>
      <c r="M22" s="126" t="s">
        <v>301</v>
      </c>
    </row>
    <row r="23" spans="1:13" x14ac:dyDescent="0.25">
      <c r="A23" t="s">
        <v>21</v>
      </c>
      <c r="B23" t="s">
        <v>499</v>
      </c>
      <c r="M23" s="126" t="s">
        <v>483</v>
      </c>
    </row>
    <row r="24" spans="1:13" x14ac:dyDescent="0.25">
      <c r="A24" t="s">
        <v>131</v>
      </c>
      <c r="B24" t="s">
        <v>499</v>
      </c>
      <c r="M24" s="211"/>
    </row>
    <row r="25" spans="1:13" x14ac:dyDescent="0.25">
      <c r="A25" t="s">
        <v>242</v>
      </c>
      <c r="B25" t="s">
        <v>511</v>
      </c>
    </row>
    <row r="26" spans="1:13" x14ac:dyDescent="0.25">
      <c r="A26" t="s">
        <v>356</v>
      </c>
      <c r="B26" t="s">
        <v>500</v>
      </c>
    </row>
    <row r="27" spans="1:13" x14ac:dyDescent="0.25">
      <c r="A27" t="s">
        <v>328</v>
      </c>
      <c r="B27" t="s">
        <v>502</v>
      </c>
    </row>
    <row r="28" spans="1:13" x14ac:dyDescent="0.25">
      <c r="A28" t="s">
        <v>329</v>
      </c>
      <c r="B28" t="s">
        <v>506</v>
      </c>
    </row>
    <row r="29" spans="1:13" x14ac:dyDescent="0.25">
      <c r="A29" t="s">
        <v>228</v>
      </c>
      <c r="B29" t="s">
        <v>499</v>
      </c>
    </row>
    <row r="30" spans="1:13" x14ac:dyDescent="0.25">
      <c r="A30" t="s">
        <v>487</v>
      </c>
      <c r="B30" t="s">
        <v>502</v>
      </c>
    </row>
    <row r="31" spans="1:13" x14ac:dyDescent="0.25">
      <c r="A31" t="s">
        <v>99</v>
      </c>
      <c r="B31" t="s">
        <v>499</v>
      </c>
    </row>
    <row r="32" spans="1:13" x14ac:dyDescent="0.25">
      <c r="A32" t="s">
        <v>132</v>
      </c>
      <c r="B32" t="s">
        <v>499</v>
      </c>
    </row>
    <row r="33" spans="1:2" x14ac:dyDescent="0.25">
      <c r="A33" t="s">
        <v>111</v>
      </c>
      <c r="B33" t="s">
        <v>500</v>
      </c>
    </row>
    <row r="34" spans="1:2" x14ac:dyDescent="0.25">
      <c r="A34" t="s">
        <v>251</v>
      </c>
      <c r="B34" t="s">
        <v>502</v>
      </c>
    </row>
    <row r="35" spans="1:2" x14ac:dyDescent="0.25">
      <c r="A35" t="s">
        <v>31</v>
      </c>
      <c r="B35" t="s">
        <v>499</v>
      </c>
    </row>
    <row r="36" spans="1:2" x14ac:dyDescent="0.25">
      <c r="A36" t="s">
        <v>133</v>
      </c>
      <c r="B36" t="s">
        <v>502</v>
      </c>
    </row>
    <row r="37" spans="1:2" x14ac:dyDescent="0.25">
      <c r="A37" t="s">
        <v>252</v>
      </c>
      <c r="B37" t="s">
        <v>506</v>
      </c>
    </row>
    <row r="38" spans="1:2" x14ac:dyDescent="0.25">
      <c r="A38" t="s">
        <v>265</v>
      </c>
      <c r="B38" t="s">
        <v>485</v>
      </c>
    </row>
    <row r="39" spans="1:2" x14ac:dyDescent="0.25">
      <c r="A39" t="s">
        <v>241</v>
      </c>
      <c r="B39" t="s">
        <v>499</v>
      </c>
    </row>
    <row r="40" spans="1:2" x14ac:dyDescent="0.25">
      <c r="A40" t="s">
        <v>354</v>
      </c>
      <c r="B40" t="s">
        <v>510</v>
      </c>
    </row>
    <row r="41" spans="1:2" x14ac:dyDescent="0.25">
      <c r="A41" t="s">
        <v>331</v>
      </c>
      <c r="B41" t="s">
        <v>505</v>
      </c>
    </row>
    <row r="42" spans="1:2" x14ac:dyDescent="0.25">
      <c r="A42" t="s">
        <v>12</v>
      </c>
      <c r="B42" t="s">
        <v>502</v>
      </c>
    </row>
    <row r="43" spans="1:2" x14ac:dyDescent="0.25">
      <c r="A43" t="s">
        <v>32</v>
      </c>
      <c r="B43" t="s">
        <v>500</v>
      </c>
    </row>
    <row r="44" spans="1:2" x14ac:dyDescent="0.25">
      <c r="A44" t="s">
        <v>435</v>
      </c>
      <c r="B44" t="s">
        <v>508</v>
      </c>
    </row>
    <row r="45" spans="1:2" x14ac:dyDescent="0.25">
      <c r="A45" t="s">
        <v>334</v>
      </c>
      <c r="B45" t="s">
        <v>499</v>
      </c>
    </row>
    <row r="46" spans="1:2" x14ac:dyDescent="0.25">
      <c r="A46" t="s">
        <v>229</v>
      </c>
      <c r="B46" t="s">
        <v>500</v>
      </c>
    </row>
    <row r="47" spans="1:2" x14ac:dyDescent="0.25">
      <c r="A47" t="s">
        <v>134</v>
      </c>
      <c r="B47" t="s">
        <v>499</v>
      </c>
    </row>
    <row r="48" spans="1:2" x14ac:dyDescent="0.25">
      <c r="A48" t="s">
        <v>135</v>
      </c>
      <c r="B48" t="s">
        <v>506</v>
      </c>
    </row>
    <row r="49" spans="1:2" x14ac:dyDescent="0.25">
      <c r="A49" t="s">
        <v>61</v>
      </c>
      <c r="B49" t="s">
        <v>499</v>
      </c>
    </row>
    <row r="50" spans="1:2" x14ac:dyDescent="0.25">
      <c r="A50" t="s">
        <v>355</v>
      </c>
      <c r="B50" t="s">
        <v>505</v>
      </c>
    </row>
    <row r="51" spans="1:2" x14ac:dyDescent="0.25">
      <c r="A51" t="s">
        <v>62</v>
      </c>
      <c r="B51" t="s">
        <v>502</v>
      </c>
    </row>
    <row r="52" spans="1:2" x14ac:dyDescent="0.25">
      <c r="A52" t="s">
        <v>255</v>
      </c>
      <c r="B52" t="s">
        <v>499</v>
      </c>
    </row>
    <row r="53" spans="1:2" x14ac:dyDescent="0.25">
      <c r="A53" t="s">
        <v>308</v>
      </c>
      <c r="B53" t="s">
        <v>499</v>
      </c>
    </row>
    <row r="54" spans="1:2" x14ac:dyDescent="0.25">
      <c r="A54" t="s">
        <v>63</v>
      </c>
      <c r="B54" t="s">
        <v>507</v>
      </c>
    </row>
    <row r="55" spans="1:2" x14ac:dyDescent="0.25">
      <c r="A55" t="s">
        <v>349</v>
      </c>
      <c r="B55" t="s">
        <v>500</v>
      </c>
    </row>
    <row r="56" spans="1:2" x14ac:dyDescent="0.25">
      <c r="A56" t="s">
        <v>136</v>
      </c>
      <c r="B56" t="s">
        <v>509</v>
      </c>
    </row>
    <row r="57" spans="1:2" x14ac:dyDescent="0.25">
      <c r="A57" t="s">
        <v>13</v>
      </c>
      <c r="B57" t="s">
        <v>510</v>
      </c>
    </row>
    <row r="58" spans="1:2" x14ac:dyDescent="0.25">
      <c r="A58" t="s">
        <v>137</v>
      </c>
      <c r="B58" t="s">
        <v>485</v>
      </c>
    </row>
    <row r="59" spans="1:2" x14ac:dyDescent="0.25">
      <c r="A59" t="s">
        <v>64</v>
      </c>
      <c r="B59" t="s">
        <v>499</v>
      </c>
    </row>
    <row r="60" spans="1:2" x14ac:dyDescent="0.25">
      <c r="A60" t="s">
        <v>138</v>
      </c>
      <c r="B60" t="s">
        <v>509</v>
      </c>
    </row>
    <row r="61" spans="1:2" x14ac:dyDescent="0.25">
      <c r="A61" t="s">
        <v>139</v>
      </c>
      <c r="B61" t="s">
        <v>499</v>
      </c>
    </row>
    <row r="62" spans="1:2" x14ac:dyDescent="0.25">
      <c r="A62" t="s">
        <v>324</v>
      </c>
      <c r="B62" t="s">
        <v>499</v>
      </c>
    </row>
    <row r="63" spans="1:2" x14ac:dyDescent="0.25">
      <c r="A63" t="s">
        <v>140</v>
      </c>
      <c r="B63" t="s">
        <v>485</v>
      </c>
    </row>
    <row r="64" spans="1:2" x14ac:dyDescent="0.25">
      <c r="A64" t="s">
        <v>90</v>
      </c>
      <c r="B64" t="s">
        <v>499</v>
      </c>
    </row>
    <row r="65" spans="1:2" x14ac:dyDescent="0.25">
      <c r="A65" t="s">
        <v>452</v>
      </c>
      <c r="B65" t="s">
        <v>499</v>
      </c>
    </row>
    <row r="66" spans="1:2" x14ac:dyDescent="0.25">
      <c r="A66" t="s">
        <v>243</v>
      </c>
      <c r="B66" t="s">
        <v>499</v>
      </c>
    </row>
    <row r="67" spans="1:2" x14ac:dyDescent="0.25">
      <c r="A67" t="s">
        <v>310</v>
      </c>
      <c r="B67" t="s">
        <v>502</v>
      </c>
    </row>
    <row r="68" spans="1:2" x14ac:dyDescent="0.25">
      <c r="A68" t="s">
        <v>339</v>
      </c>
      <c r="B68" t="s">
        <v>499</v>
      </c>
    </row>
    <row r="69" spans="1:2" x14ac:dyDescent="0.25">
      <c r="A69" t="s">
        <v>141</v>
      </c>
      <c r="B69" t="s">
        <v>513</v>
      </c>
    </row>
    <row r="70" spans="1:2" x14ac:dyDescent="0.25">
      <c r="A70" t="s">
        <v>66</v>
      </c>
      <c r="B70" t="s">
        <v>506</v>
      </c>
    </row>
    <row r="71" spans="1:2" x14ac:dyDescent="0.25">
      <c r="A71" t="s">
        <v>448</v>
      </c>
      <c r="B71" t="s">
        <v>502</v>
      </c>
    </row>
    <row r="72" spans="1:2" x14ac:dyDescent="0.25">
      <c r="A72" t="s">
        <v>67</v>
      </c>
      <c r="B72" t="s">
        <v>499</v>
      </c>
    </row>
    <row r="73" spans="1:2" x14ac:dyDescent="0.25">
      <c r="A73" t="s">
        <v>68</v>
      </c>
      <c r="B73" t="s">
        <v>508</v>
      </c>
    </row>
    <row r="74" spans="1:2" x14ac:dyDescent="0.25">
      <c r="A74" t="s">
        <v>223</v>
      </c>
      <c r="B74" t="s">
        <v>513</v>
      </c>
    </row>
    <row r="75" spans="1:2" x14ac:dyDescent="0.25">
      <c r="A75" t="s">
        <v>437</v>
      </c>
      <c r="B75" t="s">
        <v>502</v>
      </c>
    </row>
    <row r="76" spans="1:2" x14ac:dyDescent="0.25">
      <c r="A76" t="s">
        <v>463</v>
      </c>
      <c r="B76" t="s">
        <v>505</v>
      </c>
    </row>
    <row r="77" spans="1:2" x14ac:dyDescent="0.25">
      <c r="A77" t="s">
        <v>341</v>
      </c>
      <c r="B77" t="s">
        <v>512</v>
      </c>
    </row>
    <row r="78" spans="1:2" x14ac:dyDescent="0.25">
      <c r="A78" t="s">
        <v>266</v>
      </c>
      <c r="B78" t="s">
        <v>502</v>
      </c>
    </row>
    <row r="79" spans="1:2" x14ac:dyDescent="0.25">
      <c r="A79" t="s">
        <v>33</v>
      </c>
      <c r="B79" t="s">
        <v>499</v>
      </c>
    </row>
    <row r="80" spans="1:2" x14ac:dyDescent="0.25">
      <c r="A80" t="s">
        <v>363</v>
      </c>
      <c r="B80" t="s">
        <v>499</v>
      </c>
    </row>
    <row r="81" spans="1:2" x14ac:dyDescent="0.25">
      <c r="A81" t="s">
        <v>100</v>
      </c>
      <c r="B81" t="s">
        <v>502</v>
      </c>
    </row>
    <row r="82" spans="1:2" x14ac:dyDescent="0.25">
      <c r="A82" t="s">
        <v>69</v>
      </c>
      <c r="B82" t="s">
        <v>499</v>
      </c>
    </row>
    <row r="83" spans="1:2" x14ac:dyDescent="0.25">
      <c r="A83" t="s">
        <v>142</v>
      </c>
      <c r="B83" t="s">
        <v>506</v>
      </c>
    </row>
    <row r="84" spans="1:2" x14ac:dyDescent="0.25">
      <c r="A84" t="s">
        <v>101</v>
      </c>
      <c r="B84" t="s">
        <v>500</v>
      </c>
    </row>
    <row r="85" spans="1:2" x14ac:dyDescent="0.25">
      <c r="A85" t="s">
        <v>22</v>
      </c>
      <c r="B85" t="s">
        <v>502</v>
      </c>
    </row>
    <row r="86" spans="1:2" x14ac:dyDescent="0.25">
      <c r="A86" t="s">
        <v>41</v>
      </c>
      <c r="B86" t="s">
        <v>499</v>
      </c>
    </row>
    <row r="87" spans="1:2" x14ac:dyDescent="0.25">
      <c r="A87" t="s">
        <v>143</v>
      </c>
      <c r="B87" t="s">
        <v>499</v>
      </c>
    </row>
    <row r="88" spans="1:2" x14ac:dyDescent="0.25">
      <c r="A88" t="s">
        <v>91</v>
      </c>
      <c r="B88" t="s">
        <v>499</v>
      </c>
    </row>
    <row r="89" spans="1:2" x14ac:dyDescent="0.25">
      <c r="A89" t="s">
        <v>246</v>
      </c>
      <c r="B89" t="s">
        <v>499</v>
      </c>
    </row>
    <row r="90" spans="1:2" x14ac:dyDescent="0.25">
      <c r="A90" t="s">
        <v>238</v>
      </c>
      <c r="B90" t="s">
        <v>506</v>
      </c>
    </row>
    <row r="91" spans="1:2" x14ac:dyDescent="0.25">
      <c r="A91" t="s">
        <v>112</v>
      </c>
      <c r="B91" t="s">
        <v>499</v>
      </c>
    </row>
    <row r="92" spans="1:2" x14ac:dyDescent="0.25">
      <c r="A92" t="s">
        <v>323</v>
      </c>
      <c r="B92" t="s">
        <v>502</v>
      </c>
    </row>
    <row r="93" spans="1:2" x14ac:dyDescent="0.25">
      <c r="A93" t="s">
        <v>144</v>
      </c>
      <c r="B93" t="s">
        <v>506</v>
      </c>
    </row>
    <row r="94" spans="1:2" x14ac:dyDescent="0.25">
      <c r="A94" t="s">
        <v>113</v>
      </c>
      <c r="B94" t="s">
        <v>507</v>
      </c>
    </row>
    <row r="95" spans="1:2" x14ac:dyDescent="0.25">
      <c r="A95" t="s">
        <v>71</v>
      </c>
      <c r="B95" t="s">
        <v>499</v>
      </c>
    </row>
    <row r="96" spans="1:2" x14ac:dyDescent="0.25">
      <c r="A96" t="s">
        <v>215</v>
      </c>
      <c r="B96" t="s">
        <v>506</v>
      </c>
    </row>
    <row r="97" spans="1:2" x14ac:dyDescent="0.25">
      <c r="A97" t="s">
        <v>42</v>
      </c>
      <c r="B97" t="s">
        <v>499</v>
      </c>
    </row>
    <row r="98" spans="1:2" x14ac:dyDescent="0.25">
      <c r="A98" t="s">
        <v>317</v>
      </c>
      <c r="B98" t="s">
        <v>499</v>
      </c>
    </row>
    <row r="99" spans="1:2" x14ac:dyDescent="0.25">
      <c r="A99" t="s">
        <v>145</v>
      </c>
      <c r="B99" t="s">
        <v>511</v>
      </c>
    </row>
    <row r="100" spans="1:2" x14ac:dyDescent="0.25">
      <c r="A100" t="s">
        <v>340</v>
      </c>
      <c r="B100" t="s">
        <v>511</v>
      </c>
    </row>
    <row r="101" spans="1:2" x14ac:dyDescent="0.25">
      <c r="A101" t="s">
        <v>267</v>
      </c>
      <c r="B101" t="s">
        <v>499</v>
      </c>
    </row>
    <row r="102" spans="1:2" x14ac:dyDescent="0.25">
      <c r="A102" t="s">
        <v>34</v>
      </c>
      <c r="B102" t="s">
        <v>485</v>
      </c>
    </row>
    <row r="103" spans="1:2" x14ac:dyDescent="0.25">
      <c r="A103" t="s">
        <v>43</v>
      </c>
      <c r="B103" t="s">
        <v>499</v>
      </c>
    </row>
    <row r="104" spans="1:2" x14ac:dyDescent="0.25">
      <c r="A104" t="s">
        <v>72</v>
      </c>
      <c r="B104" t="s">
        <v>499</v>
      </c>
    </row>
    <row r="105" spans="1:2" x14ac:dyDescent="0.25">
      <c r="A105" t="s">
        <v>316</v>
      </c>
      <c r="B105" t="s">
        <v>499</v>
      </c>
    </row>
    <row r="106" spans="1:2" x14ac:dyDescent="0.25">
      <c r="A106" t="s">
        <v>9</v>
      </c>
      <c r="B106" t="s">
        <v>499</v>
      </c>
    </row>
    <row r="107" spans="1:2" x14ac:dyDescent="0.25">
      <c r="A107" t="s">
        <v>350</v>
      </c>
      <c r="B107" t="s">
        <v>499</v>
      </c>
    </row>
    <row r="108" spans="1:2" x14ac:dyDescent="0.25">
      <c r="A108" t="s">
        <v>146</v>
      </c>
      <c r="B108" t="s">
        <v>499</v>
      </c>
    </row>
    <row r="109" spans="1:2" x14ac:dyDescent="0.25">
      <c r="A109" t="s">
        <v>360</v>
      </c>
      <c r="B109" t="s">
        <v>499</v>
      </c>
    </row>
    <row r="110" spans="1:2" x14ac:dyDescent="0.25">
      <c r="A110" t="s">
        <v>51</v>
      </c>
      <c r="B110" t="s">
        <v>510</v>
      </c>
    </row>
    <row r="111" spans="1:2" x14ac:dyDescent="0.25">
      <c r="A111" t="s">
        <v>10</v>
      </c>
      <c r="B111" t="s">
        <v>502</v>
      </c>
    </row>
    <row r="112" spans="1:2" x14ac:dyDescent="0.25">
      <c r="A112" t="s">
        <v>148</v>
      </c>
      <c r="B112" t="s">
        <v>499</v>
      </c>
    </row>
    <row r="113" spans="1:2" x14ac:dyDescent="0.25">
      <c r="A113" t="s">
        <v>44</v>
      </c>
      <c r="B113" t="s">
        <v>499</v>
      </c>
    </row>
    <row r="114" spans="1:2" x14ac:dyDescent="0.25">
      <c r="A114" t="s">
        <v>149</v>
      </c>
      <c r="B114" t="s">
        <v>499</v>
      </c>
    </row>
    <row r="115" spans="1:2" x14ac:dyDescent="0.25">
      <c r="A115" t="s">
        <v>150</v>
      </c>
      <c r="B115" t="s">
        <v>499</v>
      </c>
    </row>
    <row r="116" spans="1:2" x14ac:dyDescent="0.25">
      <c r="A116" t="s">
        <v>351</v>
      </c>
      <c r="B116" t="s">
        <v>499</v>
      </c>
    </row>
    <row r="117" spans="1:2" x14ac:dyDescent="0.25">
      <c r="A117" t="s">
        <v>35</v>
      </c>
      <c r="B117" t="s">
        <v>499</v>
      </c>
    </row>
    <row r="118" spans="1:2" x14ac:dyDescent="0.25">
      <c r="A118" t="s">
        <v>73</v>
      </c>
      <c r="B118" t="s">
        <v>499</v>
      </c>
    </row>
    <row r="119" spans="1:2" x14ac:dyDescent="0.25">
      <c r="A119" t="s">
        <v>74</v>
      </c>
      <c r="B119" t="s">
        <v>499</v>
      </c>
    </row>
    <row r="120" spans="1:2" x14ac:dyDescent="0.25">
      <c r="A120" t="s">
        <v>151</v>
      </c>
      <c r="B120" t="s">
        <v>499</v>
      </c>
    </row>
    <row r="121" spans="1:2" x14ac:dyDescent="0.25">
      <c r="A121" t="s">
        <v>93</v>
      </c>
      <c r="B121" t="s">
        <v>499</v>
      </c>
    </row>
    <row r="122" spans="1:2" x14ac:dyDescent="0.25">
      <c r="A122" t="s">
        <v>114</v>
      </c>
      <c r="B122" t="s">
        <v>499</v>
      </c>
    </row>
    <row r="123" spans="1:2" x14ac:dyDescent="0.25">
      <c r="A123" t="s">
        <v>247</v>
      </c>
      <c r="B123" t="s">
        <v>499</v>
      </c>
    </row>
    <row r="124" spans="1:2" x14ac:dyDescent="0.25">
      <c r="A124" t="s">
        <v>115</v>
      </c>
      <c r="B124" t="s">
        <v>499</v>
      </c>
    </row>
    <row r="125" spans="1:2" x14ac:dyDescent="0.25">
      <c r="A125" t="s">
        <v>248</v>
      </c>
      <c r="B125" t="s">
        <v>499</v>
      </c>
    </row>
    <row r="126" spans="1:2" x14ac:dyDescent="0.25">
      <c r="A126" t="s">
        <v>305</v>
      </c>
      <c r="B126" t="s">
        <v>499</v>
      </c>
    </row>
    <row r="127" spans="1:2" x14ac:dyDescent="0.25">
      <c r="A127" t="s">
        <v>231</v>
      </c>
      <c r="B127" t="s">
        <v>499</v>
      </c>
    </row>
    <row r="128" spans="1:2" x14ac:dyDescent="0.25">
      <c r="A128" t="s">
        <v>313</v>
      </c>
      <c r="B128" t="s">
        <v>499</v>
      </c>
    </row>
    <row r="129" spans="1:2" x14ac:dyDescent="0.25">
      <c r="A129" t="s">
        <v>45</v>
      </c>
      <c r="B129" t="s">
        <v>499</v>
      </c>
    </row>
    <row r="130" spans="1:2" x14ac:dyDescent="0.25">
      <c r="A130" t="s">
        <v>315</v>
      </c>
      <c r="B130" t="s">
        <v>499</v>
      </c>
    </row>
    <row r="131" spans="1:2" x14ac:dyDescent="0.25">
      <c r="A131" t="s">
        <v>102</v>
      </c>
      <c r="B131" t="s">
        <v>499</v>
      </c>
    </row>
    <row r="132" spans="1:2" x14ac:dyDescent="0.25">
      <c r="A132" t="s">
        <v>249</v>
      </c>
      <c r="B132" t="s">
        <v>499</v>
      </c>
    </row>
    <row r="133" spans="1:2" x14ac:dyDescent="0.25">
      <c r="A133" t="s">
        <v>456</v>
      </c>
      <c r="B133" t="s">
        <v>504</v>
      </c>
    </row>
    <row r="134" spans="1:2" x14ac:dyDescent="0.25">
      <c r="A134" t="s">
        <v>152</v>
      </c>
      <c r="B134" t="s">
        <v>504</v>
      </c>
    </row>
    <row r="135" spans="1:2" x14ac:dyDescent="0.25">
      <c r="A135" t="s">
        <v>364</v>
      </c>
      <c r="B135" t="s">
        <v>499</v>
      </c>
    </row>
    <row r="136" spans="1:2" x14ac:dyDescent="0.25">
      <c r="A136" t="s">
        <v>269</v>
      </c>
      <c r="B136" t="s">
        <v>499</v>
      </c>
    </row>
    <row r="137" spans="1:2" x14ac:dyDescent="0.25">
      <c r="A137" t="s">
        <v>23</v>
      </c>
      <c r="B137" t="s">
        <v>504</v>
      </c>
    </row>
    <row r="138" spans="1:2" x14ac:dyDescent="0.25">
      <c r="A138" t="s">
        <v>473</v>
      </c>
      <c r="B138" t="s">
        <v>504</v>
      </c>
    </row>
    <row r="139" spans="1:2" x14ac:dyDescent="0.25">
      <c r="A139" t="s">
        <v>365</v>
      </c>
      <c r="B139" t="s">
        <v>499</v>
      </c>
    </row>
    <row r="140" spans="1:2" x14ac:dyDescent="0.25">
      <c r="A140" t="s">
        <v>365</v>
      </c>
      <c r="B140" t="s">
        <v>499</v>
      </c>
    </row>
    <row r="141" spans="1:2" x14ac:dyDescent="0.25">
      <c r="A141" t="s">
        <v>336</v>
      </c>
      <c r="B141" t="s">
        <v>499</v>
      </c>
    </row>
    <row r="142" spans="1:2" x14ac:dyDescent="0.25">
      <c r="A142" t="s">
        <v>153</v>
      </c>
      <c r="B142" t="s">
        <v>499</v>
      </c>
    </row>
    <row r="143" spans="1:2" x14ac:dyDescent="0.25">
      <c r="A143" t="s">
        <v>244</v>
      </c>
      <c r="B143" t="s">
        <v>499</v>
      </c>
    </row>
    <row r="144" spans="1:2" x14ac:dyDescent="0.25">
      <c r="A144" t="s">
        <v>116</v>
      </c>
      <c r="B144" t="s">
        <v>502</v>
      </c>
    </row>
    <row r="145" spans="1:2" x14ac:dyDescent="0.25">
      <c r="A145" t="s">
        <v>154</v>
      </c>
      <c r="B145" t="s">
        <v>499</v>
      </c>
    </row>
    <row r="146" spans="1:2" x14ac:dyDescent="0.25">
      <c r="A146" t="s">
        <v>222</v>
      </c>
      <c r="B146" t="s">
        <v>499</v>
      </c>
    </row>
    <row r="147" spans="1:2" x14ac:dyDescent="0.25">
      <c r="A147" t="s">
        <v>155</v>
      </c>
      <c r="B147" t="s">
        <v>499</v>
      </c>
    </row>
    <row r="148" spans="1:2" x14ac:dyDescent="0.25">
      <c r="A148" t="s">
        <v>312</v>
      </c>
      <c r="B148" t="s">
        <v>499</v>
      </c>
    </row>
    <row r="149" spans="1:2" x14ac:dyDescent="0.25">
      <c r="A149" t="s">
        <v>24</v>
      </c>
      <c r="B149" t="s">
        <v>499</v>
      </c>
    </row>
    <row r="150" spans="1:2" x14ac:dyDescent="0.25">
      <c r="A150" t="s">
        <v>15</v>
      </c>
      <c r="B150" t="s">
        <v>499</v>
      </c>
    </row>
    <row r="151" spans="1:2" x14ac:dyDescent="0.25">
      <c r="A151" t="s">
        <v>14</v>
      </c>
      <c r="B151" t="s">
        <v>499</v>
      </c>
    </row>
    <row r="152" spans="1:2" x14ac:dyDescent="0.25">
      <c r="A152" t="s">
        <v>157</v>
      </c>
      <c r="B152" t="s">
        <v>499</v>
      </c>
    </row>
    <row r="153" spans="1:2" x14ac:dyDescent="0.25">
      <c r="A153" t="s">
        <v>302</v>
      </c>
      <c r="B153" t="s">
        <v>499</v>
      </c>
    </row>
    <row r="154" spans="1:2" x14ac:dyDescent="0.25">
      <c r="A154" t="s">
        <v>117</v>
      </c>
      <c r="B154" t="s">
        <v>499</v>
      </c>
    </row>
    <row r="155" spans="1:2" x14ac:dyDescent="0.25">
      <c r="A155" t="s">
        <v>217</v>
      </c>
      <c r="B155" t="s">
        <v>499</v>
      </c>
    </row>
    <row r="156" spans="1:2" x14ac:dyDescent="0.25">
      <c r="A156" t="s">
        <v>94</v>
      </c>
      <c r="B156" t="s">
        <v>499</v>
      </c>
    </row>
    <row r="157" spans="1:2" x14ac:dyDescent="0.25">
      <c r="A157" t="s">
        <v>250</v>
      </c>
      <c r="B157" t="s">
        <v>513</v>
      </c>
    </row>
    <row r="158" spans="1:2" x14ac:dyDescent="0.25">
      <c r="A158" t="s">
        <v>367</v>
      </c>
      <c r="B158" t="s">
        <v>499</v>
      </c>
    </row>
    <row r="159" spans="1:2" x14ac:dyDescent="0.25">
      <c r="A159" t="s">
        <v>158</v>
      </c>
      <c r="B159" t="s">
        <v>499</v>
      </c>
    </row>
    <row r="160" spans="1:2" x14ac:dyDescent="0.25">
      <c r="A160" t="s">
        <v>36</v>
      </c>
      <c r="B160" t="s">
        <v>499</v>
      </c>
    </row>
    <row r="161" spans="1:2" x14ac:dyDescent="0.25">
      <c r="A161" t="s">
        <v>46</v>
      </c>
      <c r="B161" t="s">
        <v>499</v>
      </c>
    </row>
    <row r="162" spans="1:2" x14ac:dyDescent="0.25">
      <c r="A162" t="s">
        <v>159</v>
      </c>
      <c r="B162" t="s">
        <v>502</v>
      </c>
    </row>
    <row r="163" spans="1:2" x14ac:dyDescent="0.25">
      <c r="A163" t="s">
        <v>160</v>
      </c>
      <c r="B163" t="s">
        <v>506</v>
      </c>
    </row>
    <row r="164" spans="1:2" x14ac:dyDescent="0.25">
      <c r="A164" t="s">
        <v>16</v>
      </c>
      <c r="B164" t="s">
        <v>510</v>
      </c>
    </row>
    <row r="165" spans="1:2" x14ac:dyDescent="0.25">
      <c r="A165" t="s">
        <v>451</v>
      </c>
      <c r="B165" t="s">
        <v>510</v>
      </c>
    </row>
    <row r="166" spans="1:2" x14ac:dyDescent="0.25">
      <c r="A166" t="s">
        <v>445</v>
      </c>
      <c r="B166" t="s">
        <v>501</v>
      </c>
    </row>
    <row r="167" spans="1:2" x14ac:dyDescent="0.25">
      <c r="A167" t="s">
        <v>161</v>
      </c>
      <c r="B167" t="s">
        <v>499</v>
      </c>
    </row>
    <row r="168" spans="1:2" x14ac:dyDescent="0.25">
      <c r="A168" t="s">
        <v>57</v>
      </c>
      <c r="B168" t="s">
        <v>499</v>
      </c>
    </row>
    <row r="169" spans="1:2" x14ac:dyDescent="0.25">
      <c r="A169" t="s">
        <v>314</v>
      </c>
      <c r="B169" t="s">
        <v>511</v>
      </c>
    </row>
    <row r="170" spans="1:2" x14ac:dyDescent="0.25">
      <c r="A170" t="s">
        <v>162</v>
      </c>
      <c r="B170" t="s">
        <v>502</v>
      </c>
    </row>
    <row r="171" spans="1:2" x14ac:dyDescent="0.25">
      <c r="A171" t="s">
        <v>55</v>
      </c>
      <c r="B171" t="s">
        <v>510</v>
      </c>
    </row>
    <row r="172" spans="1:2" x14ac:dyDescent="0.25">
      <c r="A172" t="s">
        <v>342</v>
      </c>
      <c r="B172" t="s">
        <v>502</v>
      </c>
    </row>
    <row r="173" spans="1:2" x14ac:dyDescent="0.25">
      <c r="A173" t="s">
        <v>319</v>
      </c>
      <c r="B173" t="s">
        <v>499</v>
      </c>
    </row>
    <row r="174" spans="1:2" x14ac:dyDescent="0.25">
      <c r="A174" t="s">
        <v>346</v>
      </c>
      <c r="B174" t="s">
        <v>499</v>
      </c>
    </row>
    <row r="175" spans="1:2" x14ac:dyDescent="0.25">
      <c r="A175" t="s">
        <v>325</v>
      </c>
      <c r="B175" t="s">
        <v>505</v>
      </c>
    </row>
    <row r="176" spans="1:2" x14ac:dyDescent="0.25">
      <c r="A176" t="s">
        <v>163</v>
      </c>
      <c r="B176" t="s">
        <v>511</v>
      </c>
    </row>
    <row r="177" spans="1:2" x14ac:dyDescent="0.25">
      <c r="A177" t="s">
        <v>337</v>
      </c>
      <c r="B177" t="s">
        <v>499</v>
      </c>
    </row>
    <row r="178" spans="1:2" x14ac:dyDescent="0.25">
      <c r="A178" t="s">
        <v>25</v>
      </c>
      <c r="B178" t="s">
        <v>499</v>
      </c>
    </row>
    <row r="179" spans="1:2" x14ac:dyDescent="0.25">
      <c r="A179" t="s">
        <v>327</v>
      </c>
      <c r="B179" t="s">
        <v>511</v>
      </c>
    </row>
    <row r="180" spans="1:2" x14ac:dyDescent="0.25">
      <c r="A180" t="s">
        <v>164</v>
      </c>
      <c r="B180" t="s">
        <v>499</v>
      </c>
    </row>
    <row r="181" spans="1:2" x14ac:dyDescent="0.25">
      <c r="A181" t="s">
        <v>212</v>
      </c>
      <c r="B181" t="s">
        <v>499</v>
      </c>
    </row>
    <row r="182" spans="1:2" x14ac:dyDescent="0.25">
      <c r="A182" t="s">
        <v>52</v>
      </c>
      <c r="B182" t="s">
        <v>499</v>
      </c>
    </row>
    <row r="183" spans="1:2" x14ac:dyDescent="0.25">
      <c r="A183" t="s">
        <v>53</v>
      </c>
      <c r="B183" t="s">
        <v>499</v>
      </c>
    </row>
    <row r="184" spans="1:2" x14ac:dyDescent="0.25">
      <c r="A184" t="s">
        <v>165</v>
      </c>
      <c r="B184" t="s">
        <v>499</v>
      </c>
    </row>
    <row r="185" spans="1:2" x14ac:dyDescent="0.25">
      <c r="A185" t="s">
        <v>76</v>
      </c>
      <c r="B185" t="s">
        <v>506</v>
      </c>
    </row>
    <row r="186" spans="1:2" x14ac:dyDescent="0.25">
      <c r="A186" t="s">
        <v>268</v>
      </c>
      <c r="B186" t="s">
        <v>499</v>
      </c>
    </row>
    <row r="187" spans="1:2" x14ac:dyDescent="0.25">
      <c r="A187" t="s">
        <v>166</v>
      </c>
      <c r="B187" t="s">
        <v>500</v>
      </c>
    </row>
    <row r="188" spans="1:2" x14ac:dyDescent="0.25">
      <c r="A188" t="s">
        <v>167</v>
      </c>
      <c r="B188" t="s">
        <v>499</v>
      </c>
    </row>
    <row r="189" spans="1:2" x14ac:dyDescent="0.25">
      <c r="A189" t="s">
        <v>103</v>
      </c>
      <c r="B189" t="s">
        <v>500</v>
      </c>
    </row>
    <row r="190" spans="1:2" x14ac:dyDescent="0.25">
      <c r="A190" t="s">
        <v>321</v>
      </c>
      <c r="B190" t="s">
        <v>500</v>
      </c>
    </row>
    <row r="191" spans="1:2" x14ac:dyDescent="0.25">
      <c r="A191" t="s">
        <v>168</v>
      </c>
      <c r="B191" t="s">
        <v>485</v>
      </c>
    </row>
    <row r="192" spans="1:2" x14ac:dyDescent="0.25">
      <c r="A192" t="s">
        <v>77</v>
      </c>
      <c r="B192" t="s">
        <v>499</v>
      </c>
    </row>
    <row r="193" spans="1:2" x14ac:dyDescent="0.25">
      <c r="A193" t="s">
        <v>169</v>
      </c>
      <c r="B193" t="s">
        <v>499</v>
      </c>
    </row>
    <row r="194" spans="1:2" x14ac:dyDescent="0.25">
      <c r="A194" t="s">
        <v>218</v>
      </c>
      <c r="B194" t="s">
        <v>503</v>
      </c>
    </row>
    <row r="195" spans="1:2" x14ac:dyDescent="0.25">
      <c r="A195" t="s">
        <v>368</v>
      </c>
      <c r="B195" t="s">
        <v>499</v>
      </c>
    </row>
    <row r="196" spans="1:2" x14ac:dyDescent="0.25">
      <c r="A196" t="s">
        <v>170</v>
      </c>
      <c r="B196" t="s">
        <v>499</v>
      </c>
    </row>
    <row r="197" spans="1:2" x14ac:dyDescent="0.25">
      <c r="A197" t="s">
        <v>370</v>
      </c>
      <c r="B197" t="s">
        <v>499</v>
      </c>
    </row>
    <row r="198" spans="1:2" x14ac:dyDescent="0.25">
      <c r="A198" t="s">
        <v>171</v>
      </c>
      <c r="B198" t="s">
        <v>499</v>
      </c>
    </row>
    <row r="199" spans="1:2" x14ac:dyDescent="0.25">
      <c r="A199" t="s">
        <v>171</v>
      </c>
      <c r="B199" t="s">
        <v>499</v>
      </c>
    </row>
    <row r="200" spans="1:2" x14ac:dyDescent="0.25">
      <c r="A200" t="s">
        <v>171</v>
      </c>
      <c r="B200" t="s">
        <v>499</v>
      </c>
    </row>
    <row r="201" spans="1:2" x14ac:dyDescent="0.25">
      <c r="A201" t="s">
        <v>171</v>
      </c>
      <c r="B201" t="s">
        <v>499</v>
      </c>
    </row>
    <row r="202" spans="1:2" x14ac:dyDescent="0.25">
      <c r="A202" t="s">
        <v>372</v>
      </c>
      <c r="B202" t="s">
        <v>502</v>
      </c>
    </row>
    <row r="203" spans="1:2" x14ac:dyDescent="0.25">
      <c r="A203" t="s">
        <v>172</v>
      </c>
      <c r="B203" t="s">
        <v>499</v>
      </c>
    </row>
    <row r="204" spans="1:2" x14ac:dyDescent="0.25">
      <c r="A204" t="s">
        <v>95</v>
      </c>
      <c r="B204" t="s">
        <v>499</v>
      </c>
    </row>
    <row r="205" spans="1:2" x14ac:dyDescent="0.25">
      <c r="A205" t="s">
        <v>47</v>
      </c>
      <c r="B205" t="s">
        <v>499</v>
      </c>
    </row>
    <row r="206" spans="1:2" x14ac:dyDescent="0.25">
      <c r="A206" t="s">
        <v>271</v>
      </c>
      <c r="B206" t="s">
        <v>502</v>
      </c>
    </row>
    <row r="207" spans="1:2" x14ac:dyDescent="0.25">
      <c r="A207" t="s">
        <v>78</v>
      </c>
      <c r="B207" t="s">
        <v>499</v>
      </c>
    </row>
    <row r="208" spans="1:2" x14ac:dyDescent="0.25">
      <c r="A208" t="s">
        <v>273</v>
      </c>
      <c r="B208" t="s">
        <v>499</v>
      </c>
    </row>
    <row r="209" spans="1:2" x14ac:dyDescent="0.25">
      <c r="A209" t="s">
        <v>459</v>
      </c>
      <c r="B209" t="s">
        <v>502</v>
      </c>
    </row>
    <row r="210" spans="1:2" x14ac:dyDescent="0.25">
      <c r="A210" t="s">
        <v>475</v>
      </c>
      <c r="B210" t="s">
        <v>499</v>
      </c>
    </row>
    <row r="211" spans="1:2" x14ac:dyDescent="0.25">
      <c r="A211" t="s">
        <v>234</v>
      </c>
      <c r="B211" t="s">
        <v>499</v>
      </c>
    </row>
    <row r="212" spans="1:2" x14ac:dyDescent="0.25">
      <c r="A212" t="s">
        <v>30</v>
      </c>
      <c r="B212" t="s">
        <v>502</v>
      </c>
    </row>
    <row r="213" spans="1:2" x14ac:dyDescent="0.25">
      <c r="A213" t="s">
        <v>454</v>
      </c>
      <c r="B213" t="s">
        <v>499</v>
      </c>
    </row>
    <row r="214" spans="1:2" x14ac:dyDescent="0.25">
      <c r="A214" t="s">
        <v>486</v>
      </c>
      <c r="B214" t="s">
        <v>499</v>
      </c>
    </row>
    <row r="215" spans="1:2" x14ac:dyDescent="0.25">
      <c r="A215" t="s">
        <v>464</v>
      </c>
      <c r="B215" t="s">
        <v>499</v>
      </c>
    </row>
    <row r="216" spans="1:2" x14ac:dyDescent="0.25">
      <c r="A216" t="s">
        <v>173</v>
      </c>
      <c r="B216" t="s">
        <v>485</v>
      </c>
    </row>
    <row r="217" spans="1:2" x14ac:dyDescent="0.25">
      <c r="A217" t="s">
        <v>79</v>
      </c>
      <c r="B217" t="s">
        <v>499</v>
      </c>
    </row>
    <row r="218" spans="1:2" x14ac:dyDescent="0.25">
      <c r="A218" t="s">
        <v>175</v>
      </c>
      <c r="B218" t="s">
        <v>499</v>
      </c>
    </row>
    <row r="219" spans="1:2" x14ac:dyDescent="0.25">
      <c r="A219" t="s">
        <v>176</v>
      </c>
      <c r="B219" t="s">
        <v>499</v>
      </c>
    </row>
    <row r="220" spans="1:2" x14ac:dyDescent="0.25">
      <c r="A220" t="s">
        <v>177</v>
      </c>
      <c r="B220" t="s">
        <v>499</v>
      </c>
    </row>
    <row r="221" spans="1:2" x14ac:dyDescent="0.25">
      <c r="A221" t="s">
        <v>118</v>
      </c>
      <c r="B221" t="s">
        <v>499</v>
      </c>
    </row>
    <row r="222" spans="1:2" x14ac:dyDescent="0.25">
      <c r="A222" t="s">
        <v>330</v>
      </c>
      <c r="B222" t="s">
        <v>499</v>
      </c>
    </row>
    <row r="223" spans="1:2" x14ac:dyDescent="0.25">
      <c r="A223" t="s">
        <v>17</v>
      </c>
      <c r="B223" t="s">
        <v>499</v>
      </c>
    </row>
    <row r="224" spans="1:2" x14ac:dyDescent="0.25">
      <c r="A224" t="s">
        <v>352</v>
      </c>
      <c r="B224" t="s">
        <v>485</v>
      </c>
    </row>
    <row r="225" spans="1:2" x14ac:dyDescent="0.25">
      <c r="A225" t="s">
        <v>178</v>
      </c>
      <c r="B225" t="s">
        <v>499</v>
      </c>
    </row>
    <row r="226" spans="1:2" x14ac:dyDescent="0.25">
      <c r="A226" t="s">
        <v>179</v>
      </c>
      <c r="B226" t="s">
        <v>504</v>
      </c>
    </row>
    <row r="227" spans="1:2" x14ac:dyDescent="0.25">
      <c r="A227" t="s">
        <v>96</v>
      </c>
      <c r="B227" t="s">
        <v>502</v>
      </c>
    </row>
    <row r="228" spans="1:2" x14ac:dyDescent="0.25">
      <c r="A228" t="s">
        <v>274</v>
      </c>
      <c r="B228" t="s">
        <v>504</v>
      </c>
    </row>
    <row r="229" spans="1:2" x14ac:dyDescent="0.25">
      <c r="A229" t="s">
        <v>104</v>
      </c>
      <c r="B229" t="s">
        <v>502</v>
      </c>
    </row>
    <row r="230" spans="1:2" x14ac:dyDescent="0.25">
      <c r="A230" t="s">
        <v>26</v>
      </c>
      <c r="B230" t="s">
        <v>504</v>
      </c>
    </row>
    <row r="231" spans="1:2" x14ac:dyDescent="0.25">
      <c r="A231" t="s">
        <v>275</v>
      </c>
      <c r="B231" t="s">
        <v>499</v>
      </c>
    </row>
    <row r="232" spans="1:2" x14ac:dyDescent="0.25">
      <c r="A232" t="s">
        <v>27</v>
      </c>
      <c r="B232" t="s">
        <v>504</v>
      </c>
    </row>
    <row r="233" spans="1:2" x14ac:dyDescent="0.25">
      <c r="A233" t="s">
        <v>279</v>
      </c>
      <c r="B233" t="s">
        <v>499</v>
      </c>
    </row>
    <row r="234" spans="1:2" x14ac:dyDescent="0.25">
      <c r="A234" t="s">
        <v>105</v>
      </c>
      <c r="B234" t="s">
        <v>499</v>
      </c>
    </row>
    <row r="235" spans="1:2" x14ac:dyDescent="0.25">
      <c r="A235" t="s">
        <v>180</v>
      </c>
      <c r="B235" t="s">
        <v>499</v>
      </c>
    </row>
    <row r="236" spans="1:2" x14ac:dyDescent="0.25">
      <c r="A236" t="s">
        <v>258</v>
      </c>
      <c r="B236" t="s">
        <v>511</v>
      </c>
    </row>
    <row r="237" spans="1:2" x14ac:dyDescent="0.25">
      <c r="A237" t="s">
        <v>80</v>
      </c>
      <c r="B237" t="s">
        <v>506</v>
      </c>
    </row>
    <row r="238" spans="1:2" x14ac:dyDescent="0.25">
      <c r="A238" t="s">
        <v>235</v>
      </c>
      <c r="B238" t="s">
        <v>499</v>
      </c>
    </row>
    <row r="239" spans="1:2" x14ac:dyDescent="0.25">
      <c r="A239" t="s">
        <v>181</v>
      </c>
      <c r="B239" t="s">
        <v>499</v>
      </c>
    </row>
    <row r="240" spans="1:2" x14ac:dyDescent="0.25">
      <c r="A240" t="s">
        <v>18</v>
      </c>
      <c r="B240" t="s">
        <v>502</v>
      </c>
    </row>
    <row r="241" spans="1:2" x14ac:dyDescent="0.25">
      <c r="A241" t="s">
        <v>182</v>
      </c>
      <c r="B241" t="s">
        <v>502</v>
      </c>
    </row>
    <row r="242" spans="1:2" x14ac:dyDescent="0.25">
      <c r="A242" t="s">
        <v>338</v>
      </c>
      <c r="B242" t="s">
        <v>500</v>
      </c>
    </row>
    <row r="243" spans="1:2" x14ac:dyDescent="0.25">
      <c r="A243" t="s">
        <v>236</v>
      </c>
      <c r="B243" t="s">
        <v>499</v>
      </c>
    </row>
    <row r="244" spans="1:2" x14ac:dyDescent="0.25">
      <c r="A244" t="s">
        <v>304</v>
      </c>
      <c r="B244" t="s">
        <v>502</v>
      </c>
    </row>
    <row r="245" spans="1:2" x14ac:dyDescent="0.25">
      <c r="A245" t="s">
        <v>183</v>
      </c>
      <c r="B245" t="s">
        <v>499</v>
      </c>
    </row>
    <row r="246" spans="1:2" x14ac:dyDescent="0.25">
      <c r="A246" t="s">
        <v>311</v>
      </c>
      <c r="B246" t="s">
        <v>499</v>
      </c>
    </row>
    <row r="247" spans="1:2" x14ac:dyDescent="0.25">
      <c r="A247" t="s">
        <v>184</v>
      </c>
      <c r="B247" t="s">
        <v>499</v>
      </c>
    </row>
    <row r="248" spans="1:2" x14ac:dyDescent="0.25">
      <c r="A248" t="s">
        <v>81</v>
      </c>
      <c r="B248" t="s">
        <v>499</v>
      </c>
    </row>
    <row r="249" spans="1:2" x14ac:dyDescent="0.25">
      <c r="A249" t="s">
        <v>369</v>
      </c>
      <c r="B249" t="s">
        <v>499</v>
      </c>
    </row>
    <row r="250" spans="1:2" x14ac:dyDescent="0.25">
      <c r="A250" t="s">
        <v>307</v>
      </c>
      <c r="B250" t="s">
        <v>499</v>
      </c>
    </row>
    <row r="251" spans="1:2" x14ac:dyDescent="0.25">
      <c r="A251" t="s">
        <v>259</v>
      </c>
      <c r="B251" t="s">
        <v>499</v>
      </c>
    </row>
    <row r="252" spans="1:2" x14ac:dyDescent="0.25">
      <c r="A252" t="s">
        <v>185</v>
      </c>
      <c r="B252" t="s">
        <v>509</v>
      </c>
    </row>
    <row r="253" spans="1:2" x14ac:dyDescent="0.25">
      <c r="A253" t="s">
        <v>318</v>
      </c>
      <c r="B253" t="s">
        <v>500</v>
      </c>
    </row>
    <row r="254" spans="1:2" x14ac:dyDescent="0.25">
      <c r="A254" t="s">
        <v>301</v>
      </c>
      <c r="B254" t="s">
        <v>499</v>
      </c>
    </row>
    <row r="255" spans="1:2" x14ac:dyDescent="0.25">
      <c r="A255" t="s">
        <v>28</v>
      </c>
      <c r="B255" t="s">
        <v>499</v>
      </c>
    </row>
    <row r="256" spans="1:2" x14ac:dyDescent="0.25">
      <c r="A256" t="s">
        <v>186</v>
      </c>
      <c r="B256" t="s">
        <v>499</v>
      </c>
    </row>
    <row r="257" spans="1:2" x14ac:dyDescent="0.25">
      <c r="A257" t="s">
        <v>119</v>
      </c>
      <c r="B257" t="s">
        <v>506</v>
      </c>
    </row>
    <row r="258" spans="1:2" x14ac:dyDescent="0.25">
      <c r="A258" t="s">
        <v>37</v>
      </c>
      <c r="B258" t="s">
        <v>499</v>
      </c>
    </row>
    <row r="259" spans="1:2" x14ac:dyDescent="0.25">
      <c r="A259" t="s">
        <v>343</v>
      </c>
      <c r="B259" t="s">
        <v>502</v>
      </c>
    </row>
    <row r="260" spans="1:2" x14ac:dyDescent="0.25">
      <c r="A260" t="s">
        <v>260</v>
      </c>
      <c r="B260" t="s">
        <v>506</v>
      </c>
    </row>
    <row r="261" spans="1:2" x14ac:dyDescent="0.25">
      <c r="A261" t="s">
        <v>224</v>
      </c>
      <c r="B261" t="s">
        <v>510</v>
      </c>
    </row>
    <row r="262" spans="1:2" x14ac:dyDescent="0.25">
      <c r="A262" t="s">
        <v>120</v>
      </c>
      <c r="B262" t="s">
        <v>499</v>
      </c>
    </row>
    <row r="263" spans="1:2" x14ac:dyDescent="0.25">
      <c r="A263" t="s">
        <v>471</v>
      </c>
      <c r="B263" t="s">
        <v>501</v>
      </c>
    </row>
    <row r="264" spans="1:2" x14ac:dyDescent="0.25">
      <c r="A264" t="s">
        <v>438</v>
      </c>
      <c r="B264" t="s">
        <v>501</v>
      </c>
    </row>
    <row r="265" spans="1:2" x14ac:dyDescent="0.25">
      <c r="A265" t="s">
        <v>436</v>
      </c>
      <c r="B265" t="s">
        <v>501</v>
      </c>
    </row>
    <row r="266" spans="1:2" x14ac:dyDescent="0.25">
      <c r="A266" t="s">
        <v>347</v>
      </c>
      <c r="B266" t="s">
        <v>499</v>
      </c>
    </row>
    <row r="267" spans="1:2" x14ac:dyDescent="0.25">
      <c r="A267" t="s">
        <v>219</v>
      </c>
      <c r="B267" t="s">
        <v>499</v>
      </c>
    </row>
    <row r="268" spans="1:2" x14ac:dyDescent="0.25">
      <c r="A268" t="s">
        <v>219</v>
      </c>
      <c r="B268" t="s">
        <v>499</v>
      </c>
    </row>
    <row r="269" spans="1:2" x14ac:dyDescent="0.25">
      <c r="A269" t="s">
        <v>82</v>
      </c>
      <c r="B269" t="s">
        <v>499</v>
      </c>
    </row>
    <row r="270" spans="1:2" x14ac:dyDescent="0.25">
      <c r="A270" t="s">
        <v>187</v>
      </c>
      <c r="B270" t="s">
        <v>499</v>
      </c>
    </row>
    <row r="271" spans="1:2" x14ac:dyDescent="0.25">
      <c r="A271" t="s">
        <v>220</v>
      </c>
      <c r="B271" t="s">
        <v>499</v>
      </c>
    </row>
    <row r="272" spans="1:2" x14ac:dyDescent="0.25">
      <c r="A272" t="s">
        <v>221</v>
      </c>
      <c r="B272" t="s">
        <v>507</v>
      </c>
    </row>
    <row r="273" spans="1:2" x14ac:dyDescent="0.25">
      <c r="A273" t="s">
        <v>345</v>
      </c>
      <c r="B273" t="s">
        <v>502</v>
      </c>
    </row>
    <row r="274" spans="1:2" x14ac:dyDescent="0.25">
      <c r="A274" t="s">
        <v>237</v>
      </c>
      <c r="B274" t="s">
        <v>506</v>
      </c>
    </row>
    <row r="275" spans="1:2" x14ac:dyDescent="0.25">
      <c r="A275" t="s">
        <v>83</v>
      </c>
      <c r="B275" t="s">
        <v>499</v>
      </c>
    </row>
    <row r="276" spans="1:2" x14ac:dyDescent="0.25">
      <c r="A276" t="s">
        <v>106</v>
      </c>
      <c r="B276" t="s">
        <v>499</v>
      </c>
    </row>
    <row r="277" spans="1:2" x14ac:dyDescent="0.25">
      <c r="A277" t="s">
        <v>84</v>
      </c>
      <c r="B277" t="s">
        <v>502</v>
      </c>
    </row>
    <row r="278" spans="1:2" x14ac:dyDescent="0.25">
      <c r="A278" t="s">
        <v>11</v>
      </c>
      <c r="B278" t="s">
        <v>502</v>
      </c>
    </row>
    <row r="279" spans="1:2" x14ac:dyDescent="0.25">
      <c r="A279" t="s">
        <v>226</v>
      </c>
      <c r="B279" t="s">
        <v>499</v>
      </c>
    </row>
    <row r="280" spans="1:2" x14ac:dyDescent="0.25">
      <c r="A280" t="s">
        <v>227</v>
      </c>
      <c r="B280" t="s">
        <v>499</v>
      </c>
    </row>
    <row r="281" spans="1:2" x14ac:dyDescent="0.25">
      <c r="A281" t="s">
        <v>85</v>
      </c>
      <c r="B281" t="s">
        <v>510</v>
      </c>
    </row>
    <row r="282" spans="1:2" x14ac:dyDescent="0.25">
      <c r="A282" t="s">
        <v>209</v>
      </c>
      <c r="B282" t="s">
        <v>499</v>
      </c>
    </row>
    <row r="283" spans="1:2" x14ac:dyDescent="0.25">
      <c r="A283" t="s">
        <v>107</v>
      </c>
      <c r="B283" t="s">
        <v>499</v>
      </c>
    </row>
    <row r="284" spans="1:2" x14ac:dyDescent="0.25">
      <c r="A284" t="s">
        <v>383</v>
      </c>
      <c r="B284" t="s">
        <v>499</v>
      </c>
    </row>
    <row r="285" spans="1:2" x14ac:dyDescent="0.25">
      <c r="A285" t="s">
        <v>253</v>
      </c>
      <c r="B285" t="s">
        <v>500</v>
      </c>
    </row>
    <row r="286" spans="1:2" x14ac:dyDescent="0.25">
      <c r="A286" t="s">
        <v>108</v>
      </c>
      <c r="B286" t="s">
        <v>499</v>
      </c>
    </row>
    <row r="287" spans="1:2" x14ac:dyDescent="0.25">
      <c r="A287" t="s">
        <v>188</v>
      </c>
      <c r="B287" t="s">
        <v>499</v>
      </c>
    </row>
    <row r="288" spans="1:2" x14ac:dyDescent="0.25">
      <c r="A288" t="s">
        <v>476</v>
      </c>
      <c r="B288" t="s">
        <v>499</v>
      </c>
    </row>
    <row r="289" spans="1:2" x14ac:dyDescent="0.25">
      <c r="A289" t="s">
        <v>210</v>
      </c>
      <c r="B289" t="s">
        <v>499</v>
      </c>
    </row>
    <row r="290" spans="1:2" x14ac:dyDescent="0.25">
      <c r="A290" t="s">
        <v>374</v>
      </c>
      <c r="B290" t="s">
        <v>499</v>
      </c>
    </row>
    <row r="291" spans="1:2" x14ac:dyDescent="0.25">
      <c r="A291" t="s">
        <v>109</v>
      </c>
      <c r="B291" t="s">
        <v>510</v>
      </c>
    </row>
    <row r="292" spans="1:2" x14ac:dyDescent="0.25">
      <c r="A292" t="s">
        <v>189</v>
      </c>
      <c r="B292" t="s">
        <v>510</v>
      </c>
    </row>
    <row r="293" spans="1:2" x14ac:dyDescent="0.25">
      <c r="A293" t="s">
        <v>190</v>
      </c>
      <c r="B293" t="s">
        <v>499</v>
      </c>
    </row>
    <row r="294" spans="1:2" x14ac:dyDescent="0.25">
      <c r="A294" t="s">
        <v>38</v>
      </c>
      <c r="B294" t="s">
        <v>499</v>
      </c>
    </row>
    <row r="295" spans="1:2" x14ac:dyDescent="0.25">
      <c r="A295" t="s">
        <v>86</v>
      </c>
      <c r="B295" t="s">
        <v>499</v>
      </c>
    </row>
    <row r="296" spans="1:2" x14ac:dyDescent="0.25">
      <c r="A296" t="s">
        <v>48</v>
      </c>
      <c r="B296" t="s">
        <v>499</v>
      </c>
    </row>
    <row r="297" spans="1:2" x14ac:dyDescent="0.25">
      <c r="A297" t="s">
        <v>446</v>
      </c>
      <c r="B297" t="s">
        <v>499</v>
      </c>
    </row>
    <row r="298" spans="1:2" x14ac:dyDescent="0.25">
      <c r="A298" t="s">
        <v>443</v>
      </c>
      <c r="B298" t="s">
        <v>499</v>
      </c>
    </row>
    <row r="299" spans="1:2" x14ac:dyDescent="0.25">
      <c r="A299" t="s">
        <v>276</v>
      </c>
      <c r="B299" t="s">
        <v>499</v>
      </c>
    </row>
    <row r="300" spans="1:2" x14ac:dyDescent="0.25">
      <c r="A300" t="s">
        <v>87</v>
      </c>
      <c r="B300" t="s">
        <v>499</v>
      </c>
    </row>
    <row r="301" spans="1:2" x14ac:dyDescent="0.25">
      <c r="A301" t="s">
        <v>191</v>
      </c>
      <c r="B301" t="s">
        <v>499</v>
      </c>
    </row>
    <row r="302" spans="1:2" x14ac:dyDescent="0.25">
      <c r="A302" t="s">
        <v>282</v>
      </c>
      <c r="B302" t="s">
        <v>485</v>
      </c>
    </row>
    <row r="303" spans="1:2" x14ac:dyDescent="0.25">
      <c r="A303" t="s">
        <v>19</v>
      </c>
      <c r="B303" t="s">
        <v>499</v>
      </c>
    </row>
    <row r="304" spans="1:2" x14ac:dyDescent="0.25">
      <c r="A304" t="s">
        <v>277</v>
      </c>
      <c r="B304" t="s">
        <v>499</v>
      </c>
    </row>
    <row r="305" spans="1:2" x14ac:dyDescent="0.25">
      <c r="A305" t="s">
        <v>49</v>
      </c>
      <c r="B305" t="s">
        <v>499</v>
      </c>
    </row>
    <row r="306" spans="1:2" x14ac:dyDescent="0.25">
      <c r="A306" t="s">
        <v>376</v>
      </c>
      <c r="B306" t="s">
        <v>502</v>
      </c>
    </row>
    <row r="307" spans="1:2" x14ac:dyDescent="0.25">
      <c r="A307" t="s">
        <v>97</v>
      </c>
      <c r="B307" t="s">
        <v>499</v>
      </c>
    </row>
    <row r="308" spans="1:2" x14ac:dyDescent="0.25">
      <c r="A308" t="s">
        <v>278</v>
      </c>
      <c r="B308" t="s">
        <v>502</v>
      </c>
    </row>
    <row r="309" spans="1:2" x14ac:dyDescent="0.25">
      <c r="A309" t="s">
        <v>192</v>
      </c>
      <c r="B309" t="s">
        <v>499</v>
      </c>
    </row>
    <row r="310" spans="1:2" x14ac:dyDescent="0.25">
      <c r="A310" t="s">
        <v>280</v>
      </c>
      <c r="B310" t="s">
        <v>499</v>
      </c>
    </row>
    <row r="311" spans="1:2" x14ac:dyDescent="0.25">
      <c r="A311" t="s">
        <v>121</v>
      </c>
      <c r="B311" t="s">
        <v>499</v>
      </c>
    </row>
    <row r="312" spans="1:2" x14ac:dyDescent="0.25">
      <c r="A312" t="s">
        <v>193</v>
      </c>
      <c r="B312" t="s">
        <v>500</v>
      </c>
    </row>
    <row r="313" spans="1:2" x14ac:dyDescent="0.25">
      <c r="A313" t="s">
        <v>20</v>
      </c>
      <c r="B313" t="s">
        <v>499</v>
      </c>
    </row>
    <row r="314" spans="1:2" x14ac:dyDescent="0.25">
      <c r="A314" t="s">
        <v>88</v>
      </c>
      <c r="B314" t="s">
        <v>499</v>
      </c>
    </row>
    <row r="315" spans="1:2" x14ac:dyDescent="0.25">
      <c r="A315" t="s">
        <v>56</v>
      </c>
      <c r="B315" t="s">
        <v>499</v>
      </c>
    </row>
    <row r="316" spans="1:2" x14ac:dyDescent="0.25">
      <c r="A316" t="s">
        <v>194</v>
      </c>
      <c r="B316" t="s">
        <v>500</v>
      </c>
    </row>
    <row r="317" spans="1:2" x14ac:dyDescent="0.25">
      <c r="A317" t="s">
        <v>39</v>
      </c>
      <c r="B317" t="s">
        <v>499</v>
      </c>
    </row>
    <row r="318" spans="1:2" x14ac:dyDescent="0.25">
      <c r="A318" t="s">
        <v>50</v>
      </c>
      <c r="B318" t="s">
        <v>512</v>
      </c>
    </row>
    <row r="319" spans="1:2" x14ac:dyDescent="0.25">
      <c r="A319" t="s">
        <v>195</v>
      </c>
      <c r="B319" t="s">
        <v>499</v>
      </c>
    </row>
    <row r="320" spans="1:2" x14ac:dyDescent="0.25">
      <c r="A320" t="s">
        <v>196</v>
      </c>
      <c r="B320" t="s">
        <v>499</v>
      </c>
    </row>
    <row r="321" spans="1:2" x14ac:dyDescent="0.25">
      <c r="A321" t="s">
        <v>89</v>
      </c>
      <c r="B321" t="s">
        <v>499</v>
      </c>
    </row>
    <row r="322" spans="1:2" x14ac:dyDescent="0.25">
      <c r="A322" t="s">
        <v>381</v>
      </c>
      <c r="B322" t="s">
        <v>499</v>
      </c>
    </row>
    <row r="323" spans="1:2" x14ac:dyDescent="0.25">
      <c r="A323" t="s">
        <v>382</v>
      </c>
      <c r="B323" t="s">
        <v>499</v>
      </c>
    </row>
    <row r="324" spans="1:2" x14ac:dyDescent="0.25">
      <c r="A324" t="s">
        <v>450</v>
      </c>
      <c r="B324" t="s">
        <v>499</v>
      </c>
    </row>
  </sheetData>
  <sortState xmlns:xlrd2="http://schemas.microsoft.com/office/spreadsheetml/2017/richdata2" ref="M16:M24">
    <sortCondition ref="M16:M24"/>
  </sortState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5 a c 4 3 9 5 d - 9 0 9 5 - 4 6 a 0 - 8 8 9 a - b 8 b a 6 3 9 d c c 2 3 "   x m l n s = " h t t p : / / s c h e m a s . m i c r o s o f t . c o m / D a t a M a s h u p " > A A A A A B Q D A A B Q S w M E F A A C A A g A d o B R V N U Y F b m k A A A A 9 g A A A B I A H A B D b 2 5 m a W c v U G F j a 2 F n Z S 5 4 b W w g o h g A K K A U A A A A A A A A A A A A A A A A A A A A A A A A A A A A h Y 9 B D o I w F E S v Q r q n L W i M I Z + S 6 F Y S o 4 l x 2 5 R a G q E Q W i x 3 c + G R v I I Y R d 2 5 n D d v M X O / 3 i A b 6 i q 4 y M 7 q x q Q o w h Q F 0 o i m 0 E a l q H e n c I k y B l s u z l z J Y J S N T Q Z b p K h 0 r k 0 I 8 d 5 j P 8 N N p 0 h M a U S O + W Y v S l l z 9 J H 1 f z n U x j p u h E Q M D q 8 x L M Y R p X g x H z c B m S D k 2 n y F e O y e 7 Q + E d V + 5 v p O s d e F q B 2 S K Q N 4 f 2 A N Q S w M E F A A C A A g A d o B R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a A U V Q o i k e 4 D g A A A B E A A A A T A B w A R m 9 y b X V s Y X M v U 2 V j d G l v b j E u b S C i G A A o o B Q A A A A A A A A A A A A A A A A A A A A A A A A A A A A r T k 0 u y c z P U w i G 0 I b W A F B L A Q I t A B Q A A g A I A H a A U V T V G B W 5 p A A A A P Y A A A A S A A A A A A A A A A A A A A A A A A A A A A B D b 2 5 m a W c v U G F j a 2 F n Z S 5 4 b W x Q S w E C L Q A U A A I A C A B 2 g F F U D 8 r p q 6 Q A A A D p A A A A E w A A A A A A A A A A A A A A A A D w A A A A W 0 N v b n R l b n R f V H l w Z X N d L n h t b F B L A Q I t A B Q A A g A I A H a A U V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v B Z 5 o T v G 6 R a 9 U T M 6 h y z h E A A A A A A I A A A A A A B B m A A A A A Q A A I A A A A G Q L X e g m d d K K Z M n W V 2 f E 7 / 4 A C r O e v 8 S G i u T 7 K w T y s 8 t O A A A A A A 6 A A A A A A g A A I A A A A A 1 6 8 c / m E K f c a u T W J V / T e O x W D 7 w 6 O q R Z J o V M u R s G A O T 1 U A A A A C 7 T z g K Q w P y f H K z x g 6 x G O O G w P q N b W K N 4 n F G k t O k + v O 1 a G s / c R C d M u E e Y 0 t e h 0 I R e Z U r 5 l 0 D O i T h p 7 D Q p M w M d B 0 W e M Q O p c X S T k 6 6 2 B a t d 4 V V w Q A A A A H Z P w I C / c r H U s V b S H x B e 7 3 P r 5 o v B Y B h v T 8 M L y j 8 b c 2 B R 8 A k y v / 2 Z n p w M z P k 1 + V m p H 1 b S S i / 2 J 7 U x 6 1 X 6 9 s v t m o Y = < / D a t a M a s h u p > 
</file>

<file path=customXml/itemProps1.xml><?xml version="1.0" encoding="utf-8"?>
<ds:datastoreItem xmlns:ds="http://schemas.openxmlformats.org/officeDocument/2006/customXml" ds:itemID="{42E763E3-F753-4FC0-9350-7FC3C2DB01A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1</vt:i4>
      </vt:variant>
    </vt:vector>
  </HeadingPairs>
  <TitlesOfParts>
    <vt:vector size="8" baseType="lpstr">
      <vt:lpstr>INSTRUÇÕES</vt:lpstr>
      <vt:lpstr>FII</vt:lpstr>
      <vt:lpstr>VALUATION TIJOLO</vt:lpstr>
      <vt:lpstr>VALUATION PAPEL</vt:lpstr>
      <vt:lpstr>STATUS INVEST FII</vt:lpstr>
      <vt:lpstr>ATIVOS-GESTÃO</vt:lpstr>
      <vt:lpstr>DATA-COM</vt:lpstr>
      <vt:lpstr>FII!Area_de_impressao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eduardo_mira eduardo_mira</dc:creator>
  <cp:lastModifiedBy>User</cp:lastModifiedBy>
  <cp:lastPrinted>2022-01-04T19:16:42Z</cp:lastPrinted>
  <dcterms:created xsi:type="dcterms:W3CDTF">2020-10-02T13:35:45Z</dcterms:created>
  <dcterms:modified xsi:type="dcterms:W3CDTF">2022-02-17T19:04:07Z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1325682707</vt:lpwstr>
  </property>
  <property fmtid="{D5CDD505-2E9C-101B-9397-08002B2CF9AE}" pid="3" name="EcoUpdateMessage">
    <vt:lpwstr>2022/01/03-13:11:47</vt:lpwstr>
  </property>
  <property fmtid="{D5CDD505-2E9C-101B-9397-08002B2CF9AE}" pid="4" name="EcoUpdateStatus">
    <vt:lpwstr>2021-12-30=BRA:St,ME;USA:TP;ARG:St,ME,TP;CHL:St,ME;COL:St,ME,Fd;PER:TP|2021-12-31=BRA:Fd,TP;USA:St,ME;MEX:St,ME,Fd,TP;PER:St,ME,Fd|2021-12-29=ARG:Fd;CHL:Fd|2021-11-17=CHL:TP|2014-02-26=VEN:St|2002-11-08=JPN:St|2021-09-08=GBR:St,ME|2016-08-18=NNN:St|2007-0</vt:lpwstr>
  </property>
</Properties>
</file>