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filterPrivacy="1" defaultThemeVersion="124226"/>
  <xr:revisionPtr revIDLastSave="0" documentId="13_ncr:1_{52EFE25F-4E95-4370-9930-954775C7828D}" xr6:coauthVersionLast="47" xr6:coauthVersionMax="47" xr10:uidLastSave="{00000000-0000-0000-0000-000000000000}"/>
  <bookViews>
    <workbookView xWindow="-108" yWindow="-108" windowWidth="23256" windowHeight="12456" tabRatio="860" xr2:uid="{00000000-000D-0000-FFFF-FFFF00000000}"/>
  </bookViews>
  <sheets>
    <sheet name="VIABILIDADE" sheetId="26" r:id="rId1"/>
    <sheet name="Referências atualizadas" sheetId="34" r:id="rId2"/>
    <sheet name="Planilhamento Básico" sheetId="35" r:id="rId3"/>
    <sheet name="Fundação" sheetId="11" r:id="rId4"/>
    <sheet name="Arrimos" sheetId="23" r:id="rId5"/>
    <sheet name="Estrutura" sheetId="12" r:id="rId6"/>
    <sheet name="Alvenaria" sheetId="13" r:id="rId7"/>
    <sheet name="Rev. Argamassados" sheetId="15" r:id="rId8"/>
    <sheet name="Impermeabilizações" sheetId="17" r:id="rId9"/>
    <sheet name="Acabamentos" sheetId="36" r:id="rId10"/>
    <sheet name="Esquadrias" sheetId="19" r:id="rId11"/>
    <sheet name="Louças e metais" sheetId="22" r:id="rId12"/>
    <sheet name="Forros" sheetId="20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26" l="1"/>
  <c r="E49" i="26"/>
  <c r="E95" i="26"/>
  <c r="I37" i="20" l="1"/>
  <c r="I34" i="20"/>
  <c r="I30" i="20"/>
  <c r="H30" i="20"/>
  <c r="I29" i="20"/>
  <c r="H29" i="20"/>
  <c r="I28" i="20"/>
  <c r="H28" i="20"/>
  <c r="I27" i="20"/>
  <c r="H27" i="20"/>
  <c r="I26" i="20"/>
  <c r="G26" i="20"/>
  <c r="H26" i="20" s="1"/>
  <c r="I25" i="20"/>
  <c r="H25" i="20"/>
  <c r="I24" i="20"/>
  <c r="H24" i="20"/>
  <c r="I23" i="20"/>
  <c r="G23" i="20"/>
  <c r="H23" i="20" s="1"/>
  <c r="I22" i="20"/>
  <c r="H22" i="20"/>
  <c r="I21" i="20"/>
  <c r="H21" i="20"/>
  <c r="I20" i="20"/>
  <c r="G20" i="20"/>
  <c r="H20" i="20" s="1"/>
  <c r="I19" i="20"/>
  <c r="G19" i="20"/>
  <c r="H19" i="20" s="1"/>
  <c r="I18" i="20"/>
  <c r="H18" i="20"/>
  <c r="I17" i="20"/>
  <c r="H17" i="20"/>
  <c r="I16" i="20"/>
  <c r="H16" i="20"/>
  <c r="I15" i="20"/>
  <c r="H15" i="20"/>
  <c r="I14" i="20"/>
  <c r="H14" i="20"/>
  <c r="I13" i="20"/>
  <c r="H13" i="20"/>
  <c r="I12" i="20"/>
  <c r="H12" i="20"/>
  <c r="I11" i="20"/>
  <c r="H11" i="20"/>
  <c r="I10" i="20"/>
  <c r="H10" i="20"/>
  <c r="I9" i="20"/>
  <c r="H9" i="20"/>
  <c r="I8" i="20"/>
  <c r="H8" i="20"/>
  <c r="I7" i="20"/>
  <c r="H7" i="20"/>
  <c r="I6" i="20"/>
  <c r="H6" i="20"/>
  <c r="I5" i="20"/>
  <c r="G5" i="20"/>
  <c r="H5" i="20" s="1"/>
  <c r="B42" i="34"/>
  <c r="I31" i="20" l="1"/>
  <c r="I36" i="20" s="1"/>
  <c r="I33" i="20"/>
  <c r="H31" i="20"/>
  <c r="I39" i="20" l="1"/>
  <c r="I41" i="20" s="1"/>
  <c r="E91" i="26" s="1"/>
  <c r="H42" i="19" l="1"/>
  <c r="H41" i="19"/>
  <c r="H40" i="19"/>
  <c r="H39" i="19"/>
  <c r="E49" i="19"/>
  <c r="E50" i="19"/>
  <c r="E51" i="19"/>
  <c r="E52" i="19"/>
  <c r="E53" i="19"/>
  <c r="E54" i="19"/>
  <c r="E55" i="19"/>
  <c r="E56" i="19"/>
  <c r="E57" i="19"/>
  <c r="E58" i="19"/>
  <c r="E59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I47" i="36"/>
  <c r="I48" i="36" s="1"/>
  <c r="E65" i="26" s="1"/>
  <c r="I38" i="36"/>
  <c r="H38" i="36"/>
  <c r="H37" i="36"/>
  <c r="H36" i="36"/>
  <c r="H35" i="36"/>
  <c r="I34" i="36"/>
  <c r="H34" i="36"/>
  <c r="G33" i="36"/>
  <c r="H33" i="36" s="1"/>
  <c r="H32" i="36"/>
  <c r="I31" i="36"/>
  <c r="H31" i="36"/>
  <c r="G30" i="36"/>
  <c r="H30" i="36" s="1"/>
  <c r="I29" i="36"/>
  <c r="H29" i="36"/>
  <c r="H26" i="36"/>
  <c r="G25" i="36"/>
  <c r="H25" i="36" s="1"/>
  <c r="G24" i="36"/>
  <c r="H24" i="36" s="1"/>
  <c r="H23" i="36"/>
  <c r="H22" i="36"/>
  <c r="I21" i="36"/>
  <c r="H21" i="36"/>
  <c r="I20" i="36"/>
  <c r="H20" i="36"/>
  <c r="H19" i="36"/>
  <c r="H18" i="36"/>
  <c r="H17" i="36"/>
  <c r="H16" i="36"/>
  <c r="H15" i="36"/>
  <c r="H14" i="36"/>
  <c r="I13" i="36"/>
  <c r="H13" i="36"/>
  <c r="I12" i="36"/>
  <c r="H12" i="36"/>
  <c r="H11" i="36"/>
  <c r="I10" i="36"/>
  <c r="H10" i="36"/>
  <c r="H9" i="36"/>
  <c r="I8" i="36"/>
  <c r="I39" i="36" s="1"/>
  <c r="H8" i="36"/>
  <c r="H7" i="36"/>
  <c r="H6" i="36"/>
  <c r="G5" i="36"/>
  <c r="H5" i="36" s="1"/>
  <c r="I37" i="35"/>
  <c r="H37" i="35"/>
  <c r="I22" i="17"/>
  <c r="J29" i="17"/>
  <c r="J30" i="17"/>
  <c r="J28" i="17"/>
  <c r="H30" i="17"/>
  <c r="H29" i="17"/>
  <c r="H28" i="17"/>
  <c r="I24" i="17"/>
  <c r="I20" i="17"/>
  <c r="H20" i="17"/>
  <c r="I19" i="17"/>
  <c r="H19" i="17"/>
  <c r="I18" i="17"/>
  <c r="H18" i="17"/>
  <c r="I17" i="17"/>
  <c r="H17" i="17"/>
  <c r="I16" i="17"/>
  <c r="H16" i="17"/>
  <c r="I13" i="17"/>
  <c r="H13" i="17"/>
  <c r="I12" i="17"/>
  <c r="H12" i="17"/>
  <c r="I11" i="17"/>
  <c r="H11" i="17"/>
  <c r="I10" i="17"/>
  <c r="H10" i="17"/>
  <c r="I9" i="17"/>
  <c r="H9" i="17"/>
  <c r="I8" i="17"/>
  <c r="H8" i="17"/>
  <c r="I7" i="17"/>
  <c r="H7" i="17"/>
  <c r="I6" i="17"/>
  <c r="H6" i="17"/>
  <c r="I5" i="17"/>
  <c r="H5" i="17"/>
  <c r="E17" i="15"/>
  <c r="D16" i="15"/>
  <c r="D15" i="15"/>
  <c r="I38" i="35"/>
  <c r="H38" i="35"/>
  <c r="I36" i="35"/>
  <c r="H36" i="35"/>
  <c r="I35" i="35"/>
  <c r="H35" i="35"/>
  <c r="I34" i="35"/>
  <c r="H34" i="35"/>
  <c r="I33" i="35"/>
  <c r="G33" i="35"/>
  <c r="H33" i="35" s="1"/>
  <c r="I32" i="35"/>
  <c r="H32" i="35"/>
  <c r="I31" i="35"/>
  <c r="H31" i="35"/>
  <c r="I30" i="35"/>
  <c r="G30" i="35"/>
  <c r="H30" i="35" s="1"/>
  <c r="I29" i="35"/>
  <c r="H29" i="35"/>
  <c r="I26" i="35"/>
  <c r="H26" i="35"/>
  <c r="I25" i="35"/>
  <c r="G25" i="35"/>
  <c r="H25" i="35" s="1"/>
  <c r="I24" i="35"/>
  <c r="G24" i="35"/>
  <c r="H24" i="35" s="1"/>
  <c r="I23" i="35"/>
  <c r="H23" i="35"/>
  <c r="I22" i="35"/>
  <c r="H22" i="35"/>
  <c r="I21" i="35"/>
  <c r="H21" i="35"/>
  <c r="I20" i="35"/>
  <c r="H20" i="35"/>
  <c r="I19" i="35"/>
  <c r="H19" i="35"/>
  <c r="I18" i="35"/>
  <c r="H18" i="35"/>
  <c r="I17" i="35"/>
  <c r="H17" i="35"/>
  <c r="I16" i="35"/>
  <c r="H16" i="35"/>
  <c r="I15" i="35"/>
  <c r="H15" i="35"/>
  <c r="I14" i="35"/>
  <c r="H14" i="35"/>
  <c r="I13" i="35"/>
  <c r="H13" i="35"/>
  <c r="I12" i="35"/>
  <c r="H12" i="35"/>
  <c r="I11" i="35"/>
  <c r="H11" i="35"/>
  <c r="I10" i="35"/>
  <c r="H10" i="35"/>
  <c r="I9" i="35"/>
  <c r="H9" i="35"/>
  <c r="I8" i="35"/>
  <c r="H8" i="35"/>
  <c r="I7" i="35"/>
  <c r="H7" i="35"/>
  <c r="I6" i="35"/>
  <c r="H6" i="35"/>
  <c r="I5" i="35"/>
  <c r="H5" i="35"/>
  <c r="G5" i="35"/>
  <c r="K30" i="17" l="1"/>
  <c r="K37" i="17" s="1"/>
  <c r="E73" i="26" s="1"/>
  <c r="E60" i="19"/>
  <c r="E79" i="26" s="1"/>
  <c r="K29" i="17"/>
  <c r="K28" i="17"/>
  <c r="H39" i="36"/>
  <c r="I41" i="36" s="1"/>
  <c r="H39" i="35"/>
  <c r="B11" i="15" s="1"/>
  <c r="D11" i="15" s="1"/>
  <c r="F11" i="15" s="1"/>
  <c r="I39" i="35"/>
  <c r="K32" i="17" l="1"/>
  <c r="K34" i="17" s="1"/>
  <c r="E60" i="26" s="1"/>
  <c r="I46" i="36"/>
  <c r="I44" i="36"/>
  <c r="E62" i="26" s="1"/>
  <c r="C92" i="13" l="1"/>
  <c r="C85" i="13"/>
  <c r="C84" i="13"/>
  <c r="C83" i="13"/>
  <c r="C82" i="13"/>
  <c r="C81" i="13"/>
  <c r="D75" i="13"/>
  <c r="B75" i="13"/>
  <c r="B69" i="13"/>
  <c r="B68" i="13"/>
  <c r="D69" i="13"/>
  <c r="D68" i="13"/>
  <c r="D67" i="13"/>
  <c r="D66" i="13"/>
  <c r="D65" i="13"/>
  <c r="B67" i="13"/>
  <c r="B66" i="13"/>
  <c r="B65" i="13"/>
  <c r="D55" i="13"/>
  <c r="D59" i="13"/>
  <c r="D58" i="13"/>
  <c r="D57" i="13"/>
  <c r="D56" i="13"/>
  <c r="F35" i="13"/>
  <c r="F34" i="13"/>
  <c r="F33" i="13"/>
  <c r="F32" i="13"/>
  <c r="F43" i="13"/>
  <c r="F42" i="13"/>
  <c r="F41" i="13"/>
  <c r="F40" i="13"/>
  <c r="C7" i="12"/>
  <c r="C75" i="13" l="1"/>
  <c r="E75" i="13" s="1"/>
  <c r="E76" i="13" s="1"/>
  <c r="B100" i="13" s="1"/>
  <c r="C31" i="12"/>
  <c r="F31" i="12" s="1"/>
  <c r="F32" i="12"/>
  <c r="C30" i="12"/>
  <c r="F30" i="12" s="1"/>
  <c r="E25" i="12"/>
  <c r="F25" i="12" s="1"/>
  <c r="E24" i="12"/>
  <c r="F24" i="12" s="1"/>
  <c r="E23" i="12"/>
  <c r="F23" i="12" s="1"/>
  <c r="E22" i="12"/>
  <c r="F22" i="12" s="1"/>
  <c r="E16" i="12"/>
  <c r="E15" i="12"/>
  <c r="F15" i="12" s="1"/>
  <c r="E14" i="12"/>
  <c r="F14" i="12" s="1"/>
  <c r="E13" i="12"/>
  <c r="F13" i="12" s="1"/>
  <c r="E12" i="12"/>
  <c r="F12" i="12" s="1"/>
  <c r="E7" i="12"/>
  <c r="E6" i="12"/>
  <c r="D19" i="11"/>
  <c r="E19" i="11" s="1"/>
  <c r="D18" i="11"/>
  <c r="E18" i="11" s="1"/>
  <c r="D17" i="11"/>
  <c r="E17" i="11" s="1"/>
  <c r="D16" i="11"/>
  <c r="E16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7" i="11"/>
  <c r="E7" i="11" s="1"/>
  <c r="E22" i="11"/>
  <c r="E21" i="11"/>
  <c r="E30" i="23"/>
  <c r="E26" i="23"/>
  <c r="E24" i="23"/>
  <c r="E23" i="23"/>
  <c r="D19" i="23"/>
  <c r="D18" i="23"/>
  <c r="D17" i="23"/>
  <c r="D16" i="23"/>
  <c r="E16" i="23" s="1"/>
  <c r="D15" i="23"/>
  <c r="D14" i="23"/>
  <c r="E14" i="23" s="1"/>
  <c r="B14" i="23"/>
  <c r="B17" i="23"/>
  <c r="B16" i="23"/>
  <c r="D7" i="23"/>
  <c r="E17" i="23" l="1"/>
  <c r="F33" i="12"/>
  <c r="E44" i="26" s="1"/>
  <c r="F26" i="12"/>
  <c r="E43" i="26" s="1"/>
  <c r="F7" i="12"/>
  <c r="C16" i="12"/>
  <c r="F16" i="12" s="1"/>
  <c r="G18" i="19" l="1"/>
  <c r="I18" i="19" s="1"/>
  <c r="G17" i="19"/>
  <c r="I17" i="19" s="1"/>
  <c r="G8" i="19"/>
  <c r="I8" i="19" s="1"/>
  <c r="G7" i="19"/>
  <c r="I7" i="19" s="1"/>
  <c r="G6" i="19"/>
  <c r="I6" i="19" s="1"/>
  <c r="G5" i="19"/>
  <c r="I5" i="19" s="1"/>
  <c r="G12" i="19"/>
  <c r="I12" i="19" s="1"/>
  <c r="G11" i="19"/>
  <c r="I11" i="19" s="1"/>
  <c r="G10" i="19"/>
  <c r="I10" i="19" s="1"/>
  <c r="G9" i="19"/>
  <c r="I9" i="19" s="1"/>
  <c r="G16" i="19"/>
  <c r="I16" i="19" s="1"/>
  <c r="G15" i="19"/>
  <c r="I15" i="19" s="1"/>
  <c r="G14" i="19"/>
  <c r="I14" i="19" s="1"/>
  <c r="G13" i="19"/>
  <c r="I13" i="19" s="1"/>
  <c r="G31" i="19"/>
  <c r="I31" i="19" s="1"/>
  <c r="G29" i="19"/>
  <c r="I29" i="19" s="1"/>
  <c r="E11" i="22" l="1"/>
  <c r="E10" i="22"/>
  <c r="E9" i="22"/>
  <c r="E8" i="22"/>
  <c r="E7" i="22"/>
  <c r="E42" i="19" l="1"/>
  <c r="E40" i="19"/>
  <c r="G39" i="19" l="1"/>
  <c r="I39" i="19" s="1"/>
  <c r="G42" i="19"/>
  <c r="I42" i="19" s="1"/>
  <c r="G41" i="19"/>
  <c r="I41" i="19" s="1"/>
  <c r="G40" i="19"/>
  <c r="I40" i="19" s="1"/>
  <c r="F6" i="12"/>
  <c r="B15" i="23"/>
  <c r="E15" i="23" s="1"/>
  <c r="B18" i="23"/>
  <c r="E18" i="23" s="1"/>
  <c r="I43" i="19" l="1"/>
  <c r="E76" i="26" s="1"/>
  <c r="B19" i="23" l="1"/>
  <c r="E19" i="23" s="1"/>
  <c r="B8" i="23"/>
  <c r="D8" i="23" s="1"/>
  <c r="B6" i="23"/>
  <c r="D6" i="23" s="1"/>
  <c r="D9" i="23" l="1"/>
  <c r="B27" i="23"/>
  <c r="E27" i="23" s="1"/>
  <c r="B21" i="23" l="1"/>
  <c r="E21" i="23" s="1"/>
  <c r="B10" i="15"/>
  <c r="D10" i="15" s="1"/>
  <c r="F10" i="15" s="1"/>
  <c r="B22" i="23"/>
  <c r="E22" i="23" s="1"/>
  <c r="B28" i="23"/>
  <c r="E28" i="23" s="1"/>
  <c r="E38" i="23"/>
  <c r="E39" i="26" s="1"/>
  <c r="E17" i="22"/>
  <c r="E16" i="22"/>
  <c r="E15" i="22"/>
  <c r="E14" i="22"/>
  <c r="E13" i="22"/>
  <c r="E12" i="22"/>
  <c r="E6" i="22"/>
  <c r="E5" i="22"/>
  <c r="E18" i="22" l="1"/>
  <c r="G30" i="19"/>
  <c r="I30" i="19" s="1"/>
  <c r="G28" i="19"/>
  <c r="I28" i="19" s="1"/>
  <c r="G27" i="19"/>
  <c r="I27" i="19" s="1"/>
  <c r="G26" i="19"/>
  <c r="I26" i="19" s="1"/>
  <c r="G25" i="19"/>
  <c r="I25" i="19" s="1"/>
  <c r="G24" i="19"/>
  <c r="I24" i="19" s="1"/>
  <c r="G23" i="19"/>
  <c r="I23" i="19" s="1"/>
  <c r="G22" i="19"/>
  <c r="I22" i="19" s="1"/>
  <c r="G21" i="19"/>
  <c r="I21" i="19" s="1"/>
  <c r="G20" i="19"/>
  <c r="I20" i="19" s="1"/>
  <c r="G19" i="19"/>
  <c r="G32" i="19"/>
  <c r="I32" i="19" s="1"/>
  <c r="E87" i="26" l="1"/>
  <c r="I19" i="19"/>
  <c r="I33" i="19" s="1"/>
  <c r="E75" i="26" s="1"/>
  <c r="F6" i="13" l="1"/>
  <c r="D5" i="13" l="1"/>
  <c r="F5" i="13" s="1"/>
  <c r="B55" i="13" l="1"/>
  <c r="C65" i="13" s="1"/>
  <c r="F16" i="13"/>
  <c r="F47" i="13"/>
  <c r="F46" i="13"/>
  <c r="F45" i="13"/>
  <c r="F44" i="13"/>
  <c r="B58" i="13" s="1"/>
  <c r="F39" i="13"/>
  <c r="F38" i="13"/>
  <c r="F11" i="13"/>
  <c r="F10" i="13"/>
  <c r="F37" i="13"/>
  <c r="F36" i="13"/>
  <c r="F15" i="13"/>
  <c r="F31" i="13"/>
  <c r="F14" i="13"/>
  <c r="F13" i="13"/>
  <c r="F29" i="13"/>
  <c r="F25" i="13"/>
  <c r="F24" i="13"/>
  <c r="F23" i="13"/>
  <c r="F22" i="13"/>
  <c r="F9" i="13"/>
  <c r="F8" i="13"/>
  <c r="F21" i="13"/>
  <c r="F20" i="13"/>
  <c r="D12" i="13"/>
  <c r="F12" i="13" s="1"/>
  <c r="D30" i="13"/>
  <c r="F30" i="13" s="1"/>
  <c r="D19" i="13"/>
  <c r="F19" i="13" s="1"/>
  <c r="D18" i="13"/>
  <c r="F18" i="13" s="1"/>
  <c r="D28" i="13"/>
  <c r="F28" i="13" s="1"/>
  <c r="D27" i="13"/>
  <c r="F27" i="13" s="1"/>
  <c r="D26" i="13"/>
  <c r="F26" i="13" s="1"/>
  <c r="D17" i="13"/>
  <c r="F17" i="13" s="1"/>
  <c r="D7" i="13"/>
  <c r="F7" i="13" s="1"/>
  <c r="B56" i="13" s="1"/>
  <c r="C58" i="13" l="1"/>
  <c r="B8" i="15"/>
  <c r="D8" i="15" s="1"/>
  <c r="F8" i="15" s="1"/>
  <c r="C56" i="13"/>
  <c r="B6" i="15"/>
  <c r="D6" i="15" s="1"/>
  <c r="F6" i="15" s="1"/>
  <c r="B57" i="13"/>
  <c r="C67" i="13" s="1"/>
  <c r="F48" i="13"/>
  <c r="C55" i="13"/>
  <c r="E55" i="13" s="1"/>
  <c r="B5" i="15"/>
  <c r="D5" i="15" s="1"/>
  <c r="F5" i="15" s="1"/>
  <c r="E65" i="13"/>
  <c r="B81" i="13"/>
  <c r="D81" i="13" s="1"/>
  <c r="B92" i="13"/>
  <c r="D92" i="13" s="1"/>
  <c r="D93" i="13" s="1"/>
  <c r="B102" i="13" s="1"/>
  <c r="E56" i="13"/>
  <c r="C66" i="13"/>
  <c r="E58" i="13"/>
  <c r="C68" i="13"/>
  <c r="B59" i="13"/>
  <c r="E23" i="11"/>
  <c r="C59" i="13" l="1"/>
  <c r="B9" i="15"/>
  <c r="D9" i="15" s="1"/>
  <c r="F9" i="15" s="1"/>
  <c r="C57" i="13"/>
  <c r="E57" i="13" s="1"/>
  <c r="B7" i="15"/>
  <c r="D7" i="15" s="1"/>
  <c r="F7" i="15" s="1"/>
  <c r="B15" i="15" s="1"/>
  <c r="B60" i="13"/>
  <c r="E67" i="13"/>
  <c r="B83" i="13"/>
  <c r="D83" i="13" s="1"/>
  <c r="E68" i="13"/>
  <c r="B84" i="13"/>
  <c r="D84" i="13" s="1"/>
  <c r="E66" i="13"/>
  <c r="B82" i="13"/>
  <c r="D82" i="13" s="1"/>
  <c r="E59" i="13"/>
  <c r="E60" i="13" s="1"/>
  <c r="C69" i="13"/>
  <c r="E37" i="26"/>
  <c r="F8" i="12"/>
  <c r="B16" i="15" l="1"/>
  <c r="E15" i="15"/>
  <c r="E69" i="13"/>
  <c r="E70" i="13" s="1"/>
  <c r="B99" i="13" s="1"/>
  <c r="B85" i="13"/>
  <c r="D85" i="13" s="1"/>
  <c r="D86" i="13" s="1"/>
  <c r="B101" i="13" s="1"/>
  <c r="F17" i="12"/>
  <c r="E42" i="26" s="1"/>
  <c r="E41" i="26"/>
  <c r="E46" i="26" l="1"/>
  <c r="E16" i="15"/>
  <c r="E18" i="15" s="1"/>
  <c r="E19" i="15" l="1"/>
  <c r="E20" i="15" s="1"/>
  <c r="E48" i="26" s="1"/>
  <c r="B98" i="13" l="1"/>
  <c r="B103" i="13" l="1"/>
  <c r="B104" i="13" s="1"/>
  <c r="E47" i="26" s="1"/>
  <c r="E152" i="26" s="1"/>
</calcChain>
</file>

<file path=xl/sharedStrings.xml><?xml version="1.0" encoding="utf-8"?>
<sst xmlns="http://schemas.openxmlformats.org/spreadsheetml/2006/main" count="1277" uniqueCount="686">
  <si>
    <t>Ferramentas</t>
  </si>
  <si>
    <t>3.1</t>
  </si>
  <si>
    <t>3.2</t>
  </si>
  <si>
    <t>3.3</t>
  </si>
  <si>
    <t>Conta de água</t>
  </si>
  <si>
    <t>Conta de luz</t>
  </si>
  <si>
    <t>Barracão de obras, tapume, higiene e canteiro</t>
  </si>
  <si>
    <t>3.4</t>
  </si>
  <si>
    <t>3.5</t>
  </si>
  <si>
    <t>Marcação de obra, gabarito, topografia</t>
  </si>
  <si>
    <t>Terraplenagem e bota-fora de terra</t>
  </si>
  <si>
    <t>4.1</t>
  </si>
  <si>
    <t>4.2</t>
  </si>
  <si>
    <t>Concreto</t>
  </si>
  <si>
    <t>Aço</t>
  </si>
  <si>
    <t>Escoramento</t>
  </si>
  <si>
    <t>Madeiras</t>
  </si>
  <si>
    <t>Outros</t>
  </si>
  <si>
    <t>Porcelanatos, cerâmicas, pastilhas</t>
  </si>
  <si>
    <t>Granitos e pedras naturais</t>
  </si>
  <si>
    <t>Ralo linear</t>
  </si>
  <si>
    <t>Argamassas</t>
  </si>
  <si>
    <t>Deck de madeira</t>
  </si>
  <si>
    <t>Rejunte</t>
  </si>
  <si>
    <t>Acabamento pingadeira</t>
  </si>
  <si>
    <t>Calhas e rufos</t>
  </si>
  <si>
    <t>Contrato principal de esquadrias</t>
  </si>
  <si>
    <t>Guarda corpos</t>
  </si>
  <si>
    <t>Pergolado</t>
  </si>
  <si>
    <t>Portas de madeira</t>
  </si>
  <si>
    <t>Serralheria: portões, grelhas, escadas</t>
  </si>
  <si>
    <t>Contrato principal de marmoraria</t>
  </si>
  <si>
    <t>Louças e metais</t>
  </si>
  <si>
    <t>Forro de gesso</t>
  </si>
  <si>
    <t>Forro lambri</t>
  </si>
  <si>
    <t>PINTURA INTERNA E EXTERNA</t>
  </si>
  <si>
    <t>Textura de fachada</t>
  </si>
  <si>
    <t>Automação: fase de obra</t>
  </si>
  <si>
    <t>Automação: equipamentos</t>
  </si>
  <si>
    <t>Equipamentos piscina, sauna e lazer</t>
  </si>
  <si>
    <t>Aquecimento solar</t>
  </si>
  <si>
    <t>Energia fotovoltaica</t>
  </si>
  <si>
    <t>Ar condicionado: fase de obra</t>
  </si>
  <si>
    <t>Ar condicionado: equipamentos</t>
  </si>
  <si>
    <t>Instalações de gás GLP</t>
  </si>
  <si>
    <t>Biometria</t>
  </si>
  <si>
    <t>Cortinas e toldos motorizados</t>
  </si>
  <si>
    <t>Box de banheiros</t>
  </si>
  <si>
    <t>Engenharia e gerenciamento</t>
  </si>
  <si>
    <t>Pintura de portas</t>
  </si>
  <si>
    <t>Salários</t>
  </si>
  <si>
    <t>Rescisões</t>
  </si>
  <si>
    <t>Transporte</t>
  </si>
  <si>
    <t>Cesta básica</t>
  </si>
  <si>
    <t>Café da manhã</t>
  </si>
  <si>
    <t>Guia de previdência</t>
  </si>
  <si>
    <t>FGTS</t>
  </si>
  <si>
    <t>Seguro de vida</t>
  </si>
  <si>
    <t>Exames médicos</t>
  </si>
  <si>
    <t>m² construída:</t>
  </si>
  <si>
    <t>m² projeção:</t>
  </si>
  <si>
    <t>Custo por m²:</t>
  </si>
  <si>
    <t>Custo total:</t>
  </si>
  <si>
    <t>6.1</t>
  </si>
  <si>
    <t>6.2</t>
  </si>
  <si>
    <t>6.3</t>
  </si>
  <si>
    <t>6.4</t>
  </si>
  <si>
    <t>6.5</t>
  </si>
  <si>
    <t>13.1</t>
  </si>
  <si>
    <t>13.2</t>
  </si>
  <si>
    <t>13.3</t>
  </si>
  <si>
    <t>13.4</t>
  </si>
  <si>
    <t>13.5</t>
  </si>
  <si>
    <t>13.6</t>
  </si>
  <si>
    <t>13.7</t>
  </si>
  <si>
    <t>14.1</t>
  </si>
  <si>
    <t>14.2</t>
  </si>
  <si>
    <t>14.4</t>
  </si>
  <si>
    <t>14.5</t>
  </si>
  <si>
    <t>15.1</t>
  </si>
  <si>
    <t>15.2</t>
  </si>
  <si>
    <t>15.3</t>
  </si>
  <si>
    <t>15.4</t>
  </si>
  <si>
    <t>15.5</t>
  </si>
  <si>
    <t>15.6</t>
  </si>
  <si>
    <t>16.1</t>
  </si>
  <si>
    <t>16.2</t>
  </si>
  <si>
    <t>17.1</t>
  </si>
  <si>
    <t>17.2</t>
  </si>
  <si>
    <t>17.3</t>
  </si>
  <si>
    <t>18.1</t>
  </si>
  <si>
    <t>18.2</t>
  </si>
  <si>
    <t>18.3</t>
  </si>
  <si>
    <t>19.1</t>
  </si>
  <si>
    <t>19.2</t>
  </si>
  <si>
    <t>19.3</t>
  </si>
  <si>
    <t>19.4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</si>
  <si>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</si>
  <si>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</si>
  <si>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</si>
  <si>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</si>
  <si>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</si>
  <si>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</si>
  <si>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</si>
  <si>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</si>
  <si>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</si>
  <si>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</si>
  <si>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</si>
  <si>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1 . PROJETOS</t>
  </si>
  <si>
    <t>2 . TAXAS</t>
  </si>
  <si>
    <t>3 . CANTEIRO E DESPESAS GERAIS</t>
  </si>
  <si>
    <t>4 . SERVIÇOS PRELIMINARES</t>
  </si>
  <si>
    <t>5 . FUNDAÇÃO</t>
  </si>
  <si>
    <t>6.6</t>
  </si>
  <si>
    <t>Lajes pré-fabricadas</t>
  </si>
  <si>
    <t>6 . ARRIMOS E CONTENÇÕES</t>
  </si>
  <si>
    <t>7 . ESTRUTURA</t>
  </si>
  <si>
    <t>8 . ALVENARIA E FECHAMENTOS</t>
  </si>
  <si>
    <t>9 . REVESTIMENTOS ARGAMASSADOS</t>
  </si>
  <si>
    <t>10 . INSTALAÇÕES ELÉTRICAS</t>
  </si>
  <si>
    <t>11 . INSTALAÇÕES HIDRÁULICAS</t>
  </si>
  <si>
    <t>12 . INSTALAÇÕES ESPECIAIS</t>
  </si>
  <si>
    <t>13 . IMPERMEABILIZAÇÕES</t>
  </si>
  <si>
    <t>14 . ACABAMENTOS</t>
  </si>
  <si>
    <t>15 . COBERTURA</t>
  </si>
  <si>
    <t>16 . ESQUADRIAS</t>
  </si>
  <si>
    <t>17 . DECORAÇÃO E LUMINOTÉCNICA</t>
  </si>
  <si>
    <t>18 . BANCADAS, LOUÇAS E METAIS</t>
  </si>
  <si>
    <t>19 . FORROS</t>
  </si>
  <si>
    <t>20 . PINTURA INTERNA E EXTERNA</t>
  </si>
  <si>
    <t>21 . PAVIMENTAÇÕES E ÁREA VERDE</t>
  </si>
  <si>
    <t>22 . FINALIZAÇÃO</t>
  </si>
  <si>
    <t>12.1</t>
  </si>
  <si>
    <t>12.2</t>
  </si>
  <si>
    <t>12.3</t>
  </si>
  <si>
    <t>12.4</t>
  </si>
  <si>
    <t>12.5</t>
  </si>
  <si>
    <t>CFTV</t>
  </si>
  <si>
    <t>Pára-raio e SPDA</t>
  </si>
  <si>
    <t>Madeiramento e telhas</t>
  </si>
  <si>
    <t>Impermeabilização de laje</t>
  </si>
  <si>
    <t>21.1</t>
  </si>
  <si>
    <t>21.2</t>
  </si>
  <si>
    <t>21.3</t>
  </si>
  <si>
    <t>21.4</t>
  </si>
  <si>
    <t>Plantio de grama</t>
  </si>
  <si>
    <t>Paisagismo</t>
  </si>
  <si>
    <t>Passeio</t>
  </si>
  <si>
    <t>Pavimentações externas</t>
  </si>
  <si>
    <t>21.5</t>
  </si>
  <si>
    <t>23 . ADJACÊNCIAS E ÁREA DE LAZER</t>
  </si>
  <si>
    <t>24 . CONTRATOS ESPECIAIS</t>
  </si>
  <si>
    <t>25 . LOCAÇÃO DE EQUIPAMENTOS</t>
  </si>
  <si>
    <t>27 . MÃO DE OBRA PRÓPRIA</t>
  </si>
  <si>
    <t>Imposto de renda</t>
  </si>
  <si>
    <t>Férias</t>
  </si>
  <si>
    <t>25.12</t>
  </si>
  <si>
    <t>25.13</t>
  </si>
  <si>
    <t>m3</t>
  </si>
  <si>
    <t>kg</t>
  </si>
  <si>
    <t>Total</t>
  </si>
  <si>
    <t>m2</t>
  </si>
  <si>
    <t>Areia</t>
  </si>
  <si>
    <t>Referência</t>
  </si>
  <si>
    <t>Unit</t>
  </si>
  <si>
    <t>Unid</t>
  </si>
  <si>
    <t>Qtde</t>
  </si>
  <si>
    <t>Obra Walfrido</t>
  </si>
  <si>
    <t>INCC mar/2021</t>
  </si>
  <si>
    <t>5.1</t>
  </si>
  <si>
    <t>5.2</t>
  </si>
  <si>
    <t>Fundação (estacas, blocos, baldrames)</t>
  </si>
  <si>
    <t>Bota fora de terra após fundação</t>
  </si>
  <si>
    <t>Repetições</t>
  </si>
  <si>
    <t>sc</t>
  </si>
  <si>
    <t>Concreto - estacas</t>
  </si>
  <si>
    <t>Concreto - vigas baldrame</t>
  </si>
  <si>
    <t>Concreto - laje radier</t>
  </si>
  <si>
    <t>Aço - estacas</t>
  </si>
  <si>
    <t>Aço - baldrames</t>
  </si>
  <si>
    <t>Aço - laje radier</t>
  </si>
  <si>
    <t>Aço - blocos e pescoço de pilares</t>
  </si>
  <si>
    <t>Sarrafeamento de superfície</t>
  </si>
  <si>
    <t>unid</t>
  </si>
  <si>
    <t>mL</t>
  </si>
  <si>
    <t>CÁLCULO DA ESTRUTURA</t>
  </si>
  <si>
    <t>QTDE</t>
  </si>
  <si>
    <t>UNID</t>
  </si>
  <si>
    <t>UNIT</t>
  </si>
  <si>
    <t>TOTAL</t>
  </si>
  <si>
    <t>Classe</t>
  </si>
  <si>
    <t>Lajes</t>
  </si>
  <si>
    <t>vb</t>
  </si>
  <si>
    <t>ALVENARIA E FECHAMENTOS</t>
  </si>
  <si>
    <t>Parede externa</t>
  </si>
  <si>
    <t xml:space="preserve">Compr. </t>
  </si>
  <si>
    <t>Altura</t>
  </si>
  <si>
    <t>Lateral esquerda</t>
  </si>
  <si>
    <t>Pav 1, frontal</t>
  </si>
  <si>
    <t>Pav 1, fundos</t>
  </si>
  <si>
    <t>Pav 1, lateral direita, parte fundos</t>
  </si>
  <si>
    <t>Pav 1, lateral direita, parte frente</t>
  </si>
  <si>
    <t>Tipo</t>
  </si>
  <si>
    <t>Localização</t>
  </si>
  <si>
    <t>Pav 1, lateral esquerda trecho frente</t>
  </si>
  <si>
    <t>Pav 1, lateral esquerda trecho fundos</t>
  </si>
  <si>
    <t>Pav 2, lateral esquerda</t>
  </si>
  <si>
    <t>Pav 2, lateral direita</t>
  </si>
  <si>
    <t>Pav 2, fundos</t>
  </si>
  <si>
    <t>Pav 2, paredes do escritório</t>
  </si>
  <si>
    <t>Caixa dágua, laterais maiores</t>
  </si>
  <si>
    <t>Caixa dágua, laterais menores</t>
  </si>
  <si>
    <t>Platibanda teto 1º pavimento</t>
  </si>
  <si>
    <t>Platibanda teto 2º pav, frente e fundos</t>
  </si>
  <si>
    <t>Platibanda teto 2º pav, laterais</t>
  </si>
  <si>
    <t>Pav 1</t>
  </si>
  <si>
    <t>Parede interna</t>
  </si>
  <si>
    <t>Pav 2</t>
  </si>
  <si>
    <t>QTDE de blocos / tijolos</t>
  </si>
  <si>
    <t>Bloco estrutural</t>
  </si>
  <si>
    <t>Andaimes</t>
  </si>
  <si>
    <t>Muros de divisa</t>
  </si>
  <si>
    <t>Fundos</t>
  </si>
  <si>
    <t>REVESTIMENTOS ARGAMASSADOS</t>
  </si>
  <si>
    <t>Contrapiso</t>
  </si>
  <si>
    <t>Ambiente</t>
  </si>
  <si>
    <t>Garagem</t>
  </si>
  <si>
    <t>Pavimento</t>
  </si>
  <si>
    <t>Cozinha</t>
  </si>
  <si>
    <t>Depósito</t>
  </si>
  <si>
    <t>Gourmet</t>
  </si>
  <si>
    <t>Insumo</t>
  </si>
  <si>
    <t>IMPERMEABILIZAÇÕES</t>
  </si>
  <si>
    <t>Piscina</t>
  </si>
  <si>
    <t>Item</t>
  </si>
  <si>
    <t>Descrição</t>
  </si>
  <si>
    <t>Compr.</t>
  </si>
  <si>
    <t>ESQUADRIAS DE ALUMÍNIO</t>
  </si>
  <si>
    <t>m²</t>
  </si>
  <si>
    <t>Valor m²</t>
  </si>
  <si>
    <t>FORROS</t>
  </si>
  <si>
    <t>LOUÇAS E METAIS</t>
  </si>
  <si>
    <t>Bojo inox cozinha</t>
  </si>
  <si>
    <t>Produto</t>
  </si>
  <si>
    <t>Bojo inox gourmet</t>
  </si>
  <si>
    <t>Torneira misturador para banhos</t>
  </si>
  <si>
    <t>Ligação flexível</t>
  </si>
  <si>
    <t>Registros água fria e quente</t>
  </si>
  <si>
    <t>Ducha higiênica</t>
  </si>
  <si>
    <t>Torneira de parede área de serviço</t>
  </si>
  <si>
    <t>Chuveiros</t>
  </si>
  <si>
    <t>Ducha área gourmet</t>
  </si>
  <si>
    <t>Vaso sanitário com caixa acoplada e anel vedação</t>
  </si>
  <si>
    <t>Infra para instalações de piscina, sauna, SPA</t>
  </si>
  <si>
    <t>ARRIMOS E CONTENÇÕES</t>
  </si>
  <si>
    <t>Arrimo na divisa esquerda</t>
  </si>
  <si>
    <t>Arrimo dos fundos</t>
  </si>
  <si>
    <t>m² arrimo</t>
  </si>
  <si>
    <t>Arrimo na lateral direita</t>
  </si>
  <si>
    <t>Bloco de concreto</t>
  </si>
  <si>
    <t>Cimento</t>
  </si>
  <si>
    <t>Manta bidim</t>
  </si>
  <si>
    <t>Tubo dreno</t>
  </si>
  <si>
    <t>ml</t>
  </si>
  <si>
    <t>Brita</t>
  </si>
  <si>
    <t>rolo</t>
  </si>
  <si>
    <t>Impermeabilização do muro</t>
  </si>
  <si>
    <t>28 . MÃO DE OBRA EMPREITADA</t>
  </si>
  <si>
    <t>28.1</t>
  </si>
  <si>
    <t>28.2</t>
  </si>
  <si>
    <t>28.3</t>
  </si>
  <si>
    <t>28.4</t>
  </si>
  <si>
    <t>28.5</t>
  </si>
  <si>
    <t>28.6</t>
  </si>
  <si>
    <t>28.7</t>
  </si>
  <si>
    <t>28.8</t>
  </si>
  <si>
    <t>28.9</t>
  </si>
  <si>
    <t>28.10</t>
  </si>
  <si>
    <t>28.11</t>
  </si>
  <si>
    <t>28.12</t>
  </si>
  <si>
    <t>28.13</t>
  </si>
  <si>
    <t>Pedreiros: parte grossa</t>
  </si>
  <si>
    <t>Pedreiros: acabamento</t>
  </si>
  <si>
    <t>Bombeiro hidráulico</t>
  </si>
  <si>
    <t>Eletricista</t>
  </si>
  <si>
    <t>Execução telhado</t>
  </si>
  <si>
    <t>Pintura interna</t>
  </si>
  <si>
    <t>Execução de deck ou lambri</t>
  </si>
  <si>
    <t>Instalação de portas</t>
  </si>
  <si>
    <t>Madeira</t>
  </si>
  <si>
    <t>REFERÊNCIA</t>
  </si>
  <si>
    <t>Total:</t>
  </si>
  <si>
    <t xml:space="preserve">Total = </t>
  </si>
  <si>
    <t>Subsolo</t>
  </si>
  <si>
    <t>CUSTO PLANEJADO</t>
  </si>
  <si>
    <t>OBSERVAÇÕES</t>
  </si>
  <si>
    <t>-</t>
  </si>
  <si>
    <t>Laje pré moldada - teto nível 1</t>
  </si>
  <si>
    <t>Laje pré moldada - teto nível 2</t>
  </si>
  <si>
    <t>Laje pré moldada - teto nível 3</t>
  </si>
  <si>
    <t>Laje pré moldada - caixa dagua</t>
  </si>
  <si>
    <t>Concreto - teto nível 1</t>
  </si>
  <si>
    <t>Concreto - teto nível 2</t>
  </si>
  <si>
    <t>Concreto - teto nível 3</t>
  </si>
  <si>
    <t>Brise fundos da garagem</t>
  </si>
  <si>
    <t>Brise lateral da garagem</t>
  </si>
  <si>
    <t>Chapa grafite fachada esquerda</t>
  </si>
  <si>
    <t>Fachada</t>
  </si>
  <si>
    <t>Nome</t>
  </si>
  <si>
    <t>JA1</t>
  </si>
  <si>
    <t>JA2</t>
  </si>
  <si>
    <t>JA3</t>
  </si>
  <si>
    <t>JA4</t>
  </si>
  <si>
    <t>JA5</t>
  </si>
  <si>
    <t>JA6</t>
  </si>
  <si>
    <t>JA9</t>
  </si>
  <si>
    <t>PM1</t>
  </si>
  <si>
    <t>PM2</t>
  </si>
  <si>
    <t>PM3</t>
  </si>
  <si>
    <t>PM4</t>
  </si>
  <si>
    <t>PM5</t>
  </si>
  <si>
    <t>PM7</t>
  </si>
  <si>
    <t>PM8</t>
  </si>
  <si>
    <t>PM9</t>
  </si>
  <si>
    <t>Guarda corpo suite 1</t>
  </si>
  <si>
    <t>2º pavimento</t>
  </si>
  <si>
    <t>Guarda corpo suite 2</t>
  </si>
  <si>
    <t>Guarda corpo suite master</t>
  </si>
  <si>
    <t>1º pavimento</t>
  </si>
  <si>
    <t>Guarda corpo região piscina</t>
  </si>
  <si>
    <t>Argamassa polimérica</t>
  </si>
  <si>
    <t>Manta asfáltica tradicional</t>
  </si>
  <si>
    <t>Manta asfáltica aluminizada</t>
  </si>
  <si>
    <t>Suite 3</t>
  </si>
  <si>
    <t>Sala Estar</t>
  </si>
  <si>
    <t>Sauna</t>
  </si>
  <si>
    <t>m² piso</t>
  </si>
  <si>
    <t>Suíte 1</t>
  </si>
  <si>
    <t>Suite 2</t>
  </si>
  <si>
    <t>Banho master</t>
  </si>
  <si>
    <t>Escada</t>
  </si>
  <si>
    <t>Lavabo</t>
  </si>
  <si>
    <t>Valor unitário</t>
  </si>
  <si>
    <t>Lixeira metálica cozinha / gourmet</t>
  </si>
  <si>
    <t>Bojo inox área de serviço</t>
  </si>
  <si>
    <t>Torneira monocomando cozinha / gourmet</t>
  </si>
  <si>
    <t>Jacuzzi, SPA, banheira</t>
  </si>
  <si>
    <t>Despensa</t>
  </si>
  <si>
    <t>Banho 3</t>
  </si>
  <si>
    <t xml:space="preserve">Banho sauna </t>
  </si>
  <si>
    <t>Banho AS</t>
  </si>
  <si>
    <t>JA7 B</t>
  </si>
  <si>
    <t>JA7 A</t>
  </si>
  <si>
    <t>Banho suíte 1</t>
  </si>
  <si>
    <t>Banho suíte 2</t>
  </si>
  <si>
    <t>JA8 A</t>
  </si>
  <si>
    <t>JA8 B</t>
  </si>
  <si>
    <t>Banho suíte master</t>
  </si>
  <si>
    <t>Entrada garagem</t>
  </si>
  <si>
    <t>Suíte 2</t>
  </si>
  <si>
    <t>Suíte 3</t>
  </si>
  <si>
    <t>PM6 A</t>
  </si>
  <si>
    <t>PM6 B</t>
  </si>
  <si>
    <t>PM6 C</t>
  </si>
  <si>
    <t>Banho 1</t>
  </si>
  <si>
    <t>Banho 2</t>
  </si>
  <si>
    <t>PA1</t>
  </si>
  <si>
    <t>PA2</t>
  </si>
  <si>
    <t>PA3</t>
  </si>
  <si>
    <t>PA4</t>
  </si>
  <si>
    <t>PA5</t>
  </si>
  <si>
    <t>PA6</t>
  </si>
  <si>
    <t>PA7</t>
  </si>
  <si>
    <t>PA8</t>
  </si>
  <si>
    <t>PA9</t>
  </si>
  <si>
    <t>PA10</t>
  </si>
  <si>
    <t>PA11</t>
  </si>
  <si>
    <t>PA12</t>
  </si>
  <si>
    <t>PA13</t>
  </si>
  <si>
    <t>PA14</t>
  </si>
  <si>
    <t>Suíte master</t>
  </si>
  <si>
    <t>Entrada principal</t>
  </si>
  <si>
    <t>Entrada serviço</t>
  </si>
  <si>
    <t>Gás</t>
  </si>
  <si>
    <t>Escada serviço</t>
  </si>
  <si>
    <t>Área serviço</t>
  </si>
  <si>
    <t xml:space="preserve">Casa Maquinas </t>
  </si>
  <si>
    <t>Suite 1</t>
  </si>
  <si>
    <t>PORTAS DE MADEIRA</t>
  </si>
  <si>
    <t>GUARDA CORPOS</t>
  </si>
  <si>
    <t>Planilha de custos e viabilidade</t>
  </si>
  <si>
    <t>PROJETO EU CONSTRUTOR</t>
  </si>
  <si>
    <t>1.1</t>
  </si>
  <si>
    <t>1.2</t>
  </si>
  <si>
    <t>1.3</t>
  </si>
  <si>
    <t>1.4</t>
  </si>
  <si>
    <t>1.5</t>
  </si>
  <si>
    <t>1.6</t>
  </si>
  <si>
    <t>1.7</t>
  </si>
  <si>
    <t>Projeto arquitetônico</t>
  </si>
  <si>
    <t>Projeto estrutural</t>
  </si>
  <si>
    <t>Sondagem</t>
  </si>
  <si>
    <t>Projeto de instalações (elétrico e hidráulico)</t>
  </si>
  <si>
    <t>Projeto de interiores</t>
  </si>
  <si>
    <t>Projeto de automação</t>
  </si>
  <si>
    <t>Normalmente projeto de elétrica e hidráulica são contratados juntos</t>
  </si>
  <si>
    <t>A especificação de interiores pode estar ou não incluída no projeto arquitetônico</t>
  </si>
  <si>
    <t>2.1</t>
  </si>
  <si>
    <t>2.2</t>
  </si>
  <si>
    <t>2.3</t>
  </si>
  <si>
    <t>2.4</t>
  </si>
  <si>
    <t>2.5</t>
  </si>
  <si>
    <t>2.6</t>
  </si>
  <si>
    <t>Emissão de alvará</t>
  </si>
  <si>
    <t>ARTs de execução e projetos</t>
  </si>
  <si>
    <t>Taxa de habite-se (após a obra)</t>
  </si>
  <si>
    <t>Custos com financiamento</t>
  </si>
  <si>
    <t>Outras taxas</t>
  </si>
  <si>
    <t>Outros projetos</t>
  </si>
  <si>
    <t>Averbação em cartório</t>
  </si>
  <si>
    <t>Vai depender da infra-estrutura necessária, das exigências do condomínio, etc.</t>
  </si>
  <si>
    <t>Custo com madeira para execução do gabarito, ou custo com topografia para locação.</t>
  </si>
  <si>
    <t>Exemplo de cálculo de metragem de muro de arrimo, uma conta que pode ser útil:</t>
  </si>
  <si>
    <t>Se há projeto de muro de arrimo, então os dados abaixo podem ser retirados do projeto:</t>
  </si>
  <si>
    <t>Aço dos pilares ou cortinas</t>
  </si>
  <si>
    <t>Aço das vigas</t>
  </si>
  <si>
    <t>Aço da fundação do muro (estacas, bloos, etc)</t>
  </si>
  <si>
    <t>Concreto para estrutura do muro</t>
  </si>
  <si>
    <t>Concreto para fundação do muro</t>
  </si>
  <si>
    <t>Escavação do muro: sapatas, estacas, etc</t>
  </si>
  <si>
    <t>Estrutura e fundação previstas em projeto estrutural</t>
  </si>
  <si>
    <t>Alvenaria de bloco cheio</t>
  </si>
  <si>
    <t>Drenagem e impermeabilização do muro</t>
  </si>
  <si>
    <t>Outros itens</t>
  </si>
  <si>
    <t>Ao longo do curso faremos referência a alguns valores importantes no planejamento orçamentário da obra. Os números mencionados nas aulas tendem a variar conforme o tempo. Aqui constam os valores atualizados (referência Belo Horizonte):</t>
  </si>
  <si>
    <t>Tópicos: referências de custo por metro</t>
  </si>
  <si>
    <t>Número de referência</t>
  </si>
  <si>
    <t>Unidade</t>
  </si>
  <si>
    <t>Custo por m² de residência padrão alto.</t>
  </si>
  <si>
    <t>R$ / m²</t>
  </si>
  <si>
    <t>Características: arquitetura arrojada valendo-se de alguns grandes vãos (ex: ambientes amplos, pé direito duplo), estrutura de concreto armado utilizando fôrmas de madeirite, esquadrias de alumínio com vidro (linha gold), porcelanatos de piso e parede de classes especiais, instalações de água quente, paredes em reboco emassado e tinta acrílica, fachada em textura ou cimento queimado, projeto luminotécnico executado. Mão de obra: estrutura desenvolvida com carpinteiros e armadores, mestre de obra acompanhando toda a execução.</t>
  </si>
  <si>
    <t>Custo por m² de residência padrão simples.</t>
  </si>
  <si>
    <t>Características: arquitetura simples com vãos menores, estrutura de concreto armado utilizando fôrmas de tábua, esquadrias de vidro temperado tipo "blindex", porcelanatos de piso e parede de classe comum, paredes e tetos revestidos com gesso liso, fachada com textura simples ou tinta rolada sobre reboco, iluminação central nos ambientes. Mão de obra: estrutura desenvolvida com pedreiros.</t>
  </si>
  <si>
    <t>Tópicos: referências dos custos mais preponderantes da obra</t>
  </si>
  <si>
    <t>Referência de custo do aço (vergalhões)</t>
  </si>
  <si>
    <t>R$ / kg</t>
  </si>
  <si>
    <t>Custo do quilo de aço cortado, dobrado e montado. A montagem das peças estruturais pode ser feita no canteiro, comprando as barras de aço soltas, ou podem ser pedidas as estruturas já montadas. Neste caso o custo é equivalente. A quantidade de quilos de aço a ser usada na residência pode ser extraída diretamente do projeto estrutural, ou estimada de acordo com os critérios expostos no módulo 4 do curso.</t>
  </si>
  <si>
    <t>Referência de custo do concreto</t>
  </si>
  <si>
    <t>R$ / m³</t>
  </si>
  <si>
    <t>Custo do concreto tipo 30 MPa (traço mais comum nas residências) já bombeado. Atenção: caso se opte por fazer o concreto na obra, utilizando betoneira ao invés de concreto usinado, o custo final é equivalente. A quantidade de metros cúbicos de concreto totais do projeto pode ser extraída diretamente do projeto estrutural, ou pode ser estimada de acordo com os critérios expostos no módulo 4 do curso.</t>
  </si>
  <si>
    <t>Referência de custo do bota fora de terra</t>
  </si>
  <si>
    <t>Custo para cada metro cúbico de terra removida do canteiro, na ocasião da terraplenagem. O volume de terra extraída pode ser calculado com base no projeto arquitetônico. Lembre-se de aplicar a taxa de empolamento do material (acréscimo de 30% a 40% no volume, aproximadamente)</t>
  </si>
  <si>
    <t>Referência de custo das esquadrias</t>
  </si>
  <si>
    <t>Custo por metro quadrado das esquadrias de alumínio com vidro, linha Gold (padrão alto). A metragem quadrada total das esquadrias de vidro pode ser retirada do projeto arquitetônico.</t>
  </si>
  <si>
    <t>Referência de custo das lajes</t>
  </si>
  <si>
    <t>Custo por metro quadrado das lajes pré-moldadas de isopor, incluindo já a armação de distribuição, vigotas e preenchimento com isopor. Considerado aqui as lajes com treliça do tipo TR-8, que se aplicam na maior parte dos casos. O custo da laje aumenta conforme se amplia o tamanho do vão, ou se forem descarregadas paredes diretamente sobre a laje, sem utilização de vigas. A metragem quadrada de laje pode ser extraída do projeto arquitetônico ou do projeto estrutural.</t>
  </si>
  <si>
    <t>Tópicos: referências de outros custos</t>
  </si>
  <si>
    <t>Referência do custo de escavação manual</t>
  </si>
  <si>
    <t>Custo por metro cúbico de terra escavado manualmente. Serve para usar em cálculos de: tubulões, abertura de sapatas de fundação, valas profundas, etc.</t>
  </si>
  <si>
    <t>Considerar uma folga aproximada de 10% para conter variações diversas: consumo de concreto nas escavações, etc</t>
  </si>
  <si>
    <t>Este valor obviamente depende do terreno e do projeto, o número colocado aqui foi somente a título de exemplo. Ao calcular o volume de extração de terra, lembrar sempre de considerar o empolamento (aumento de volume, ordem de 40%). O valor atualizado por m3 extraído de terra está na aba de "referências atualizadas".</t>
  </si>
  <si>
    <t>Escavação</t>
  </si>
  <si>
    <t>Rolete de fundação (espaçador plástico)</t>
  </si>
  <si>
    <t>Empreitada escavação (mecanizada ou manual)</t>
  </si>
  <si>
    <t>Concreto - blocos</t>
  </si>
  <si>
    <t>De posse do projeto de fundação, adapte a tabela abaixo para a realidade do projeto:</t>
  </si>
  <si>
    <t>Concreto - pescoço de pilares (no caso de sapatas)</t>
  </si>
  <si>
    <t>CÁLCULO DA FUNDAÇÃO</t>
  </si>
  <si>
    <t>Atentar para este custo muitas vezes esquecido. Após a fundação, pode ser que não haja local onde consumir a terra extraída dentro do próprio canteiro, sendo necessário fazer o descarte deste volume. Esta situação é comum em obras de terreno em aclive.</t>
  </si>
  <si>
    <t>Custo com ferramentas que se consomem na obra: carrinho de mão, pá, enxada, picareta, masseira, etc.</t>
  </si>
  <si>
    <t>Este cálculo está melhor discriminado na aba "Fundação", desta planilha.</t>
  </si>
  <si>
    <t>Este cálculo está melhor discriminado na aba "Arrimos", desta planilha.</t>
  </si>
  <si>
    <t>Para calcular a quantidade de aço, basta fazer um levantamento básico, consultando as tabelas do projeto estrutural. Entretanto, por mais que o projeto estrutural considere perdas, eu considero um acréscimo de 8% em relação à quantidade fixada no projeto, em decorrência de muros de divisa, canaletas de alvenaria, pilaretes de platibanda, dentre outros itens que acabam não constando em projeto.</t>
  </si>
  <si>
    <t>Aço (quantidade retirada das tabelas do projeto estrutural)</t>
  </si>
  <si>
    <t>O quantitativo de concreto às vezes vem especificado nas pranchas do projeto estrutural. Para projetos que não informam explicitamente este consumo, a quantidade pode ser levantada manualmente nas pranchas de fôrma - lembre-se sempre de considerar uma boa perda, pois na prática o consumo de concreto tende a ser pelo menos 20% maior que o estipulado no projeto, por causa de vários fatores. Como o levantamento manual é custoso e demorado, algumas aproximações podem ser feitas. De maneira geral, o consumo de concreto vai de 0,25 m³/m² em projetos bastante simples, até 0,60 m³/m² em projetos de arquitetura extremamente ousada.</t>
  </si>
  <si>
    <t>Concreto - laje caixa dágua</t>
  </si>
  <si>
    <t>Concreto das outras peças estruturais: pilares, vigas, etc</t>
  </si>
  <si>
    <t>O levantamento das lajes é mais fácil: basta calcular toda a área que será coberta. Uma aproximação interessante é pegar a área construída, que é relativamente próxima à área de cobertura. Não esqueça de incluir também na conta desta metragem: beirais e laje de piso (no caso de trechos em declive). Alguns projetos estruturais trazem prontas estas tabelas de metragem de lajes.</t>
  </si>
  <si>
    <t>Observação 1: O custo da laje por metro quadrado irá aumentar nos seguintes casos: vãos muito grandes onde se precisa aumentar a altura da treliça; lajes que recebem apoio direto de alvenaria; trechos onde se necessita utilizar lajes maciças ou nervuradas; beirais ou trechos em baçanço que precisam de ancoragem especial; etc. Entretanto, estas soluções costumam ser localizadas, e não para toda a residência, e são especificadas no projeto estrutural.</t>
  </si>
  <si>
    <t>Chapas de madeirite palstificado para fôrma</t>
  </si>
  <si>
    <t>Pontalete</t>
  </si>
  <si>
    <t>Sarrafo</t>
  </si>
  <si>
    <t>Ch</t>
  </si>
  <si>
    <t>O consumo de madeira é muito relativo, pois depende de vários fatores: padronização do tamanho das fôrmas; se o "esqueleto" estrutural será levantado primeiro ou junto com a alvenaria; se a estrutura comporta uso de tábuas ou de compensados; se será utilizado outro sistema construtivo adicional; tipo de arquitetura empregada; etc. De maneira geral, vale a seguinte aproximação: para obras de médio/alto padrão, no sistema construtivo tradicional, fazendo-se a estrutura antes da alvenaria, o custo com fôrmas de madeira tende a ser equivalente ao custo das lajes (90% a 110%).</t>
  </si>
  <si>
    <t>De maneira geral, vale a seguinte aproximação: para obras de médio/alto padrão, no sistema construtivo tradicional, fazendo-se a estrutura antes da alvenaria, o custo com fôrmas de madeira tende a ser equivalente ao custo das lajes (90% a 110%).</t>
  </si>
  <si>
    <t>Este cálculo está melhor discriminado na aba "Estrutura", desta planilha.</t>
  </si>
  <si>
    <t xml:space="preserve">Uma referência conservadora, para casas de médio/alto padrão, é reservar metade do valor de lajes para locação das escoras, travamento de pilares e conjuntos de cimbramento (torres, vigas metálicas, etc) - isto considerando a execução da estrutura antes da alvenaria. </t>
  </si>
  <si>
    <t>Itens não previstos em projeto (folga de 5%)</t>
  </si>
  <si>
    <t>Se refere a arames, pregos, espaçadores plásticos, cimento, areia, brita, dentre outros pormenores. Considerar acréscimo de 5% em relação aos itens anteriores da fase de estrutura.</t>
  </si>
  <si>
    <t>Dry-Wall</t>
  </si>
  <si>
    <t>SOMATÓRIO DAS METRAGENS POR TIPO DE PAREDE</t>
  </si>
  <si>
    <t>Tipo de parede</t>
  </si>
  <si>
    <t>Tijolo cerâmico largura 09</t>
  </si>
  <si>
    <t>Tijolo cerâmico largura 14</t>
  </si>
  <si>
    <t>Tijolo cerâmico largura 19</t>
  </si>
  <si>
    <t>m2 por tipo de parede</t>
  </si>
  <si>
    <t>Bloco estrutural cheio</t>
  </si>
  <si>
    <t>CÁLCULO DO QUANTITATIVO E CUSTO COM TIJOLOS E BLOCOS</t>
  </si>
  <si>
    <t>Referência do custo de tijolos e blocos para alvenaria</t>
  </si>
  <si>
    <t>Tijolo largura 09  - (09x19x29)</t>
  </si>
  <si>
    <t>Tijolo largura 14  - (14x19x29)</t>
  </si>
  <si>
    <t>Tijolo largura 19  - (19x19x29)</t>
  </si>
  <si>
    <t>Bloco de concreto largura 14  -  (14x19x39), resistência 4 Mpa</t>
  </si>
  <si>
    <t>R$ / unidade</t>
  </si>
  <si>
    <t>Saco de cimento (tipo variável, referência CPIII)</t>
  </si>
  <si>
    <t>R$ / saco</t>
  </si>
  <si>
    <t>Forro de gesso acartonado</t>
  </si>
  <si>
    <t>Tabica metálica cor branca</t>
  </si>
  <si>
    <t>Parede em dry-wall revestida com placa dos dois lados</t>
  </si>
  <si>
    <t>R$ / mL</t>
  </si>
  <si>
    <t>Custo com insumos</t>
  </si>
  <si>
    <t>CUSTO COM AREIA</t>
  </si>
  <si>
    <t>CUSTO COM BRITA</t>
  </si>
  <si>
    <t>Consumo: m3 por m2</t>
  </si>
  <si>
    <t>Consumo total (m3)</t>
  </si>
  <si>
    <t>CUSTO COM CIMENTO</t>
  </si>
  <si>
    <t>Consumo: sacos</t>
  </si>
  <si>
    <t>CUSTO COM DRY-WALL</t>
  </si>
  <si>
    <t>m2 total</t>
  </si>
  <si>
    <t>TABELA RESUMO</t>
  </si>
  <si>
    <t>Custo com tijolos e blocos</t>
  </si>
  <si>
    <t>Custo com areia</t>
  </si>
  <si>
    <t>Custo com brita</t>
  </si>
  <si>
    <t>Custo com cimento</t>
  </si>
  <si>
    <t>Custo com dry-wall</t>
  </si>
  <si>
    <t>Este cálculo está melhor discriminado na aba "Alvenaria", desta planilha.</t>
  </si>
  <si>
    <t>PLANILHA DE AMBIENTES</t>
  </si>
  <si>
    <t>Lado 1</t>
  </si>
  <si>
    <t>Lado 2</t>
  </si>
  <si>
    <t>Adc m²</t>
  </si>
  <si>
    <t>Subt m²</t>
  </si>
  <si>
    <t>m² piso e teto</t>
  </si>
  <si>
    <t>m² paredes</t>
  </si>
  <si>
    <t>Pub (espaço aproveitado)</t>
  </si>
  <si>
    <t>Área gourmet</t>
  </si>
  <si>
    <t>Nível 1</t>
  </si>
  <si>
    <t>Varanda (rente cozinha)</t>
  </si>
  <si>
    <t>Serviço</t>
  </si>
  <si>
    <t>Banheiro</t>
  </si>
  <si>
    <t>Toucador</t>
  </si>
  <si>
    <t>Home cine</t>
  </si>
  <si>
    <t>Sala de jantar</t>
  </si>
  <si>
    <t>Sala de estar</t>
  </si>
  <si>
    <t>Pavimentação descoberta piscina</t>
  </si>
  <si>
    <t>Circulação descoberta entorno</t>
  </si>
  <si>
    <t>Espaço triangular rente gourmet</t>
  </si>
  <si>
    <t>Lavabo piscina</t>
  </si>
  <si>
    <t>Rampa lateral / acesso veículos</t>
  </si>
  <si>
    <t>Espaço jaboticabeiras</t>
  </si>
  <si>
    <t>Nível 2</t>
  </si>
  <si>
    <t>Closet master</t>
  </si>
  <si>
    <t>Varanda casal</t>
  </si>
  <si>
    <t>Banheiro casal</t>
  </si>
  <si>
    <t>Quarto 1</t>
  </si>
  <si>
    <t>Banheiro 1</t>
  </si>
  <si>
    <t>Varanda 1</t>
  </si>
  <si>
    <t>Quarto 2</t>
  </si>
  <si>
    <t>Banheiro 2</t>
  </si>
  <si>
    <t>Closet 2</t>
  </si>
  <si>
    <t>Sala íntima</t>
  </si>
  <si>
    <t>Varanda sala íntima</t>
  </si>
  <si>
    <t>Pé direito</t>
  </si>
  <si>
    <t>Muros de arrimo (parte visível)</t>
  </si>
  <si>
    <t>Total m2</t>
  </si>
  <si>
    <t>Espessura (cm)</t>
  </si>
  <si>
    <t>Volume Total m3</t>
  </si>
  <si>
    <t>Outros: andaimes, aditivos, perdas - folga de 10%</t>
  </si>
  <si>
    <t>Quantidade</t>
  </si>
  <si>
    <t>Custo total</t>
  </si>
  <si>
    <t>Chapisco colante (aproximação: normalmente 10% do custo com cimento)</t>
  </si>
  <si>
    <t>Mês</t>
  </si>
  <si>
    <t>Outros: caçambas, lonas, aditivos - folga de 10%</t>
  </si>
  <si>
    <t>Este cálculo está melhor discriminado na aba "Revestimentos argamassados", desta planilha.</t>
  </si>
  <si>
    <t>Referência do custo para serviços de impermeabilização</t>
  </si>
  <si>
    <t>Manta asfáltica tradicional 4mm, material e mão de obra</t>
  </si>
  <si>
    <t>Manta asfáltica aluminizada, material e mão de obra</t>
  </si>
  <si>
    <t>Argamassa polimérica para áreas frias, material e mão de obra</t>
  </si>
  <si>
    <t>Impermeabilização</t>
  </si>
  <si>
    <t>Cobertura da casa (laje)</t>
  </si>
  <si>
    <t>Se a cobertura não for de telhado, adicionar a área de laje:</t>
  </si>
  <si>
    <t>Tipo de impermeabilização</t>
  </si>
  <si>
    <t>Custo unitário</t>
  </si>
  <si>
    <t>Se houver piscina, adicionar a metragem e o tipo de impermeabilização:</t>
  </si>
  <si>
    <t>Obs: inserir na tabela todos os ambientes, até mesmo os descobertos, os acessos, as escadas, piscina, etc. Ao usar estes dados posteriormente, poderemos descartar aqueles que não forem interessantes. Por ora, o melhor é inserir todas as informações.</t>
  </si>
  <si>
    <t xml:space="preserve">Soma = </t>
  </si>
  <si>
    <t xml:space="preserve">Adicional de paredes = </t>
  </si>
  <si>
    <t xml:space="preserve">Valor total = </t>
  </si>
  <si>
    <t>Total de m2 tabelado:</t>
  </si>
  <si>
    <t>Perdas e rodapés:</t>
  </si>
  <si>
    <t>Total de m2 a comprar:</t>
  </si>
  <si>
    <t>Valor total reservado para acabamentos:</t>
  </si>
  <si>
    <t>Este cálculo está melhor discriminado na aba "Acabamentos", desta planilha. Você pode refinar este número com um memorial descritivo mais bem detalhado, com as exatas especificações e quantidades de cada acabamento.</t>
  </si>
  <si>
    <t>Este item se refere a itens especiais feitos com pedras naturais, por exemplo: soleiras, granito para revestir escadas, um balcão de mármore dividindo sala e cozinha, pedras são tomé no jardim, pedras miracema na rampa de veículos, etc. Aqui não estão incluídas as bancadas, que estão num tópico à parte.</t>
  </si>
  <si>
    <t>Este custo é dispensável, se forem utilizados ralos comuns.</t>
  </si>
  <si>
    <t>Sacos de argamassa utilizados:</t>
  </si>
  <si>
    <t>Valor unitário do saco de argamassa:</t>
  </si>
  <si>
    <t>Argamassa colante do tipo ACIII</t>
  </si>
  <si>
    <t>Referência do custo de insumos básicos de ensacados e agregados</t>
  </si>
  <si>
    <t>Este cálculo está melhor discriminado na aba "Acabamentos", desta planilha. Apesar de não ser necessário o uso de argamassa do tipo ACIII para todos os acabamentos, acabo utilizando essa referência para cálculo de viabilidade.</t>
  </si>
  <si>
    <t>Alguns acabamentos especiais que sejam comprados à parte, como por exemplo: ripados de madeira, pastilhas especiais, bordas de piscina, etc. Aqui entra também custos adicionais da fase de acabamentos como um todo: lonas para proteção de piso, caçambas de entulho, etc.</t>
  </si>
  <si>
    <t>15.7</t>
  </si>
  <si>
    <t>Pedras pingadeira para peitoris de janela</t>
  </si>
  <si>
    <t>Se a obra for receber uma cobertura de manta asfáltica no lugar do telhado, este custo pode ser discriminado aqui, ao invés de estar arrolado na seção de "Impermeabilizações".</t>
  </si>
  <si>
    <t>Chapéu metálico preto para pingadeiras, em chapa galvanizada, recebido na obra já com pintura preta, considerado material e instalação</t>
  </si>
  <si>
    <t>Considerado chapéu metálico de chapa galvanizada, recebido na obra já com pintura preta. O custo unitário por metro linear atualizado está relacionado na aba de "Referências atualizadas".</t>
  </si>
  <si>
    <t>O custo de manta asfáltica na cobertura pode estar contabilizado em dois lugares na planilha de viabilidade: na seção de "Impermeabilizações", ou na seção de "Cobertura". No meu entendimento, faz mais sentido contabilizar na seção de cobertura, até para estabelecer comparações com o custo de telhado, por exemplo. Entretanto, o levantamento do quantitativo total na tabela acima facilita a contratação da empresa de impermeabilização.</t>
  </si>
  <si>
    <t xml:space="preserve">Custo somente para impermeabilização da laje, neste exemplo = </t>
  </si>
  <si>
    <t>Este cálculo está melhor discriminado na aba "Impermeabilizações", desta planilha. Aqui não foi considerada a manta asfáltica em laje, que está contabilizada na seção de "Cobertura" desta planilha.</t>
  </si>
  <si>
    <t>Custo por metro quadrado de vidro temperado sem caixilho de alumínio (fechamentos simples do tipo "blindex")</t>
  </si>
  <si>
    <t>Custo por metro quadrado de guarda corpo de vidro, tipo "panorâmico" ou com torres metálicas de inox</t>
  </si>
  <si>
    <t>Porta interna de madeira do tipo "porta pronta", incluso batente, alisar, fechadura e dobradiças. Porta de cor branca já pintada de fábrica. Incluso valor de instalação especializada. Larguras entre 60 e 80 cm, portas mais largas terão custo adicional.</t>
  </si>
  <si>
    <t>Este cálculo está melhor discriminado na aba "Esquadrias", desta planilha.</t>
  </si>
  <si>
    <t>Churrasqueira, forno iglu e fogão à lenha</t>
  </si>
  <si>
    <t>Este item tem grande volatilidade de preços e opções, portanto deve ser pensado como uma "meta". Procure ficar dentro do parâmetro mínimo, exposto na aba de "referências atualizadas".</t>
  </si>
  <si>
    <t>Referência de parâmetros de custo mínimo para casas de médio e alto padrão</t>
  </si>
  <si>
    <t>Referência do custo para itens gerais da fase de finalização</t>
  </si>
  <si>
    <t>Este cálculo está melhor discriminado na aba "Louças e metais", desta planilha.</t>
  </si>
  <si>
    <t>Chumbadores para fixação das bancadas, estruturas de metalon para esqueleto das ilhas, massa plástica de assentamento, papelão para proteção das pedras, etc</t>
  </si>
  <si>
    <t>Este cálculo está melhor discriminado na aba "Forros", desta planilha.</t>
  </si>
  <si>
    <t>Cortineiros, rasgos, sancas e outros fechamentos horizontais em forro de gesso</t>
  </si>
  <si>
    <t>Perímetro</t>
  </si>
  <si>
    <t xml:space="preserve">Área aproximada de forro de gesso = </t>
  </si>
  <si>
    <t xml:space="preserve">Custo por m2 de forro de gesso = </t>
  </si>
  <si>
    <t>Custo por mL de tabica =</t>
  </si>
  <si>
    <t>Metragem linear aproximada de tabica =</t>
  </si>
  <si>
    <t>Custo total aproximado com forro de gesso acartonado =</t>
  </si>
  <si>
    <t>Folga para cortineiros, sancas e rasgos para iluminação =</t>
  </si>
  <si>
    <t>Custo aproximado com forro de gesso acartonado =</t>
  </si>
  <si>
    <t>Forro de madeira, quando existente.</t>
  </si>
  <si>
    <t>Forro de madeira, incluindo barroteamento e verniz</t>
  </si>
  <si>
    <t>Referência do custo para serviços de gesso acartonado e outros forros</t>
  </si>
  <si>
    <t>Pintura interna: selador, tintas, massa corrida</t>
  </si>
  <si>
    <t>Textura ou outro acabamento de fachada</t>
  </si>
  <si>
    <t>Referência de custo mínimo para pintura interna, incluindo: massa corrida, lixamento e pintura com tinta de linha premium. Parâmetro considerado em relação à metragem de área construída.</t>
  </si>
  <si>
    <t>Referência de custo mínimo para acabamento de fachada (textura comum de linha básica). Parâmetro considerado em relação à metragem de área construída.</t>
  </si>
  <si>
    <t>Referência de custo mínimo para o contrato de marmoraria, para casas de médio/alto padrão. O parâmetro é o mínimo custo a ser considerado por metro quadrado de bancada.</t>
  </si>
  <si>
    <t>Referência de custo mínimo para o contrato de luminotécnica, para casas de médio/alto padrão. Parâmetro considerado em relação à metragem de área construída.</t>
  </si>
  <si>
    <t>Custo por metro quadrado de grama aplicada, incluso camada de terra vegetal, calcário, grama, e mão de obra de jardinagem para nivelamento e plantio</t>
  </si>
  <si>
    <t>Refere-se à calçada, que pode ser em concreto vassourado, piso grosso, bloquetes intertravados, etc. Em algumas obras, é necessária a instalação de piso tátil para deficientes visuais, para a obtenção do habite-se; portanto atentar para este custo.</t>
  </si>
  <si>
    <t>Passeios em volta da casa, caminhos, passarelas sobre grama, etc.</t>
  </si>
  <si>
    <t>Incluso grama, terra vegetal, tratamento calcário, adubo e mão de obra para plantio.</t>
  </si>
  <si>
    <t>Valor referente à limpeza grossa e fina para entrega da residência, bota fora de entulhos finais, caçambas, pequenos arremates</t>
  </si>
  <si>
    <t>23.1</t>
  </si>
  <si>
    <t>23.2</t>
  </si>
  <si>
    <t>23.3</t>
  </si>
  <si>
    <t>Quadra</t>
  </si>
  <si>
    <t>A piscina pode ser calculada à parte, sendo contabilizada aqui. Entretanto, eu costumo considerar o seu custo diluído nas seções anteriores (estrutura, acabamento, impermeabilização, etc).</t>
  </si>
  <si>
    <t>Referência de custo mínimo para instalações hidráulicas completas, incluso: materiais para esgoto, água fria, água quente, águas pluviais, caixas de gordura e passagem, etc. Parâmetro considerado em relação à metragem de área construída.</t>
  </si>
  <si>
    <t>Referência de custo mínimo para instalações elétricas completas, incluso: mangueiras, caixinhas, quadros elétricos montados, fiação, tomadas e interruptores de linhas comerciais, padrão de energia, cabos para entrada de energia, etc. Parâmetro considerado em relação à metragem de área construída.</t>
  </si>
  <si>
    <t>Um parâmetro para aproximação deste valor pode ser encontrado na aba de "Referências atualizadas".</t>
  </si>
  <si>
    <t>Bombeamento pluvial ou de esgoto</t>
  </si>
  <si>
    <t>Este valor se refere à infra-estrutura elétrica e hidráulica para o contrato de piscina e sauna. O valor pode variar grandemente, a depender dos equipamentos contratados, e da distância entre a piscina e as placas solares (geralmente no telhado). Coloco aqui como referência o valor gasto na minha última obra, a título de exemplo.</t>
  </si>
  <si>
    <t>Valor gasto para mangueiras, caixinhas e outras infra-estruturas para sistemas de câmeras e monitoramento, se existir. É um custo não relevante, pode ser computado dentro de instalações elétricas.</t>
  </si>
  <si>
    <t>Geralmente se aplica somente a pequenos prédios.</t>
  </si>
  <si>
    <t>Quando não há gravidade suficiente na residência para escoar esgoto e águas de chuva via gravidade, tampouco há passagem pelo vizinho de baixo, sendo necessário bombear para a rua. Geralmente um problema de algumas obras em declive.</t>
  </si>
  <si>
    <t>17.4</t>
  </si>
  <si>
    <t>Luminotécnica básica</t>
  </si>
  <si>
    <t>Lustres especiais</t>
  </si>
  <si>
    <t>Quiosques, área pet e outras adjacências</t>
  </si>
  <si>
    <t>Plotagens de projeto</t>
  </si>
  <si>
    <t>24.1</t>
  </si>
  <si>
    <t>24.2</t>
  </si>
  <si>
    <t>24.3</t>
  </si>
  <si>
    <t>24.4</t>
  </si>
  <si>
    <t>24.5</t>
  </si>
  <si>
    <t>24.6</t>
  </si>
  <si>
    <t>24.7</t>
  </si>
  <si>
    <t>24.8</t>
  </si>
  <si>
    <t>24.9</t>
  </si>
  <si>
    <t>24.10</t>
  </si>
  <si>
    <t>12.6</t>
  </si>
  <si>
    <t>12.7</t>
  </si>
  <si>
    <t>12.8</t>
  </si>
  <si>
    <t>Mangueiras, caixinhas e caixas de passagem para instalações de automação (áudio, vídeo, sonorização, iluminação e ar condicionado com acesso remoto). Este custo não é relevante e pode ser contabilizado junto com instalações elétricas, a não ser no caso de telões, retroprojetores e outras infra-estruturas que necessitem de reforços especiais nos forros, por exemplo.</t>
  </si>
  <si>
    <t>Valor gasto para deixar os pontos de ar condicionado no ponto exato da instalação, apenas aguardando os aparelhos. Incluso: dreno, caixas de passagem, tubulação de cobre do split interno até o telhado, instalação especializada com carga de gás. O valor depende muito do número de aparelhos e da distância até o telhado (ou outro ambiente onde se possa esconder a caixa externa). Coloco aqui como referência o valor gasto na minha última obra, a título de exemplo.</t>
  </si>
  <si>
    <t>Valor gasto para tubulação de cobre, registros e instalação especializada, incluso a canalização desde o cooktop interno até o ponto de botijão externo à casa. O custo varia de acordo com a distância da canalização, coloco aqui como referência o valor gasto na minha última obra, a título de exemplo.</t>
  </si>
  <si>
    <t>Outras instalações especiais, se existirem.</t>
  </si>
  <si>
    <t>Compra dos equipamentos de automação: caixas de som, receiver, retroprojetores, dentre outros</t>
  </si>
  <si>
    <t>Contrato completo de piscina, a saber: bombas, iluminação e aquecimento. O custo depende da dimensão da piscina e do sistema de aquecimento utilizado. Coloco aqui como referência o valor gasto na minha última obra, a título de exemplo.</t>
  </si>
  <si>
    <t>Boiler de 600 litros com placas e instalação, para aquecimento solar da água de chuveiros e torneiras</t>
  </si>
  <si>
    <t>Contrato completo do sistema instalado. Item opcional</t>
  </si>
  <si>
    <t>Compra dos splits de ar condicionado</t>
  </si>
  <si>
    <t>Refere-se á contratação de: betoneira, guincho, serra de bancada, compactador manual, dentre outros.</t>
  </si>
  <si>
    <t>26 . MARCENARIA (ARMÁRIOS)</t>
  </si>
  <si>
    <t>Se for um contrato de obra por administração, o valor do contrato pode ser colocado aqui.</t>
  </si>
  <si>
    <t>Esta seção se refere aos custos de mão de obra com carteira assinada.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</si>
</sst>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31">
    <font>
      <sz val="11"/>
      <color theme="1"/>
      <name val="Calibri"/>
      <family val="2"/>
      <scheme val="minor"/>
    </font>
    <font>
      <sz val="10"/>
      <color rgb="FFFF0000"/>
      <name val="RIAL"/>
    </font>
    <font>
      <sz val="10"/>
      <name val="RIAL"/>
    </font>
    <font>
      <sz val="11"/>
      <name val="Calibri Light"/>
      <family val="2"/>
    </font>
    <font>
      <b/>
      <sz val="11"/>
      <name val="RIAL"/>
    </font>
    <font>
      <b/>
      <sz val="10"/>
      <name val="RIAL"/>
    </font>
    <font>
      <b/>
      <sz val="11"/>
      <name val="Calibri Light"/>
      <family val="2"/>
    </font>
    <font>
      <b/>
      <sz val="14"/>
      <name val="Calibri Light"/>
      <family val="2"/>
    </font>
    <font>
      <b/>
      <sz val="10"/>
      <name val="Calibri Light"/>
      <family val="2"/>
    </font>
    <font>
      <b/>
      <i/>
      <sz val="11"/>
      <name val="Calibri Light"/>
      <family val="2"/>
    </font>
    <font>
      <b/>
      <sz val="11"/>
      <color theme="0"/>
      <name val="Calibri Light"/>
      <family val="2"/>
    </font>
    <font>
      <sz val="8"/>
      <name val="Calibri"/>
      <family val="2"/>
      <scheme val="minor"/>
    </font>
    <font>
      <i/>
      <sz val="11"/>
      <name val="Calibri Light"/>
      <family val="2"/>
    </font>
    <font>
      <b/>
      <i/>
      <sz val="10"/>
      <name val="Calibri Light"/>
      <family val="2"/>
    </font>
    <font>
      <i/>
      <sz val="10"/>
      <color rgb="FFFF0000"/>
      <name val="RIAL"/>
    </font>
    <font>
      <b/>
      <sz val="11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sz val="9"/>
      <name val="RIAL"/>
    </font>
    <font>
      <i/>
      <sz val="9"/>
      <name val="RIAL"/>
    </font>
    <font>
      <b/>
      <sz val="9"/>
      <name val="RIAL"/>
    </font>
    <font>
      <sz val="11"/>
      <color theme="1"/>
      <name val="Calibri"/>
      <family val="2"/>
      <scheme val="minor"/>
    </font>
    <font>
      <b/>
      <sz val="11"/>
      <color theme="1"/>
      <name val="RIAL"/>
    </font>
    <font>
      <sz val="10"/>
      <color theme="1"/>
      <name val="RIAL"/>
    </font>
    <font>
      <b/>
      <sz val="10"/>
      <color theme="1"/>
      <name val="RIAL"/>
    </font>
    <font>
      <sz val="9"/>
      <color theme="1"/>
      <name val="RIAL"/>
    </font>
    <font>
      <b/>
      <sz val="10"/>
      <color rgb="FFC00000"/>
      <name val="RIAL"/>
    </font>
    <font>
      <i/>
      <sz val="10"/>
      <color theme="1"/>
      <name val="RIAL"/>
    </font>
    <font>
      <i/>
      <sz val="9"/>
      <color theme="1"/>
      <name val="RIAL"/>
    </font>
    <font>
      <b/>
      <sz val="9"/>
      <color theme="1"/>
      <name val="RIAL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3434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4" fontId="5" fillId="3" borderId="8" xfId="0" applyNumberFormat="1" applyFont="1" applyFill="1" applyBorder="1" applyAlignment="1">
      <alignment horizontal="left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6" fillId="0" borderId="3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4" fontId="3" fillId="0" borderId="3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left" vertical="center" wrapText="1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" fontId="3" fillId="0" borderId="5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4" fontId="8" fillId="4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4" fontId="5" fillId="3" borderId="0" xfId="0" applyNumberFormat="1" applyFont="1" applyFill="1" applyAlignment="1">
      <alignment horizontal="center"/>
    </xf>
    <xf numFmtId="0" fontId="14" fillId="0" borderId="0" xfId="0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6" fillId="0" borderId="10" xfId="0" applyFont="1" applyBorder="1" applyAlignment="1">
      <alignment vertical="center" wrapText="1"/>
    </xf>
    <xf numFmtId="0" fontId="18" fillId="6" borderId="1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" fontId="16" fillId="0" borderId="10" xfId="0" applyNumberFormat="1" applyFont="1" applyBorder="1" applyAlignment="1">
      <alignment horizontal="left" vertical="center" wrapText="1"/>
    </xf>
    <xf numFmtId="4" fontId="16" fillId="0" borderId="11" xfId="0" applyNumberFormat="1" applyFont="1" applyBorder="1" applyAlignment="1">
      <alignment horizontal="left" vertical="center" wrapText="1"/>
    </xf>
    <xf numFmtId="0" fontId="16" fillId="0" borderId="11" xfId="0" applyFont="1" applyBorder="1" applyAlignment="1">
      <alignment vertical="center" wrapText="1"/>
    </xf>
    <xf numFmtId="0" fontId="19" fillId="0" borderId="6" xfId="0" applyFont="1" applyBorder="1"/>
    <xf numFmtId="0" fontId="19" fillId="0" borderId="6" xfId="0" applyFont="1" applyBorder="1" applyAlignment="1">
      <alignment horizontal="center"/>
    </xf>
    <xf numFmtId="4" fontId="19" fillId="0" borderId="6" xfId="0" applyNumberFormat="1" applyFont="1" applyBorder="1" applyAlignment="1">
      <alignment horizontal="center"/>
    </xf>
    <xf numFmtId="0" fontId="20" fillId="0" borderId="6" xfId="0" applyFont="1" applyBorder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19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4" fontId="21" fillId="0" borderId="0" xfId="0" applyNumberFormat="1" applyFont="1" applyAlignment="1">
      <alignment horizontal="center"/>
    </xf>
    <xf numFmtId="0" fontId="19" fillId="0" borderId="7" xfId="0" applyFont="1" applyBorder="1" applyAlignment="1">
      <alignment vertical="center" wrapText="1"/>
    </xf>
    <xf numFmtId="4" fontId="19" fillId="0" borderId="8" xfId="0" applyNumberFormat="1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9" fillId="0" borderId="5" xfId="0" applyFont="1" applyBorder="1" applyAlignment="1">
      <alignment vertical="center"/>
    </xf>
    <xf numFmtId="4" fontId="19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8" fillId="6" borderId="12" xfId="0" applyFont="1" applyFill="1" applyBorder="1" applyAlignment="1">
      <alignment vertical="center" wrapText="1"/>
    </xf>
    <xf numFmtId="4" fontId="16" fillId="0" borderId="12" xfId="0" applyNumberFormat="1" applyFont="1" applyBorder="1" applyAlignment="1">
      <alignment horizontal="left" vertical="center" wrapText="1"/>
    </xf>
    <xf numFmtId="0" fontId="16" fillId="0" borderId="12" xfId="0" applyFont="1" applyBorder="1" applyAlignment="1">
      <alignment vertical="center" wrapText="1"/>
    </xf>
    <xf numFmtId="164" fontId="19" fillId="0" borderId="5" xfId="0" applyNumberFormat="1" applyFont="1" applyBorder="1" applyAlignment="1">
      <alignment horizontal="center" vertical="center" wrapText="1"/>
    </xf>
    <xf numFmtId="165" fontId="19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center" vertical="center" wrapText="1"/>
    </xf>
    <xf numFmtId="4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4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0" fontId="26" fillId="0" borderId="5" xfId="0" applyFont="1" applyBorder="1" applyAlignment="1">
      <alignment vertical="center"/>
    </xf>
    <xf numFmtId="4" fontId="26" fillId="0" borderId="5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4" fontId="27" fillId="0" borderId="0" xfId="0" applyNumberFormat="1" applyFont="1" applyAlignment="1">
      <alignment horizontal="center" vertical="center" wrapText="1"/>
    </xf>
    <xf numFmtId="3" fontId="19" fillId="0" borderId="5" xfId="0" applyNumberFormat="1" applyFont="1" applyBorder="1" applyAlignment="1">
      <alignment horizontal="center" vertical="center"/>
    </xf>
    <xf numFmtId="4" fontId="21" fillId="0" borderId="0" xfId="0" applyNumberFormat="1" applyFont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4" fontId="26" fillId="0" borderId="5" xfId="0" applyNumberFormat="1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4" fontId="26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 wrapText="1"/>
    </xf>
    <xf numFmtId="9" fontId="26" fillId="0" borderId="0" xfId="1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4" fontId="28" fillId="0" borderId="0" xfId="0" applyNumberFormat="1" applyFont="1" applyAlignment="1">
      <alignment horizontal="center" vertical="center" wrapText="1"/>
    </xf>
    <xf numFmtId="4" fontId="28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9" fontId="19" fillId="0" borderId="0" xfId="1" applyFont="1" applyAlignment="1">
      <alignment horizontal="center" vertical="center" wrapText="1"/>
    </xf>
    <xf numFmtId="0" fontId="15" fillId="5" borderId="0" xfId="0" applyFont="1" applyFill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A1:F153"/>
  <sheetViews>
    <sheetView showGridLines="0" tabSelected="1" topLeftCell="A8" zoomScaleNormal="100" workbookViewId="0">
      <pane ySplit="4" topLeftCell="A12" activePane="bottomLeft" state="frozen"/>
      <selection activeCell="B27" sqref="B27"/>
      <selection pane="bottomLeft" activeCell="A11" sqref="A11"/>
    </sheetView>
  </sheetViews>
  <sheetFormatPr defaultRowHeight="14.4"/>
  <cols>
    <col min="1" max="1" width="3" style="24" customWidth="1"/>
    <col min="2" max="2" width="0.88671875" style="25" customWidth="1"/>
    <col min="3" max="3" width="4.33203125" style="26" customWidth="1"/>
    <col min="4" max="4" width="53.33203125" style="27" customWidth="1"/>
    <col min="5" max="5" width="23.109375" style="27" customWidth="1"/>
    <col min="6" max="6" width="80.109375" style="29" customWidth="1"/>
    <col min="7" max="16384" width="8.88671875" style="27"/>
  </cols>
  <sheetData>
    <row r="1" spans="1:6" hidden="1">
      <c r="E1" s="28" t="s">
        <v>167</v>
      </c>
    </row>
    <row r="2" spans="1:6" hidden="1">
      <c r="E2" s="30" t="s">
        <v>59</v>
      </c>
    </row>
    <row r="3" spans="1:6" hidden="1">
      <c r="E3" s="30" t="s">
        <v>60</v>
      </c>
    </row>
    <row r="4" spans="1:6" hidden="1">
      <c r="E4" s="30" t="s">
        <v>168</v>
      </c>
    </row>
    <row r="5" spans="1:6" hidden="1">
      <c r="E5" s="30"/>
    </row>
    <row r="6" spans="1:6" hidden="1">
      <c r="E6" s="30" t="s">
        <v>62</v>
      </c>
    </row>
    <row r="7" spans="1:6" hidden="1">
      <c r="E7" s="30" t="s">
        <v>61</v>
      </c>
    </row>
    <row r="8" spans="1:6" ht="18">
      <c r="A8" s="31" t="s">
        <v>390</v>
      </c>
    </row>
    <row r="9" spans="1:6">
      <c r="A9" s="32" t="s">
        <v>391</v>
      </c>
    </row>
    <row r="10" spans="1:6" ht="20.399999999999999" customHeight="1">
      <c r="E10" s="33"/>
    </row>
    <row r="11" spans="1:6" s="38" customFormat="1">
      <c r="A11" s="34" t="s">
        <v>290</v>
      </c>
      <c r="B11" s="34"/>
      <c r="C11" s="35"/>
      <c r="D11" s="35"/>
      <c r="E11" s="36" t="s">
        <v>294</v>
      </c>
      <c r="F11" s="37" t="s">
        <v>295</v>
      </c>
    </row>
    <row r="12" spans="1:6">
      <c r="A12" s="39" t="s">
        <v>108</v>
      </c>
      <c r="B12" s="40"/>
      <c r="C12" s="41"/>
      <c r="D12" s="42"/>
      <c r="E12" s="43"/>
      <c r="F12" s="44"/>
    </row>
    <row r="13" spans="1:6">
      <c r="A13" s="39"/>
      <c r="B13" s="40" t="s">
        <v>392</v>
      </c>
      <c r="C13" s="41"/>
      <c r="D13" s="42" t="s">
        <v>399</v>
      </c>
      <c r="E13" s="43"/>
      <c r="F13" s="44"/>
    </row>
    <row r="14" spans="1:6">
      <c r="A14" s="39"/>
      <c r="B14" s="40" t="s">
        <v>393</v>
      </c>
      <c r="C14" s="41"/>
      <c r="D14" s="42" t="s">
        <v>400</v>
      </c>
      <c r="E14" s="43"/>
      <c r="F14" s="44"/>
    </row>
    <row r="15" spans="1:6">
      <c r="A15" s="39"/>
      <c r="B15" s="40" t="s">
        <v>394</v>
      </c>
      <c r="C15" s="41"/>
      <c r="D15" s="42" t="s">
        <v>401</v>
      </c>
      <c r="E15" s="43"/>
      <c r="F15" s="44"/>
    </row>
    <row r="16" spans="1:6">
      <c r="A16" s="39"/>
      <c r="B16" s="40" t="s">
        <v>395</v>
      </c>
      <c r="C16" s="41"/>
      <c r="D16" s="42" t="s">
        <v>402</v>
      </c>
      <c r="E16" s="43"/>
      <c r="F16" s="44" t="s">
        <v>405</v>
      </c>
    </row>
    <row r="17" spans="1:6">
      <c r="A17" s="39"/>
      <c r="B17" s="40" t="s">
        <v>396</v>
      </c>
      <c r="C17" s="41"/>
      <c r="D17" s="42" t="s">
        <v>403</v>
      </c>
      <c r="E17" s="43"/>
      <c r="F17" s="44" t="s">
        <v>406</v>
      </c>
    </row>
    <row r="18" spans="1:6">
      <c r="A18" s="39"/>
      <c r="B18" s="40" t="s">
        <v>397</v>
      </c>
      <c r="C18" s="41"/>
      <c r="D18" s="42" t="s">
        <v>404</v>
      </c>
      <c r="E18" s="43"/>
      <c r="F18" s="44"/>
    </row>
    <row r="19" spans="1:6">
      <c r="A19" s="39"/>
      <c r="B19" s="40" t="s">
        <v>398</v>
      </c>
      <c r="C19" s="41"/>
      <c r="D19" s="42" t="s">
        <v>418</v>
      </c>
      <c r="E19" s="43"/>
      <c r="F19" s="44"/>
    </row>
    <row r="20" spans="1:6">
      <c r="A20" s="39" t="s">
        <v>109</v>
      </c>
      <c r="B20" s="40"/>
      <c r="C20" s="41"/>
      <c r="D20" s="42"/>
      <c r="E20" s="43"/>
      <c r="F20" s="44"/>
    </row>
    <row r="21" spans="1:6">
      <c r="A21" s="39"/>
      <c r="B21" s="40" t="s">
        <v>407</v>
      </c>
      <c r="C21" s="41"/>
      <c r="D21" s="42" t="s">
        <v>413</v>
      </c>
      <c r="E21" s="43"/>
      <c r="F21" s="44"/>
    </row>
    <row r="22" spans="1:6">
      <c r="A22" s="39"/>
      <c r="B22" s="40" t="s">
        <v>408</v>
      </c>
      <c r="C22" s="41"/>
      <c r="D22" s="42" t="s">
        <v>414</v>
      </c>
      <c r="E22" s="43"/>
      <c r="F22" s="44"/>
    </row>
    <row r="23" spans="1:6">
      <c r="A23" s="39"/>
      <c r="B23" s="40" t="s">
        <v>409</v>
      </c>
      <c r="C23" s="41"/>
      <c r="D23" s="42" t="s">
        <v>415</v>
      </c>
      <c r="E23" s="43"/>
      <c r="F23" s="44"/>
    </row>
    <row r="24" spans="1:6">
      <c r="A24" s="39"/>
      <c r="B24" s="40" t="s">
        <v>410</v>
      </c>
      <c r="C24" s="41"/>
      <c r="D24" s="42" t="s">
        <v>416</v>
      </c>
      <c r="E24" s="43"/>
      <c r="F24" s="44"/>
    </row>
    <row r="25" spans="1:6">
      <c r="A25" s="39"/>
      <c r="B25" s="40" t="s">
        <v>411</v>
      </c>
      <c r="C25" s="41"/>
      <c r="D25" s="42" t="s">
        <v>419</v>
      </c>
      <c r="E25" s="43"/>
      <c r="F25" s="44"/>
    </row>
    <row r="26" spans="1:6">
      <c r="A26" s="39"/>
      <c r="B26" s="40" t="s">
        <v>412</v>
      </c>
      <c r="C26" s="41"/>
      <c r="D26" s="42" t="s">
        <v>417</v>
      </c>
      <c r="E26" s="43"/>
      <c r="F26" s="44"/>
    </row>
    <row r="27" spans="1:6">
      <c r="A27" s="39" t="s">
        <v>110</v>
      </c>
      <c r="B27" s="40"/>
      <c r="C27" s="41"/>
      <c r="D27" s="42"/>
      <c r="E27" s="43"/>
      <c r="F27" s="44"/>
    </row>
    <row r="28" spans="1:6">
      <c r="A28" s="39"/>
      <c r="B28" s="40" t="s">
        <v>1</v>
      </c>
      <c r="C28" s="41"/>
      <c r="D28" s="42" t="s">
        <v>659</v>
      </c>
      <c r="E28" s="43">
        <v>700</v>
      </c>
      <c r="F28" s="44"/>
    </row>
    <row r="29" spans="1:6" ht="15" customHeight="1">
      <c r="A29" s="39"/>
      <c r="B29" s="40" t="s">
        <v>2</v>
      </c>
      <c r="C29" s="41"/>
      <c r="D29" s="42" t="s">
        <v>6</v>
      </c>
      <c r="E29" s="43">
        <v>30000</v>
      </c>
      <c r="F29" s="44" t="s">
        <v>420</v>
      </c>
    </row>
    <row r="30" spans="1:6" ht="28.8">
      <c r="A30" s="39"/>
      <c r="B30" s="40" t="s">
        <v>3</v>
      </c>
      <c r="C30" s="41"/>
      <c r="D30" s="42" t="s">
        <v>0</v>
      </c>
      <c r="E30" s="43">
        <v>4000</v>
      </c>
      <c r="F30" s="44" t="s">
        <v>469</v>
      </c>
    </row>
    <row r="31" spans="1:6">
      <c r="A31" s="39"/>
      <c r="B31" s="40" t="s">
        <v>7</v>
      </c>
      <c r="C31" s="41"/>
      <c r="D31" s="42" t="s">
        <v>4</v>
      </c>
      <c r="E31" s="43">
        <v>4890</v>
      </c>
      <c r="F31" s="44"/>
    </row>
    <row r="32" spans="1:6">
      <c r="A32" s="39"/>
      <c r="B32" s="40" t="s">
        <v>8</v>
      </c>
      <c r="C32" s="41"/>
      <c r="D32" s="42" t="s">
        <v>5</v>
      </c>
      <c r="E32" s="43">
        <v>2213</v>
      </c>
      <c r="F32" s="44"/>
    </row>
    <row r="33" spans="1:6">
      <c r="A33" s="39" t="s">
        <v>111</v>
      </c>
      <c r="B33" s="40"/>
      <c r="C33" s="41"/>
      <c r="D33" s="42"/>
      <c r="E33" s="43"/>
      <c r="F33" s="44"/>
    </row>
    <row r="34" spans="1:6">
      <c r="A34" s="39"/>
      <c r="B34" s="40" t="s">
        <v>11</v>
      </c>
      <c r="C34" s="41"/>
      <c r="D34" s="42" t="s">
        <v>9</v>
      </c>
      <c r="E34" s="43">
        <v>1500</v>
      </c>
      <c r="F34" s="44" t="s">
        <v>421</v>
      </c>
    </row>
    <row r="35" spans="1:6" ht="57.6">
      <c r="A35" s="39"/>
      <c r="B35" s="40" t="s">
        <v>12</v>
      </c>
      <c r="C35" s="41"/>
      <c r="D35" s="42" t="s">
        <v>10</v>
      </c>
      <c r="E35" s="43">
        <v>27000</v>
      </c>
      <c r="F35" s="44" t="s">
        <v>460</v>
      </c>
    </row>
    <row r="36" spans="1:6">
      <c r="A36" s="39" t="s">
        <v>112</v>
      </c>
      <c r="B36" s="40"/>
      <c r="C36" s="41"/>
      <c r="D36" s="42"/>
      <c r="E36" s="43"/>
      <c r="F36" s="44"/>
    </row>
    <row r="37" spans="1:6">
      <c r="A37" s="39"/>
      <c r="B37" s="40" t="s">
        <v>169</v>
      </c>
      <c r="C37" s="41"/>
      <c r="D37" s="42" t="s">
        <v>171</v>
      </c>
      <c r="E37" s="43">
        <f>Fundação!E23</f>
        <v>79063.820000000007</v>
      </c>
      <c r="F37" s="44" t="s">
        <v>470</v>
      </c>
    </row>
    <row r="38" spans="1:6" ht="43.2">
      <c r="A38" s="39"/>
      <c r="B38" s="40" t="s">
        <v>170</v>
      </c>
      <c r="C38" s="41"/>
      <c r="D38" s="42" t="s">
        <v>172</v>
      </c>
      <c r="E38" s="43">
        <v>4000</v>
      </c>
      <c r="F38" s="44" t="s">
        <v>468</v>
      </c>
    </row>
    <row r="39" spans="1:6">
      <c r="A39" s="39" t="s">
        <v>115</v>
      </c>
      <c r="B39" s="40"/>
      <c r="C39" s="41"/>
      <c r="D39" s="42"/>
      <c r="E39" s="43">
        <f>Arrimos!E38</f>
        <v>41104.482099999994</v>
      </c>
      <c r="F39" s="44" t="s">
        <v>471</v>
      </c>
    </row>
    <row r="40" spans="1:6">
      <c r="A40" s="39" t="s">
        <v>116</v>
      </c>
      <c r="B40" s="40"/>
      <c r="C40" s="41"/>
      <c r="D40" s="42"/>
      <c r="E40" s="43"/>
      <c r="F40" s="44"/>
    </row>
    <row r="41" spans="1:6">
      <c r="A41" s="39"/>
      <c r="B41" s="40" t="s">
        <v>63</v>
      </c>
      <c r="C41" s="41"/>
      <c r="D41" s="42" t="s">
        <v>14</v>
      </c>
      <c r="E41" s="43">
        <f>Estrutura!F8</f>
        <v>115156.125</v>
      </c>
      <c r="F41" s="44" t="s">
        <v>485</v>
      </c>
    </row>
    <row r="42" spans="1:6">
      <c r="A42" s="39"/>
      <c r="B42" s="40" t="s">
        <v>64</v>
      </c>
      <c r="C42" s="41"/>
      <c r="D42" s="42" t="s">
        <v>13</v>
      </c>
      <c r="E42" s="43">
        <f>Estrutura!F17</f>
        <v>187336.125</v>
      </c>
      <c r="F42" s="44" t="s">
        <v>485</v>
      </c>
    </row>
    <row r="43" spans="1:6">
      <c r="A43" s="39"/>
      <c r="B43" s="40" t="s">
        <v>65</v>
      </c>
      <c r="C43" s="41"/>
      <c r="D43" s="42" t="s">
        <v>114</v>
      </c>
      <c r="E43" s="43">
        <f>Estrutura!F26</f>
        <v>65670</v>
      </c>
      <c r="F43" s="44" t="s">
        <v>485</v>
      </c>
    </row>
    <row r="44" spans="1:6" ht="43.2">
      <c r="A44" s="39"/>
      <c r="B44" s="40" t="s">
        <v>66</v>
      </c>
      <c r="C44" s="41"/>
      <c r="D44" s="42" t="s">
        <v>16</v>
      </c>
      <c r="E44" s="43">
        <f>Estrutura!F33</f>
        <v>62950</v>
      </c>
      <c r="F44" s="44" t="s">
        <v>484</v>
      </c>
    </row>
    <row r="45" spans="1:6" ht="43.2">
      <c r="A45" s="39"/>
      <c r="B45" s="40" t="s">
        <v>67</v>
      </c>
      <c r="C45" s="41"/>
      <c r="D45" s="42" t="s">
        <v>15</v>
      </c>
      <c r="E45" s="43">
        <v>33000</v>
      </c>
      <c r="F45" s="44" t="s">
        <v>486</v>
      </c>
    </row>
    <row r="46" spans="1:6" ht="28.8">
      <c r="A46" s="39"/>
      <c r="B46" s="40" t="s">
        <v>113</v>
      </c>
      <c r="C46" s="41"/>
      <c r="D46" s="42" t="s">
        <v>17</v>
      </c>
      <c r="E46" s="43">
        <f>SUM(E41:E45)*0.05</f>
        <v>23205.612500000003</v>
      </c>
      <c r="F46" s="44" t="s">
        <v>488</v>
      </c>
    </row>
    <row r="47" spans="1:6">
      <c r="A47" s="39" t="s">
        <v>117</v>
      </c>
      <c r="B47" s="40"/>
      <c r="C47" s="41"/>
      <c r="D47" s="42"/>
      <c r="E47" s="43">
        <f>Alvenaria!B104</f>
        <v>45412.818935000003</v>
      </c>
      <c r="F47" s="44" t="s">
        <v>525</v>
      </c>
    </row>
    <row r="48" spans="1:6">
      <c r="A48" s="39" t="s">
        <v>118</v>
      </c>
      <c r="B48" s="40"/>
      <c r="C48" s="41"/>
      <c r="D48" s="42"/>
      <c r="E48" s="43">
        <f>'Rev. Argamassados'!E20</f>
        <v>27859.985241000002</v>
      </c>
      <c r="F48" s="44" t="s">
        <v>572</v>
      </c>
    </row>
    <row r="49" spans="1:6" ht="28.8">
      <c r="A49" s="39" t="s">
        <v>119</v>
      </c>
      <c r="B49" s="40"/>
      <c r="C49" s="41"/>
      <c r="D49" s="42"/>
      <c r="E49" s="43">
        <f>450*145</f>
        <v>65250</v>
      </c>
      <c r="F49" s="44" t="s">
        <v>649</v>
      </c>
    </row>
    <row r="50" spans="1:6" ht="28.8">
      <c r="A50" s="39" t="s">
        <v>120</v>
      </c>
      <c r="B50" s="40"/>
      <c r="C50" s="41"/>
      <c r="D50" s="42"/>
      <c r="E50" s="43">
        <f>450*70</f>
        <v>31500</v>
      </c>
      <c r="F50" s="44" t="s">
        <v>649</v>
      </c>
    </row>
    <row r="51" spans="1:6">
      <c r="A51" s="39" t="s">
        <v>121</v>
      </c>
      <c r="B51" s="40"/>
      <c r="C51" s="41"/>
      <c r="D51" s="42"/>
      <c r="E51" s="43"/>
      <c r="F51" s="44"/>
    </row>
    <row r="52" spans="1:6" ht="43.2">
      <c r="A52" s="39"/>
      <c r="B52" s="40" t="s">
        <v>132</v>
      </c>
      <c r="C52" s="41"/>
      <c r="D52" s="42" t="s">
        <v>650</v>
      </c>
      <c r="E52" s="43"/>
      <c r="F52" s="44" t="s">
        <v>654</v>
      </c>
    </row>
    <row r="53" spans="1:6" ht="57.6">
      <c r="A53" s="39"/>
      <c r="B53" s="40" t="s">
        <v>133</v>
      </c>
      <c r="C53" s="41"/>
      <c r="D53" s="42" t="s">
        <v>253</v>
      </c>
      <c r="E53" s="43">
        <v>5089.2</v>
      </c>
      <c r="F53" s="44" t="s">
        <v>651</v>
      </c>
    </row>
    <row r="54" spans="1:6" ht="43.2">
      <c r="A54" s="39"/>
      <c r="B54" s="40" t="s">
        <v>134</v>
      </c>
      <c r="C54" s="41"/>
      <c r="D54" s="42" t="s">
        <v>137</v>
      </c>
      <c r="E54" s="43"/>
      <c r="F54" s="44" t="s">
        <v>652</v>
      </c>
    </row>
    <row r="55" spans="1:6">
      <c r="A55" s="39"/>
      <c r="B55" s="40" t="s">
        <v>135</v>
      </c>
      <c r="C55" s="41"/>
      <c r="D55" s="42" t="s">
        <v>138</v>
      </c>
      <c r="E55" s="43"/>
      <c r="F55" s="44" t="s">
        <v>653</v>
      </c>
    </row>
    <row r="56" spans="1:6" ht="72">
      <c r="A56" s="39"/>
      <c r="B56" s="40" t="s">
        <v>136</v>
      </c>
      <c r="C56" s="41"/>
      <c r="D56" s="42" t="s">
        <v>37</v>
      </c>
      <c r="E56" s="43"/>
      <c r="F56" s="44" t="s">
        <v>673</v>
      </c>
    </row>
    <row r="57" spans="1:6" ht="86.4">
      <c r="A57" s="39"/>
      <c r="B57" s="40" t="s">
        <v>670</v>
      </c>
      <c r="C57" s="41"/>
      <c r="D57" s="42" t="s">
        <v>42</v>
      </c>
      <c r="E57" s="43">
        <v>7500</v>
      </c>
      <c r="F57" s="44" t="s">
        <v>674</v>
      </c>
    </row>
    <row r="58" spans="1:6" ht="57.6">
      <c r="A58" s="39"/>
      <c r="B58" s="40" t="s">
        <v>671</v>
      </c>
      <c r="C58" s="41"/>
      <c r="D58" s="42" t="s">
        <v>44</v>
      </c>
      <c r="E58" s="43">
        <v>2478.56</v>
      </c>
      <c r="F58" s="44" t="s">
        <v>675</v>
      </c>
    </row>
    <row r="59" spans="1:6">
      <c r="A59" s="39"/>
      <c r="B59" s="40" t="s">
        <v>672</v>
      </c>
      <c r="C59" s="41"/>
      <c r="D59" s="42" t="s">
        <v>17</v>
      </c>
      <c r="E59" s="43"/>
      <c r="F59" s="44" t="s">
        <v>676</v>
      </c>
    </row>
    <row r="60" spans="1:6" ht="43.2">
      <c r="A60" s="39" t="s">
        <v>122</v>
      </c>
      <c r="B60" s="40"/>
      <c r="C60" s="41"/>
      <c r="D60" s="42"/>
      <c r="E60" s="43">
        <f>Impermeabilizações!K34-E73</f>
        <v>26700.664500000006</v>
      </c>
      <c r="F60" s="44" t="s">
        <v>607</v>
      </c>
    </row>
    <row r="61" spans="1:6">
      <c r="A61" s="39" t="s">
        <v>123</v>
      </c>
      <c r="B61" s="40"/>
      <c r="C61" s="41"/>
      <c r="D61" s="42"/>
      <c r="E61" s="43"/>
      <c r="F61" s="44"/>
    </row>
    <row r="62" spans="1:6" ht="43.2">
      <c r="A62" s="39"/>
      <c r="B62" s="40" t="s">
        <v>68</v>
      </c>
      <c r="C62" s="41"/>
      <c r="D62" s="42" t="s">
        <v>18</v>
      </c>
      <c r="E62" s="43">
        <f>Acabamentos!I44</f>
        <v>108540.34999999999</v>
      </c>
      <c r="F62" s="44" t="s">
        <v>591</v>
      </c>
    </row>
    <row r="63" spans="1:6" ht="57.6">
      <c r="A63" s="39"/>
      <c r="B63" s="40" t="s">
        <v>69</v>
      </c>
      <c r="C63" s="41"/>
      <c r="D63" s="42" t="s">
        <v>19</v>
      </c>
      <c r="E63" s="43">
        <v>9500</v>
      </c>
      <c r="F63" s="44" t="s">
        <v>592</v>
      </c>
    </row>
    <row r="64" spans="1:6">
      <c r="A64" s="39"/>
      <c r="B64" s="40" t="s">
        <v>70</v>
      </c>
      <c r="C64" s="41"/>
      <c r="D64" s="42" t="s">
        <v>20</v>
      </c>
      <c r="E64" s="43">
        <v>7000</v>
      </c>
      <c r="F64" s="44" t="s">
        <v>593</v>
      </c>
    </row>
    <row r="65" spans="1:6" ht="43.2">
      <c r="A65" s="39"/>
      <c r="B65" s="40" t="s">
        <v>71</v>
      </c>
      <c r="C65" s="41"/>
      <c r="D65" s="42" t="s">
        <v>21</v>
      </c>
      <c r="E65" s="43">
        <f>Acabamentos!I48</f>
        <v>10385.140687999999</v>
      </c>
      <c r="F65" s="44" t="s">
        <v>598</v>
      </c>
    </row>
    <row r="66" spans="1:6">
      <c r="A66" s="39"/>
      <c r="B66" s="40" t="s">
        <v>72</v>
      </c>
      <c r="C66" s="41"/>
      <c r="D66" s="42" t="s">
        <v>22</v>
      </c>
      <c r="E66" s="43"/>
      <c r="F66" s="44"/>
    </row>
    <row r="67" spans="1:6">
      <c r="A67" s="39"/>
      <c r="B67" s="40" t="s">
        <v>73</v>
      </c>
      <c r="C67" s="41"/>
      <c r="D67" s="42" t="s">
        <v>23</v>
      </c>
      <c r="E67" s="43">
        <v>950</v>
      </c>
      <c r="F67" s="44"/>
    </row>
    <row r="68" spans="1:6" ht="43.2">
      <c r="A68" s="39"/>
      <c r="B68" s="40" t="s">
        <v>74</v>
      </c>
      <c r="C68" s="41"/>
      <c r="D68" s="42" t="s">
        <v>17</v>
      </c>
      <c r="E68" s="43">
        <v>22000</v>
      </c>
      <c r="F68" s="44" t="s">
        <v>599</v>
      </c>
    </row>
    <row r="69" spans="1:6">
      <c r="A69" s="39" t="s">
        <v>124</v>
      </c>
      <c r="B69" s="40"/>
      <c r="C69" s="41"/>
      <c r="D69" s="42"/>
      <c r="E69" s="43"/>
      <c r="F69" s="44"/>
    </row>
    <row r="70" spans="1:6" ht="28.8">
      <c r="A70" s="39"/>
      <c r="B70" s="40" t="s">
        <v>75</v>
      </c>
      <c r="C70" s="41"/>
      <c r="D70" s="42" t="s">
        <v>24</v>
      </c>
      <c r="E70" s="43">
        <v>3200</v>
      </c>
      <c r="F70" s="44" t="s">
        <v>604</v>
      </c>
    </row>
    <row r="71" spans="1:6">
      <c r="A71" s="39"/>
      <c r="B71" s="40" t="s">
        <v>76</v>
      </c>
      <c r="C71" s="41"/>
      <c r="D71" s="42" t="s">
        <v>139</v>
      </c>
      <c r="E71" s="43"/>
      <c r="F71" s="44"/>
    </row>
    <row r="72" spans="1:6">
      <c r="A72" s="39"/>
      <c r="B72" s="40" t="s">
        <v>77</v>
      </c>
      <c r="C72" s="41"/>
      <c r="D72" s="42" t="s">
        <v>25</v>
      </c>
      <c r="E72" s="43"/>
      <c r="F72" s="44"/>
    </row>
    <row r="73" spans="1:6" ht="28.8">
      <c r="A73" s="39"/>
      <c r="B73" s="40" t="s">
        <v>78</v>
      </c>
      <c r="C73" s="41"/>
      <c r="D73" s="42" t="s">
        <v>140</v>
      </c>
      <c r="E73" s="43">
        <f>Impermeabilizações!K37</f>
        <v>27262.305</v>
      </c>
      <c r="F73" s="44" t="s">
        <v>602</v>
      </c>
    </row>
    <row r="74" spans="1:6">
      <c r="A74" s="39" t="s">
        <v>125</v>
      </c>
      <c r="B74" s="40"/>
      <c r="C74" s="41"/>
      <c r="D74" s="42"/>
      <c r="E74" s="43"/>
      <c r="F74" s="44"/>
    </row>
    <row r="75" spans="1:6">
      <c r="A75" s="39"/>
      <c r="B75" s="40" t="s">
        <v>79</v>
      </c>
      <c r="C75" s="41"/>
      <c r="D75" s="42" t="s">
        <v>26</v>
      </c>
      <c r="E75" s="43">
        <f>Esquadrias!I33</f>
        <v>161449.155</v>
      </c>
      <c r="F75" s="44" t="s">
        <v>611</v>
      </c>
    </row>
    <row r="76" spans="1:6">
      <c r="A76" s="39"/>
      <c r="B76" s="40" t="s">
        <v>80</v>
      </c>
      <c r="C76" s="41"/>
      <c r="D76" s="42" t="s">
        <v>27</v>
      </c>
      <c r="E76" s="43">
        <f>Esquadrias!I43</f>
        <v>28938.25</v>
      </c>
      <c r="F76" s="44" t="s">
        <v>611</v>
      </c>
    </row>
    <row r="77" spans="1:6">
      <c r="A77" s="39"/>
      <c r="B77" s="40" t="s">
        <v>81</v>
      </c>
      <c r="C77" s="41"/>
      <c r="D77" s="42" t="s">
        <v>601</v>
      </c>
      <c r="E77" s="43">
        <v>856</v>
      </c>
      <c r="F77" s="44"/>
    </row>
    <row r="78" spans="1:6">
      <c r="A78" s="39"/>
      <c r="B78" s="40" t="s">
        <v>82</v>
      </c>
      <c r="C78" s="41"/>
      <c r="D78" s="42" t="s">
        <v>28</v>
      </c>
      <c r="E78" s="43"/>
      <c r="F78" s="44"/>
    </row>
    <row r="79" spans="1:6">
      <c r="A79" s="39"/>
      <c r="B79" s="40" t="s">
        <v>83</v>
      </c>
      <c r="C79" s="41"/>
      <c r="D79" s="42" t="s">
        <v>29</v>
      </c>
      <c r="E79" s="43">
        <f>Esquadrias!E60</f>
        <v>20900</v>
      </c>
      <c r="F79" s="44" t="s">
        <v>611</v>
      </c>
    </row>
    <row r="80" spans="1:6">
      <c r="A80" s="39"/>
      <c r="B80" s="40" t="s">
        <v>84</v>
      </c>
      <c r="C80" s="41"/>
      <c r="D80" s="42" t="s">
        <v>30</v>
      </c>
      <c r="E80" s="43">
        <v>3000</v>
      </c>
      <c r="F80" s="44"/>
    </row>
    <row r="81" spans="1:6">
      <c r="A81" s="39"/>
      <c r="B81" s="40" t="s">
        <v>600</v>
      </c>
      <c r="C81" s="41"/>
      <c r="D81" s="42" t="s">
        <v>17</v>
      </c>
      <c r="E81" s="43">
        <v>1000</v>
      </c>
      <c r="F81" s="44"/>
    </row>
    <row r="82" spans="1:6">
      <c r="A82" s="39" t="s">
        <v>126</v>
      </c>
      <c r="B82" s="40"/>
      <c r="C82" s="41"/>
      <c r="D82" s="42"/>
      <c r="E82" s="43"/>
      <c r="F82" s="44"/>
    </row>
    <row r="83" spans="1:6" ht="28.8">
      <c r="A83" s="39"/>
      <c r="B83" s="40" t="s">
        <v>85</v>
      </c>
      <c r="C83" s="41"/>
      <c r="D83" s="42" t="s">
        <v>656</v>
      </c>
      <c r="E83" s="43">
        <v>92000</v>
      </c>
      <c r="F83" s="44" t="s">
        <v>613</v>
      </c>
    </row>
    <row r="84" spans="1:6">
      <c r="A84" s="39"/>
      <c r="B84" s="40" t="s">
        <v>86</v>
      </c>
      <c r="C84" s="41"/>
      <c r="D84" s="42" t="s">
        <v>657</v>
      </c>
      <c r="E84" s="43"/>
      <c r="F84" s="44"/>
    </row>
    <row r="85" spans="1:6">
      <c r="A85" s="39" t="s">
        <v>127</v>
      </c>
      <c r="B85" s="40"/>
      <c r="C85" s="41"/>
      <c r="D85" s="42"/>
      <c r="E85" s="43"/>
      <c r="F85" s="44"/>
    </row>
    <row r="86" spans="1:6" ht="28.8">
      <c r="A86" s="39"/>
      <c r="B86" s="40" t="s">
        <v>87</v>
      </c>
      <c r="C86" s="41"/>
      <c r="D86" s="42" t="s">
        <v>31</v>
      </c>
      <c r="E86" s="43">
        <v>41825</v>
      </c>
      <c r="F86" s="44" t="s">
        <v>613</v>
      </c>
    </row>
    <row r="87" spans="1:6">
      <c r="A87" s="39"/>
      <c r="B87" s="40" t="s">
        <v>88</v>
      </c>
      <c r="C87" s="41"/>
      <c r="D87" s="42" t="s">
        <v>32</v>
      </c>
      <c r="E87" s="43">
        <f>'Louças e metais'!E18</f>
        <v>35690</v>
      </c>
      <c r="F87" s="44" t="s">
        <v>616</v>
      </c>
    </row>
    <row r="88" spans="1:6">
      <c r="A88" s="39"/>
      <c r="B88" s="40" t="s">
        <v>89</v>
      </c>
      <c r="C88" s="41"/>
      <c r="D88" s="42" t="s">
        <v>612</v>
      </c>
      <c r="E88" s="43">
        <v>3500</v>
      </c>
      <c r="F88" s="44"/>
    </row>
    <row r="89" spans="1:6" ht="28.8">
      <c r="A89" s="39"/>
      <c r="B89" s="40" t="s">
        <v>655</v>
      </c>
      <c r="C89" s="41"/>
      <c r="D89" s="42" t="s">
        <v>17</v>
      </c>
      <c r="E89" s="43">
        <v>1800</v>
      </c>
      <c r="F89" s="44" t="s">
        <v>617</v>
      </c>
    </row>
    <row r="90" spans="1:6">
      <c r="A90" s="39" t="s">
        <v>128</v>
      </c>
      <c r="B90" s="40"/>
      <c r="C90" s="41"/>
      <c r="D90" s="42"/>
      <c r="E90" s="43"/>
      <c r="F90" s="44"/>
    </row>
    <row r="91" spans="1:6">
      <c r="A91" s="39"/>
      <c r="B91" s="40" t="s">
        <v>90</v>
      </c>
      <c r="C91" s="41"/>
      <c r="D91" s="42" t="s">
        <v>33</v>
      </c>
      <c r="E91" s="43">
        <f>Forros!I41</f>
        <v>46002.046649999997</v>
      </c>
      <c r="F91" s="44" t="s">
        <v>618</v>
      </c>
    </row>
    <row r="92" spans="1:6">
      <c r="A92" s="39"/>
      <c r="B92" s="40" t="s">
        <v>91</v>
      </c>
      <c r="C92" s="41"/>
      <c r="D92" s="42" t="s">
        <v>34</v>
      </c>
      <c r="E92" s="43"/>
      <c r="F92" s="44" t="s">
        <v>628</v>
      </c>
    </row>
    <row r="93" spans="1:6">
      <c r="A93" s="39"/>
      <c r="B93" s="40" t="s">
        <v>92</v>
      </c>
      <c r="C93" s="41"/>
      <c r="D93" s="42" t="s">
        <v>17</v>
      </c>
      <c r="E93" s="43"/>
      <c r="F93" s="44"/>
    </row>
    <row r="94" spans="1:6">
      <c r="A94" s="39" t="s">
        <v>129</v>
      </c>
      <c r="B94" s="40"/>
      <c r="C94" s="41" t="s">
        <v>35</v>
      </c>
      <c r="D94" s="42"/>
      <c r="E94" s="43"/>
      <c r="F94" s="44"/>
    </row>
    <row r="95" spans="1:6" ht="28.8">
      <c r="A95" s="39"/>
      <c r="B95" s="40" t="s">
        <v>93</v>
      </c>
      <c r="C95" s="41"/>
      <c r="D95" s="42" t="s">
        <v>631</v>
      </c>
      <c r="E95" s="43">
        <f>450*80</f>
        <v>36000</v>
      </c>
      <c r="F95" s="44" t="s">
        <v>613</v>
      </c>
    </row>
    <row r="96" spans="1:6" ht="28.8">
      <c r="A96" s="39"/>
      <c r="B96" s="40" t="s">
        <v>94</v>
      </c>
      <c r="C96" s="41"/>
      <c r="D96" s="42" t="s">
        <v>632</v>
      </c>
      <c r="E96" s="43">
        <v>22000</v>
      </c>
      <c r="F96" s="44" t="s">
        <v>613</v>
      </c>
    </row>
    <row r="97" spans="1:6">
      <c r="A97" s="39"/>
      <c r="B97" s="40" t="s">
        <v>95</v>
      </c>
      <c r="C97" s="41"/>
      <c r="D97" s="42" t="s">
        <v>49</v>
      </c>
      <c r="E97" s="43"/>
      <c r="F97" s="44"/>
    </row>
    <row r="98" spans="1:6">
      <c r="A98" s="39"/>
      <c r="B98" s="40" t="s">
        <v>96</v>
      </c>
      <c r="C98" s="41"/>
      <c r="D98" s="42" t="s">
        <v>17</v>
      </c>
      <c r="E98" s="43">
        <v>800</v>
      </c>
      <c r="F98" s="44"/>
    </row>
    <row r="99" spans="1:6">
      <c r="A99" s="39" t="s">
        <v>130</v>
      </c>
      <c r="B99" s="40"/>
      <c r="C99" s="41"/>
      <c r="D99" s="42"/>
      <c r="E99" s="43"/>
      <c r="F99" s="44"/>
    </row>
    <row r="100" spans="1:6">
      <c r="A100" s="39"/>
      <c r="B100" s="40" t="s">
        <v>141</v>
      </c>
      <c r="C100" s="41"/>
      <c r="D100" s="42" t="s">
        <v>145</v>
      </c>
      <c r="E100" s="43">
        <v>8200</v>
      </c>
      <c r="F100" s="44" t="s">
        <v>640</v>
      </c>
    </row>
    <row r="101" spans="1:6">
      <c r="A101" s="39"/>
      <c r="B101" s="40" t="s">
        <v>142</v>
      </c>
      <c r="C101" s="41"/>
      <c r="D101" s="42" t="s">
        <v>146</v>
      </c>
      <c r="E101" s="43"/>
      <c r="F101" s="44"/>
    </row>
    <row r="102" spans="1:6" ht="43.2">
      <c r="A102" s="39"/>
      <c r="B102" s="40" t="s">
        <v>143</v>
      </c>
      <c r="C102" s="41"/>
      <c r="D102" s="42" t="s">
        <v>147</v>
      </c>
      <c r="E102" s="43">
        <v>8000</v>
      </c>
      <c r="F102" s="44" t="s">
        <v>638</v>
      </c>
    </row>
    <row r="103" spans="1:6">
      <c r="A103" s="39"/>
      <c r="B103" s="40" t="s">
        <v>144</v>
      </c>
      <c r="C103" s="41"/>
      <c r="D103" s="42" t="s">
        <v>148</v>
      </c>
      <c r="E103" s="43"/>
      <c r="F103" s="44" t="s">
        <v>639</v>
      </c>
    </row>
    <row r="104" spans="1:6">
      <c r="A104" s="39"/>
      <c r="B104" s="40" t="s">
        <v>149</v>
      </c>
      <c r="C104" s="41"/>
      <c r="D104" s="42" t="s">
        <v>17</v>
      </c>
      <c r="E104" s="43"/>
      <c r="F104" s="44"/>
    </row>
    <row r="105" spans="1:6" ht="28.8">
      <c r="A105" s="39" t="s">
        <v>131</v>
      </c>
      <c r="B105" s="40"/>
      <c r="C105" s="41"/>
      <c r="D105" s="42"/>
      <c r="E105" s="43">
        <v>10000</v>
      </c>
      <c r="F105" s="44" t="s">
        <v>641</v>
      </c>
    </row>
    <row r="106" spans="1:6">
      <c r="A106" s="39" t="s">
        <v>150</v>
      </c>
      <c r="B106" s="40"/>
      <c r="C106" s="41"/>
      <c r="D106" s="42"/>
      <c r="E106" s="43"/>
      <c r="F106" s="44"/>
    </row>
    <row r="107" spans="1:6" ht="43.2">
      <c r="A107" s="39"/>
      <c r="B107" s="40" t="s">
        <v>642</v>
      </c>
      <c r="C107" s="41"/>
      <c r="D107" s="42" t="s">
        <v>233</v>
      </c>
      <c r="E107" s="43"/>
      <c r="F107" s="44" t="s">
        <v>646</v>
      </c>
    </row>
    <row r="108" spans="1:6">
      <c r="A108" s="39"/>
      <c r="B108" s="40" t="s">
        <v>643</v>
      </c>
      <c r="C108" s="41"/>
      <c r="D108" s="42" t="s">
        <v>645</v>
      </c>
      <c r="E108" s="43"/>
      <c r="F108" s="44"/>
    </row>
    <row r="109" spans="1:6">
      <c r="A109" s="39"/>
      <c r="B109" s="40" t="s">
        <v>644</v>
      </c>
      <c r="C109" s="41"/>
      <c r="D109" s="42" t="s">
        <v>658</v>
      </c>
      <c r="E109" s="43"/>
      <c r="F109" s="44"/>
    </row>
    <row r="110" spans="1:6">
      <c r="A110" s="39" t="s">
        <v>151</v>
      </c>
      <c r="B110" s="40"/>
      <c r="C110" s="41"/>
      <c r="D110" s="42"/>
      <c r="E110" s="43"/>
      <c r="F110" s="44"/>
    </row>
    <row r="111" spans="1:6">
      <c r="A111" s="39"/>
      <c r="B111" s="40" t="s">
        <v>660</v>
      </c>
      <c r="C111" s="41"/>
      <c r="D111" s="42" t="s">
        <v>38</v>
      </c>
      <c r="E111" s="43"/>
      <c r="F111" s="44" t="s">
        <v>677</v>
      </c>
    </row>
    <row r="112" spans="1:6" ht="43.2">
      <c r="A112" s="39"/>
      <c r="B112" s="40" t="s">
        <v>661</v>
      </c>
      <c r="C112" s="41"/>
      <c r="D112" s="42" t="s">
        <v>39</v>
      </c>
      <c r="E112" s="43">
        <v>26000</v>
      </c>
      <c r="F112" s="44" t="s">
        <v>678</v>
      </c>
    </row>
    <row r="113" spans="1:6" ht="28.8">
      <c r="A113" s="39"/>
      <c r="B113" s="40" t="s">
        <v>662</v>
      </c>
      <c r="C113" s="41"/>
      <c r="D113" s="42" t="s">
        <v>40</v>
      </c>
      <c r="E113" s="43">
        <v>11200</v>
      </c>
      <c r="F113" s="44" t="s">
        <v>679</v>
      </c>
    </row>
    <row r="114" spans="1:6">
      <c r="A114" s="39"/>
      <c r="B114" s="40" t="s">
        <v>663</v>
      </c>
      <c r="C114" s="41"/>
      <c r="D114" s="42" t="s">
        <v>41</v>
      </c>
      <c r="E114" s="43">
        <v>31000</v>
      </c>
      <c r="F114" s="44" t="s">
        <v>680</v>
      </c>
    </row>
    <row r="115" spans="1:6">
      <c r="A115" s="39"/>
      <c r="B115" s="40" t="s">
        <v>664</v>
      </c>
      <c r="C115" s="41"/>
      <c r="D115" s="42" t="s">
        <v>43</v>
      </c>
      <c r="E115" s="43"/>
      <c r="F115" s="44" t="s">
        <v>681</v>
      </c>
    </row>
    <row r="116" spans="1:6">
      <c r="A116" s="39"/>
      <c r="B116" s="40" t="s">
        <v>665</v>
      </c>
      <c r="C116" s="41"/>
      <c r="D116" s="42" t="s">
        <v>45</v>
      </c>
      <c r="E116" s="43"/>
      <c r="F116" s="44"/>
    </row>
    <row r="117" spans="1:6">
      <c r="A117" s="39"/>
      <c r="B117" s="40" t="s">
        <v>666</v>
      </c>
      <c r="C117" s="41"/>
      <c r="D117" s="42" t="s">
        <v>46</v>
      </c>
      <c r="E117" s="43"/>
      <c r="F117" s="44"/>
    </row>
    <row r="118" spans="1:6">
      <c r="A118" s="39"/>
      <c r="B118" s="40" t="s">
        <v>667</v>
      </c>
      <c r="C118" s="41"/>
      <c r="D118" s="42" t="s">
        <v>47</v>
      </c>
      <c r="E118" s="43"/>
      <c r="F118" s="44"/>
    </row>
    <row r="119" spans="1:6">
      <c r="A119" s="39"/>
      <c r="B119" s="40" t="s">
        <v>668</v>
      </c>
      <c r="C119" s="41"/>
      <c r="D119" s="42" t="s">
        <v>346</v>
      </c>
      <c r="E119" s="43"/>
      <c r="F119" s="44"/>
    </row>
    <row r="120" spans="1:6">
      <c r="A120" s="39"/>
      <c r="B120" s="40" t="s">
        <v>669</v>
      </c>
      <c r="C120" s="41"/>
      <c r="D120" s="42" t="s">
        <v>17</v>
      </c>
      <c r="E120" s="43"/>
      <c r="F120" s="44"/>
    </row>
    <row r="121" spans="1:6" ht="28.8">
      <c r="A121" s="39" t="s">
        <v>152</v>
      </c>
      <c r="B121" s="40"/>
      <c r="C121" s="41"/>
      <c r="D121" s="42"/>
      <c r="E121" s="43">
        <v>9500</v>
      </c>
      <c r="F121" s="44" t="s">
        <v>682</v>
      </c>
    </row>
    <row r="122" spans="1:6">
      <c r="A122" s="39" t="s">
        <v>683</v>
      </c>
      <c r="B122" s="40"/>
      <c r="C122" s="41"/>
      <c r="D122" s="42"/>
      <c r="E122" s="43"/>
      <c r="F122" s="44"/>
    </row>
    <row r="123" spans="1:6">
      <c r="A123" s="39" t="s">
        <v>153</v>
      </c>
      <c r="B123" s="40"/>
      <c r="C123" s="41"/>
      <c r="D123" s="42"/>
      <c r="E123" s="43"/>
      <c r="F123" s="44" t="s">
        <v>685</v>
      </c>
    </row>
    <row r="124" spans="1:6">
      <c r="A124" s="39"/>
      <c r="B124" s="40" t="s">
        <v>97</v>
      </c>
      <c r="C124" s="41"/>
      <c r="D124" s="42" t="s">
        <v>48</v>
      </c>
      <c r="E124" s="43"/>
      <c r="F124" s="44" t="s">
        <v>684</v>
      </c>
    </row>
    <row r="125" spans="1:6">
      <c r="A125" s="39"/>
      <c r="B125" s="40" t="s">
        <v>98</v>
      </c>
      <c r="C125" s="41"/>
      <c r="D125" s="42" t="s">
        <v>50</v>
      </c>
      <c r="E125" s="43"/>
      <c r="F125" s="44"/>
    </row>
    <row r="126" spans="1:6">
      <c r="A126" s="39"/>
      <c r="B126" s="40" t="s">
        <v>99</v>
      </c>
      <c r="C126" s="41"/>
      <c r="D126" s="42" t="s">
        <v>52</v>
      </c>
      <c r="E126" s="43"/>
      <c r="F126" s="44"/>
    </row>
    <row r="127" spans="1:6">
      <c r="A127" s="39"/>
      <c r="B127" s="40" t="s">
        <v>100</v>
      </c>
      <c r="C127" s="41"/>
      <c r="D127" s="42" t="s">
        <v>53</v>
      </c>
      <c r="E127" s="43"/>
      <c r="F127" s="44"/>
    </row>
    <row r="128" spans="1:6">
      <c r="A128" s="39"/>
      <c r="B128" s="40" t="s">
        <v>101</v>
      </c>
      <c r="C128" s="41"/>
      <c r="D128" s="42" t="s">
        <v>54</v>
      </c>
      <c r="E128" s="43"/>
      <c r="F128" s="44"/>
    </row>
    <row r="129" spans="1:6">
      <c r="A129" s="39"/>
      <c r="B129" s="40" t="s">
        <v>102</v>
      </c>
      <c r="C129" s="41"/>
      <c r="D129" s="42" t="s">
        <v>55</v>
      </c>
      <c r="E129" s="43"/>
      <c r="F129" s="44"/>
    </row>
    <row r="130" spans="1:6">
      <c r="A130" s="39"/>
      <c r="B130" s="40" t="s">
        <v>103</v>
      </c>
      <c r="C130" s="41"/>
      <c r="D130" s="42" t="s">
        <v>56</v>
      </c>
      <c r="E130" s="43"/>
      <c r="F130" s="44"/>
    </row>
    <row r="131" spans="1:6">
      <c r="A131" s="39"/>
      <c r="B131" s="40" t="s">
        <v>104</v>
      </c>
      <c r="C131" s="41"/>
      <c r="D131" s="42" t="s">
        <v>154</v>
      </c>
      <c r="E131" s="43"/>
      <c r="F131" s="44"/>
    </row>
    <row r="132" spans="1:6">
      <c r="A132" s="39"/>
      <c r="B132" s="40" t="s">
        <v>105</v>
      </c>
      <c r="C132" s="41"/>
      <c r="D132" s="42" t="s">
        <v>57</v>
      </c>
      <c r="E132" s="43"/>
      <c r="F132" s="44"/>
    </row>
    <row r="133" spans="1:6">
      <c r="A133" s="39"/>
      <c r="B133" s="40" t="s">
        <v>106</v>
      </c>
      <c r="C133" s="41"/>
      <c r="D133" s="42" t="s">
        <v>58</v>
      </c>
      <c r="E133" s="43"/>
      <c r="F133" s="44"/>
    </row>
    <row r="134" spans="1:6">
      <c r="A134" s="39"/>
      <c r="B134" s="40" t="s">
        <v>107</v>
      </c>
      <c r="C134" s="41"/>
      <c r="D134" s="42" t="s">
        <v>51</v>
      </c>
      <c r="E134" s="43"/>
      <c r="F134" s="44"/>
    </row>
    <row r="135" spans="1:6">
      <c r="A135" s="39"/>
      <c r="B135" s="40" t="s">
        <v>156</v>
      </c>
      <c r="C135" s="41"/>
      <c r="D135" s="42" t="s">
        <v>155</v>
      </c>
      <c r="E135" s="43"/>
      <c r="F135" s="44"/>
    </row>
    <row r="136" spans="1:6">
      <c r="A136" s="39"/>
      <c r="B136" s="40" t="s">
        <v>157</v>
      </c>
      <c r="C136" s="41"/>
      <c r="D136" s="42" t="s">
        <v>17</v>
      </c>
      <c r="E136" s="43"/>
      <c r="F136" s="44"/>
    </row>
    <row r="137" spans="1:6">
      <c r="A137" s="39" t="s">
        <v>267</v>
      </c>
      <c r="B137" s="40"/>
      <c r="C137" s="41"/>
      <c r="D137" s="42"/>
      <c r="E137" s="43"/>
      <c r="F137" s="44"/>
    </row>
    <row r="138" spans="1:6">
      <c r="A138" s="39"/>
      <c r="B138" s="40" t="s">
        <v>268</v>
      </c>
      <c r="C138" s="41"/>
      <c r="D138" s="42" t="s">
        <v>281</v>
      </c>
      <c r="E138" s="43">
        <v>230000</v>
      </c>
      <c r="F138" s="44"/>
    </row>
    <row r="139" spans="1:6">
      <c r="A139" s="39"/>
      <c r="B139" s="40" t="s">
        <v>269</v>
      </c>
      <c r="C139" s="41"/>
      <c r="D139" s="42" t="s">
        <v>282</v>
      </c>
      <c r="E139" s="43">
        <v>145000</v>
      </c>
      <c r="F139" s="44"/>
    </row>
    <row r="140" spans="1:6">
      <c r="A140" s="39"/>
      <c r="B140" s="40" t="s">
        <v>270</v>
      </c>
      <c r="C140" s="41"/>
      <c r="D140" s="42" t="s">
        <v>283</v>
      </c>
      <c r="E140" s="43">
        <v>40000</v>
      </c>
      <c r="F140" s="44"/>
    </row>
    <row r="141" spans="1:6">
      <c r="A141" s="39"/>
      <c r="B141" s="40" t="s">
        <v>271</v>
      </c>
      <c r="C141" s="41"/>
      <c r="D141" s="42" t="s">
        <v>284</v>
      </c>
      <c r="E141" s="43">
        <v>40000</v>
      </c>
      <c r="F141" s="44"/>
    </row>
    <row r="142" spans="1:6">
      <c r="A142" s="39"/>
      <c r="B142" s="40" t="s">
        <v>272</v>
      </c>
      <c r="C142" s="41"/>
      <c r="D142" s="42" t="s">
        <v>285</v>
      </c>
      <c r="E142" s="43"/>
      <c r="F142" s="44"/>
    </row>
    <row r="143" spans="1:6">
      <c r="A143" s="39"/>
      <c r="B143" s="40" t="s">
        <v>273</v>
      </c>
      <c r="C143" s="41"/>
      <c r="D143" s="42" t="s">
        <v>286</v>
      </c>
      <c r="E143" s="43">
        <v>25000</v>
      </c>
      <c r="F143" s="44"/>
    </row>
    <row r="144" spans="1:6">
      <c r="A144" s="39"/>
      <c r="B144" s="40" t="s">
        <v>274</v>
      </c>
      <c r="C144" s="41"/>
      <c r="D144" s="42" t="s">
        <v>36</v>
      </c>
      <c r="E144" s="43">
        <v>20000</v>
      </c>
      <c r="F144" s="44"/>
    </row>
    <row r="145" spans="1:6">
      <c r="A145" s="39"/>
      <c r="B145" s="40" t="s">
        <v>275</v>
      </c>
      <c r="C145" s="41"/>
      <c r="D145" s="42" t="s">
        <v>49</v>
      </c>
      <c r="E145" s="43"/>
      <c r="F145" s="44"/>
    </row>
    <row r="146" spans="1:6">
      <c r="A146" s="39"/>
      <c r="B146" s="40" t="s">
        <v>276</v>
      </c>
      <c r="C146" s="41"/>
      <c r="D146" s="42" t="s">
        <v>287</v>
      </c>
      <c r="E146" s="43"/>
      <c r="F146" s="44"/>
    </row>
    <row r="147" spans="1:6">
      <c r="A147" s="39"/>
      <c r="B147" s="40" t="s">
        <v>277</v>
      </c>
      <c r="C147" s="41"/>
      <c r="D147" s="42" t="s">
        <v>288</v>
      </c>
      <c r="E147" s="43"/>
      <c r="F147" s="44"/>
    </row>
    <row r="148" spans="1:6">
      <c r="A148" s="39"/>
      <c r="B148" s="40" t="s">
        <v>278</v>
      </c>
      <c r="C148" s="41"/>
      <c r="D148" s="42"/>
      <c r="E148" s="43"/>
      <c r="F148" s="44"/>
    </row>
    <row r="149" spans="1:6">
      <c r="A149" s="39"/>
      <c r="B149" s="40" t="s">
        <v>279</v>
      </c>
      <c r="C149" s="41"/>
      <c r="D149" s="42"/>
      <c r="E149" s="43"/>
      <c r="F149" s="44"/>
    </row>
    <row r="150" spans="1:6">
      <c r="A150" s="39"/>
      <c r="B150" s="40" t="s">
        <v>280</v>
      </c>
      <c r="C150" s="41"/>
      <c r="D150" s="42"/>
      <c r="E150" s="43"/>
      <c r="F150" s="44"/>
    </row>
    <row r="152" spans="1:6">
      <c r="A152" s="45" t="s">
        <v>291</v>
      </c>
      <c r="B152" s="46"/>
      <c r="C152" s="45"/>
      <c r="D152" s="45"/>
      <c r="E152" s="47">
        <f>SUM(E12:E150)</f>
        <v>2182078.6406139997</v>
      </c>
      <c r="F152" s="48"/>
    </row>
    <row r="153" spans="1:6">
      <c r="E153" s="49"/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F1325-808F-4DC9-977E-6A942EFDC8A5}">
  <dimension ref="A2:I48"/>
  <sheetViews>
    <sheetView showGridLines="0" topLeftCell="A20" workbookViewId="0">
      <selection activeCell="I49" sqref="I49"/>
    </sheetView>
  </sheetViews>
  <sheetFormatPr defaultRowHeight="13.2"/>
  <cols>
    <col min="1" max="1" width="30.33203125" style="102" customWidth="1"/>
    <col min="2" max="2" width="15.77734375" style="102" customWidth="1"/>
    <col min="3" max="3" width="11.21875" style="106" hidden="1" customWidth="1"/>
    <col min="4" max="4" width="11.5546875" style="101" hidden="1" customWidth="1"/>
    <col min="5" max="5" width="11.5546875" style="102" hidden="1" customWidth="1"/>
    <col min="6" max="7" width="0" style="102" hidden="1" customWidth="1"/>
    <col min="8" max="8" width="8.88671875" style="102"/>
    <col min="9" max="9" width="11" style="102" bestFit="1" customWidth="1"/>
    <col min="10" max="16384" width="8.88671875" style="102"/>
  </cols>
  <sheetData>
    <row r="2" spans="1:9" ht="13.8">
      <c r="A2" s="99" t="s">
        <v>526</v>
      </c>
      <c r="B2" s="99"/>
      <c r="C2" s="100"/>
    </row>
    <row r="4" spans="1:9">
      <c r="A4" s="103" t="s">
        <v>225</v>
      </c>
      <c r="B4" s="103" t="s">
        <v>227</v>
      </c>
      <c r="C4" s="104" t="s">
        <v>527</v>
      </c>
      <c r="D4" s="104" t="s">
        <v>528</v>
      </c>
      <c r="E4" s="105" t="s">
        <v>561</v>
      </c>
      <c r="F4" s="105" t="s">
        <v>529</v>
      </c>
      <c r="G4" s="105" t="s">
        <v>530</v>
      </c>
      <c r="H4" s="105" t="s">
        <v>336</v>
      </c>
      <c r="I4" s="105" t="s">
        <v>532</v>
      </c>
    </row>
    <row r="5" spans="1:9">
      <c r="A5" s="107" t="s">
        <v>226</v>
      </c>
      <c r="B5" s="107" t="s">
        <v>293</v>
      </c>
      <c r="C5" s="108">
        <v>10.25</v>
      </c>
      <c r="D5" s="108">
        <v>6</v>
      </c>
      <c r="E5" s="108">
        <v>3.1</v>
      </c>
      <c r="F5" s="108"/>
      <c r="G5" s="108">
        <f>2.34*3.58+1.35*1.5+0.9*1.8</f>
        <v>12.022200000000002</v>
      </c>
      <c r="H5" s="108">
        <f>C5*D5+F5-G5</f>
        <v>49.477800000000002</v>
      </c>
      <c r="I5" s="108"/>
    </row>
    <row r="6" spans="1:9">
      <c r="A6" s="107" t="s">
        <v>533</v>
      </c>
      <c r="B6" s="107" t="s">
        <v>293</v>
      </c>
      <c r="C6" s="108">
        <v>7.25</v>
      </c>
      <c r="D6" s="108">
        <v>7.33</v>
      </c>
      <c r="E6" s="108">
        <v>3.1</v>
      </c>
      <c r="F6" s="109"/>
      <c r="G6" s="109"/>
      <c r="H6" s="108">
        <f>C6*D6+F6-G6</f>
        <v>53.142499999999998</v>
      </c>
      <c r="I6" s="108"/>
    </row>
    <row r="7" spans="1:9">
      <c r="A7" s="107" t="s">
        <v>534</v>
      </c>
      <c r="B7" s="107" t="s">
        <v>535</v>
      </c>
      <c r="C7" s="108">
        <v>10.85</v>
      </c>
      <c r="D7" s="108">
        <v>5.4</v>
      </c>
      <c r="E7" s="108">
        <v>2.9</v>
      </c>
      <c r="F7" s="109"/>
      <c r="G7" s="109"/>
      <c r="H7" s="108">
        <f t="shared" ref="H7:H26" si="0">C7*D7+F7-G7</f>
        <v>58.59</v>
      </c>
      <c r="I7" s="108"/>
    </row>
    <row r="8" spans="1:9">
      <c r="A8" s="107" t="s">
        <v>228</v>
      </c>
      <c r="B8" s="107" t="s">
        <v>535</v>
      </c>
      <c r="C8" s="108">
        <v>4.2</v>
      </c>
      <c r="D8" s="108">
        <v>2.85</v>
      </c>
      <c r="E8" s="108">
        <v>2.9</v>
      </c>
      <c r="F8" s="108"/>
      <c r="G8" s="108"/>
      <c r="H8" s="108">
        <f t="shared" si="0"/>
        <v>11.97</v>
      </c>
      <c r="I8" s="108">
        <f t="shared" ref="I8:I21" si="1">(C8+D8)*2*E8</f>
        <v>40.89</v>
      </c>
    </row>
    <row r="9" spans="1:9">
      <c r="A9" s="107" t="s">
        <v>536</v>
      </c>
      <c r="B9" s="107" t="s">
        <v>535</v>
      </c>
      <c r="C9" s="108">
        <v>1.25</v>
      </c>
      <c r="D9" s="108">
        <v>4.2</v>
      </c>
      <c r="E9" s="108">
        <v>2.9</v>
      </c>
      <c r="F9" s="109"/>
      <c r="G9" s="109"/>
      <c r="H9" s="108">
        <f t="shared" si="0"/>
        <v>5.25</v>
      </c>
      <c r="I9" s="108"/>
    </row>
    <row r="10" spans="1:9">
      <c r="A10" s="107" t="s">
        <v>537</v>
      </c>
      <c r="B10" s="107" t="s">
        <v>535</v>
      </c>
      <c r="C10" s="108">
        <v>1.5</v>
      </c>
      <c r="D10" s="108">
        <v>2.8</v>
      </c>
      <c r="E10" s="108">
        <v>2.9</v>
      </c>
      <c r="F10" s="109"/>
      <c r="G10" s="109"/>
      <c r="H10" s="108">
        <f t="shared" si="0"/>
        <v>4.1999999999999993</v>
      </c>
      <c r="I10" s="108">
        <f t="shared" si="1"/>
        <v>24.939999999999998</v>
      </c>
    </row>
    <row r="11" spans="1:9">
      <c r="A11" s="107" t="s">
        <v>347</v>
      </c>
      <c r="B11" s="107" t="s">
        <v>535</v>
      </c>
      <c r="C11" s="108">
        <v>1.5</v>
      </c>
      <c r="D11" s="108">
        <v>1</v>
      </c>
      <c r="E11" s="108">
        <v>2.9</v>
      </c>
      <c r="F11" s="108"/>
      <c r="G11" s="108"/>
      <c r="H11" s="108">
        <f t="shared" si="0"/>
        <v>1.5</v>
      </c>
      <c r="I11" s="108"/>
    </row>
    <row r="12" spans="1:9">
      <c r="A12" s="107" t="s">
        <v>538</v>
      </c>
      <c r="B12" s="107" t="s">
        <v>535</v>
      </c>
      <c r="C12" s="108">
        <v>1.4</v>
      </c>
      <c r="D12" s="108">
        <v>2.4500000000000002</v>
      </c>
      <c r="E12" s="108">
        <v>2.9</v>
      </c>
      <c r="F12" s="109"/>
      <c r="G12" s="109"/>
      <c r="H12" s="108">
        <f t="shared" si="0"/>
        <v>3.43</v>
      </c>
      <c r="I12" s="108">
        <f t="shared" si="1"/>
        <v>22.33</v>
      </c>
    </row>
    <row r="13" spans="1:9">
      <c r="A13" s="107" t="s">
        <v>539</v>
      </c>
      <c r="B13" s="107" t="s">
        <v>535</v>
      </c>
      <c r="C13" s="108">
        <v>1.4</v>
      </c>
      <c r="D13" s="108">
        <v>1.5</v>
      </c>
      <c r="E13" s="108">
        <v>2.9</v>
      </c>
      <c r="F13" s="109"/>
      <c r="G13" s="109"/>
      <c r="H13" s="108">
        <f t="shared" si="0"/>
        <v>2.0999999999999996</v>
      </c>
      <c r="I13" s="108">
        <f t="shared" si="1"/>
        <v>16.82</v>
      </c>
    </row>
    <row r="14" spans="1:9">
      <c r="A14" s="107" t="s">
        <v>540</v>
      </c>
      <c r="B14" s="107" t="s">
        <v>535</v>
      </c>
      <c r="C14" s="108">
        <v>3.6</v>
      </c>
      <c r="D14" s="108">
        <v>3.95</v>
      </c>
      <c r="E14" s="108">
        <v>2.9</v>
      </c>
      <c r="F14" s="108"/>
      <c r="G14" s="108"/>
      <c r="H14" s="108">
        <f t="shared" si="0"/>
        <v>14.22</v>
      </c>
      <c r="I14" s="108"/>
    </row>
    <row r="15" spans="1:9">
      <c r="A15" s="107" t="s">
        <v>541</v>
      </c>
      <c r="B15" s="107" t="s">
        <v>535</v>
      </c>
      <c r="C15" s="108">
        <v>0</v>
      </c>
      <c r="D15" s="108">
        <v>0</v>
      </c>
      <c r="E15" s="108">
        <v>2.9</v>
      </c>
      <c r="F15" s="109">
        <v>11.42</v>
      </c>
      <c r="G15" s="109"/>
      <c r="H15" s="108">
        <f t="shared" si="0"/>
        <v>11.42</v>
      </c>
      <c r="I15" s="108"/>
    </row>
    <row r="16" spans="1:9">
      <c r="A16" s="107" t="s">
        <v>542</v>
      </c>
      <c r="B16" s="107" t="s">
        <v>535</v>
      </c>
      <c r="C16" s="108">
        <v>0</v>
      </c>
      <c r="D16" s="108">
        <v>0</v>
      </c>
      <c r="E16" s="108">
        <v>2.9</v>
      </c>
      <c r="F16" s="109">
        <v>20.16</v>
      </c>
      <c r="G16" s="109"/>
      <c r="H16" s="108">
        <f t="shared" si="0"/>
        <v>20.16</v>
      </c>
      <c r="I16" s="108"/>
    </row>
    <row r="17" spans="1:9">
      <c r="A17" s="107" t="s">
        <v>543</v>
      </c>
      <c r="B17" s="107" t="s">
        <v>535</v>
      </c>
      <c r="C17" s="108">
        <v>0</v>
      </c>
      <c r="D17" s="108">
        <v>0</v>
      </c>
      <c r="E17" s="108"/>
      <c r="F17" s="108">
        <v>62.28</v>
      </c>
      <c r="G17" s="108"/>
      <c r="H17" s="108">
        <f t="shared" si="0"/>
        <v>62.28</v>
      </c>
      <c r="I17" s="108"/>
    </row>
    <row r="18" spans="1:9">
      <c r="A18" s="107" t="s">
        <v>544</v>
      </c>
      <c r="B18" s="107" t="s">
        <v>535</v>
      </c>
      <c r="C18" s="108">
        <v>0</v>
      </c>
      <c r="D18" s="108">
        <v>0</v>
      </c>
      <c r="E18" s="108"/>
      <c r="F18" s="109">
        <v>33.96</v>
      </c>
      <c r="G18" s="109"/>
      <c r="H18" s="108">
        <f t="shared" si="0"/>
        <v>33.96</v>
      </c>
      <c r="I18" s="108"/>
    </row>
    <row r="19" spans="1:9">
      <c r="A19" s="107" t="s">
        <v>545</v>
      </c>
      <c r="B19" s="107" t="s">
        <v>535</v>
      </c>
      <c r="C19" s="108">
        <v>0</v>
      </c>
      <c r="D19" s="108">
        <v>0</v>
      </c>
      <c r="E19" s="108">
        <v>2.9</v>
      </c>
      <c r="F19" s="109">
        <v>8.4499999999999993</v>
      </c>
      <c r="G19" s="109"/>
      <c r="H19" s="108">
        <f t="shared" si="0"/>
        <v>8.4499999999999993</v>
      </c>
      <c r="I19" s="108"/>
    </row>
    <row r="20" spans="1:9">
      <c r="A20" s="107" t="s">
        <v>335</v>
      </c>
      <c r="B20" s="107" t="s">
        <v>535</v>
      </c>
      <c r="C20" s="108">
        <v>1.3</v>
      </c>
      <c r="D20" s="108">
        <v>3</v>
      </c>
      <c r="E20" s="108">
        <v>2.9</v>
      </c>
      <c r="F20" s="108"/>
      <c r="G20" s="108"/>
      <c r="H20" s="108">
        <f t="shared" si="0"/>
        <v>3.9000000000000004</v>
      </c>
      <c r="I20" s="108">
        <f t="shared" si="1"/>
        <v>24.939999999999998</v>
      </c>
    </row>
    <row r="21" spans="1:9">
      <c r="A21" s="107" t="s">
        <v>546</v>
      </c>
      <c r="B21" s="107" t="s">
        <v>535</v>
      </c>
      <c r="C21" s="108">
        <v>1.95</v>
      </c>
      <c r="D21" s="108">
        <v>1.2</v>
      </c>
      <c r="E21" s="108">
        <v>2.9</v>
      </c>
      <c r="F21" s="108"/>
      <c r="G21" s="108"/>
      <c r="H21" s="108">
        <f t="shared" si="0"/>
        <v>2.34</v>
      </c>
      <c r="I21" s="108">
        <f t="shared" si="1"/>
        <v>18.27</v>
      </c>
    </row>
    <row r="22" spans="1:9">
      <c r="A22" s="107" t="s">
        <v>547</v>
      </c>
      <c r="B22" s="107" t="s">
        <v>296</v>
      </c>
      <c r="C22" s="108">
        <v>26.73</v>
      </c>
      <c r="D22" s="108">
        <v>2</v>
      </c>
      <c r="E22" s="108"/>
      <c r="F22" s="109"/>
      <c r="G22" s="109"/>
      <c r="H22" s="108">
        <f t="shared" si="0"/>
        <v>53.46</v>
      </c>
      <c r="I22" s="108"/>
    </row>
    <row r="23" spans="1:9">
      <c r="A23" s="107" t="s">
        <v>548</v>
      </c>
      <c r="B23" s="107" t="s">
        <v>296</v>
      </c>
      <c r="C23" s="108"/>
      <c r="D23" s="108"/>
      <c r="E23" s="108"/>
      <c r="F23" s="109">
        <v>43.77</v>
      </c>
      <c r="G23" s="109"/>
      <c r="H23" s="108">
        <f t="shared" si="0"/>
        <v>43.77</v>
      </c>
      <c r="I23" s="108"/>
    </row>
    <row r="24" spans="1:9">
      <c r="A24" s="107" t="s">
        <v>380</v>
      </c>
      <c r="B24" s="107" t="s">
        <v>549</v>
      </c>
      <c r="C24" s="108">
        <v>9.1</v>
      </c>
      <c r="D24" s="108">
        <v>4.1500000000000004</v>
      </c>
      <c r="E24" s="108">
        <v>2.75</v>
      </c>
      <c r="F24" s="109"/>
      <c r="G24" s="109">
        <f>2.15*4.05</f>
        <v>8.7074999999999996</v>
      </c>
      <c r="H24" s="108">
        <f t="shared" si="0"/>
        <v>29.057500000000001</v>
      </c>
      <c r="I24" s="108"/>
    </row>
    <row r="25" spans="1:9">
      <c r="A25" s="107" t="s">
        <v>550</v>
      </c>
      <c r="B25" s="107" t="s">
        <v>549</v>
      </c>
      <c r="C25" s="108">
        <v>5.6</v>
      </c>
      <c r="D25" s="108">
        <v>3.95</v>
      </c>
      <c r="E25" s="108">
        <v>2.75</v>
      </c>
      <c r="F25" s="109"/>
      <c r="G25" s="109">
        <f>2.15*1.7</f>
        <v>3.6549999999999998</v>
      </c>
      <c r="H25" s="108">
        <f t="shared" si="0"/>
        <v>18.465</v>
      </c>
      <c r="I25" s="108"/>
    </row>
    <row r="26" spans="1:9">
      <c r="A26" s="107" t="s">
        <v>551</v>
      </c>
      <c r="B26" s="107" t="s">
        <v>549</v>
      </c>
      <c r="C26" s="108"/>
      <c r="D26" s="108"/>
      <c r="E26" s="108">
        <v>2.75</v>
      </c>
      <c r="F26" s="109">
        <v>4.93</v>
      </c>
      <c r="G26" s="109"/>
      <c r="H26" s="108">
        <f t="shared" si="0"/>
        <v>4.93</v>
      </c>
      <c r="I26" s="108"/>
    </row>
    <row r="27" spans="1:9" hidden="1">
      <c r="A27" s="107"/>
      <c r="B27" s="107" t="s">
        <v>549</v>
      </c>
      <c r="C27" s="108"/>
      <c r="D27" s="108"/>
      <c r="E27" s="108">
        <v>2.75</v>
      </c>
      <c r="F27" s="109"/>
      <c r="G27" s="109"/>
      <c r="H27" s="108"/>
      <c r="I27" s="108"/>
    </row>
    <row r="28" spans="1:9" hidden="1">
      <c r="A28" s="107"/>
      <c r="B28" s="107" t="s">
        <v>549</v>
      </c>
      <c r="C28" s="108"/>
      <c r="D28" s="108"/>
      <c r="E28" s="108">
        <v>2.75</v>
      </c>
      <c r="F28" s="109"/>
      <c r="G28" s="109"/>
      <c r="H28" s="108"/>
      <c r="I28" s="108"/>
    </row>
    <row r="29" spans="1:9">
      <c r="A29" s="107" t="s">
        <v>552</v>
      </c>
      <c r="B29" s="107" t="s">
        <v>549</v>
      </c>
      <c r="C29" s="108">
        <v>5.6</v>
      </c>
      <c r="D29" s="108">
        <v>1.95</v>
      </c>
      <c r="E29" s="108">
        <v>2.75</v>
      </c>
      <c r="F29" s="109"/>
      <c r="G29" s="109"/>
      <c r="H29" s="108">
        <f t="shared" ref="H29:H38" si="2">C29*D29+F29-G29</f>
        <v>10.92</v>
      </c>
      <c r="I29" s="108">
        <f t="shared" ref="I29:I38" si="3">(C29+D29)*2*E29</f>
        <v>41.524999999999999</v>
      </c>
    </row>
    <row r="30" spans="1:9">
      <c r="A30" s="107" t="s">
        <v>553</v>
      </c>
      <c r="B30" s="107" t="s">
        <v>549</v>
      </c>
      <c r="C30" s="108">
        <v>5.8</v>
      </c>
      <c r="D30" s="108">
        <v>3.25</v>
      </c>
      <c r="E30" s="108">
        <v>2.75</v>
      </c>
      <c r="F30" s="109"/>
      <c r="G30" s="109">
        <f>2*1.65</f>
        <v>3.3</v>
      </c>
      <c r="H30" s="108">
        <f t="shared" si="2"/>
        <v>15.549999999999997</v>
      </c>
      <c r="I30" s="108"/>
    </row>
    <row r="31" spans="1:9">
      <c r="A31" s="107" t="s">
        <v>554</v>
      </c>
      <c r="B31" s="107" t="s">
        <v>549</v>
      </c>
      <c r="C31" s="108">
        <v>2.5499999999999998</v>
      </c>
      <c r="D31" s="108">
        <v>1.5</v>
      </c>
      <c r="E31" s="108">
        <v>2.75</v>
      </c>
      <c r="F31" s="109"/>
      <c r="G31" s="109"/>
      <c r="H31" s="108">
        <f t="shared" si="2"/>
        <v>3.8249999999999997</v>
      </c>
      <c r="I31" s="108">
        <f t="shared" si="3"/>
        <v>22.274999999999999</v>
      </c>
    </row>
    <row r="32" spans="1:9">
      <c r="A32" s="107" t="s">
        <v>555</v>
      </c>
      <c r="B32" s="107" t="s">
        <v>549</v>
      </c>
      <c r="C32" s="108">
        <v>0.9</v>
      </c>
      <c r="D32" s="108">
        <v>5.25</v>
      </c>
      <c r="E32" s="108">
        <v>2.75</v>
      </c>
      <c r="F32" s="109"/>
      <c r="G32" s="109"/>
      <c r="H32" s="108">
        <f t="shared" si="2"/>
        <v>4.7250000000000005</v>
      </c>
      <c r="I32" s="108"/>
    </row>
    <row r="33" spans="1:9">
      <c r="A33" s="107" t="s">
        <v>556</v>
      </c>
      <c r="B33" s="107" t="s">
        <v>549</v>
      </c>
      <c r="C33" s="108">
        <v>6.8</v>
      </c>
      <c r="D33" s="108">
        <v>3.95</v>
      </c>
      <c r="E33" s="108">
        <v>2.75</v>
      </c>
      <c r="F33" s="109"/>
      <c r="G33" s="109">
        <f>2.95*3.2</f>
        <v>9.4400000000000013</v>
      </c>
      <c r="H33" s="108">
        <f t="shared" si="2"/>
        <v>17.419999999999998</v>
      </c>
      <c r="I33" s="108"/>
    </row>
    <row r="34" spans="1:9">
      <c r="A34" s="107" t="s">
        <v>557</v>
      </c>
      <c r="B34" s="107" t="s">
        <v>549</v>
      </c>
      <c r="C34" s="108">
        <v>1.5</v>
      </c>
      <c r="D34" s="108">
        <v>2.8</v>
      </c>
      <c r="E34" s="108">
        <v>2.75</v>
      </c>
      <c r="F34" s="109"/>
      <c r="G34" s="109"/>
      <c r="H34" s="108">
        <f t="shared" si="2"/>
        <v>4.1999999999999993</v>
      </c>
      <c r="I34" s="108">
        <f t="shared" si="3"/>
        <v>23.65</v>
      </c>
    </row>
    <row r="35" spans="1:9">
      <c r="A35" s="107" t="s">
        <v>558</v>
      </c>
      <c r="B35" s="107" t="s">
        <v>549</v>
      </c>
      <c r="C35" s="108">
        <v>1.4</v>
      </c>
      <c r="D35" s="108">
        <v>2.8</v>
      </c>
      <c r="E35" s="108">
        <v>2.75</v>
      </c>
      <c r="F35" s="109"/>
      <c r="G35" s="109"/>
      <c r="H35" s="108">
        <f t="shared" si="2"/>
        <v>3.9199999999999995</v>
      </c>
      <c r="I35" s="108"/>
    </row>
    <row r="36" spans="1:9">
      <c r="A36" s="107" t="s">
        <v>559</v>
      </c>
      <c r="B36" s="107" t="s">
        <v>549</v>
      </c>
      <c r="C36" s="108"/>
      <c r="D36" s="108"/>
      <c r="E36" s="108">
        <v>2.75</v>
      </c>
      <c r="F36" s="109">
        <v>23.65</v>
      </c>
      <c r="G36" s="109"/>
      <c r="H36" s="108">
        <f t="shared" si="2"/>
        <v>23.65</v>
      </c>
      <c r="I36" s="108"/>
    </row>
    <row r="37" spans="1:9">
      <c r="A37" s="107" t="s">
        <v>560</v>
      </c>
      <c r="B37" s="107" t="s">
        <v>549</v>
      </c>
      <c r="C37" s="108"/>
      <c r="D37" s="108"/>
      <c r="E37" s="108">
        <v>2.75</v>
      </c>
      <c r="F37" s="109">
        <v>7.7</v>
      </c>
      <c r="G37" s="109"/>
      <c r="H37" s="108">
        <f t="shared" si="2"/>
        <v>7.7</v>
      </c>
      <c r="I37" s="108"/>
    </row>
    <row r="38" spans="1:9">
      <c r="A38" s="107" t="s">
        <v>233</v>
      </c>
      <c r="B38" s="107" t="s">
        <v>535</v>
      </c>
      <c r="C38" s="108">
        <v>3.5</v>
      </c>
      <c r="D38" s="108">
        <v>5</v>
      </c>
      <c r="E38" s="108">
        <v>1.6</v>
      </c>
      <c r="F38" s="109"/>
      <c r="G38" s="109"/>
      <c r="H38" s="108">
        <f t="shared" si="2"/>
        <v>17.5</v>
      </c>
      <c r="I38" s="108">
        <f t="shared" si="3"/>
        <v>27.200000000000003</v>
      </c>
    </row>
    <row r="39" spans="1:9" s="1" customFormat="1">
      <c r="A39" s="102"/>
      <c r="B39" s="102"/>
      <c r="C39" s="106"/>
      <c r="D39" s="101"/>
      <c r="E39" s="102"/>
      <c r="F39" s="102"/>
      <c r="G39" s="102"/>
      <c r="H39" s="112">
        <f>SUM(H5:H38)</f>
        <v>605.48279999999988</v>
      </c>
      <c r="I39" s="112">
        <f>SUM(I5:I38)</f>
        <v>262.84000000000003</v>
      </c>
    </row>
    <row r="41" spans="1:9">
      <c r="H41" s="124" t="s">
        <v>587</v>
      </c>
      <c r="I41" s="120">
        <f>SUM(H39:I39)</f>
        <v>868.32279999999992</v>
      </c>
    </row>
    <row r="42" spans="1:9">
      <c r="H42" s="124" t="s">
        <v>588</v>
      </c>
      <c r="I42" s="127">
        <v>0.25</v>
      </c>
    </row>
    <row r="43" spans="1:9">
      <c r="H43" s="124" t="s">
        <v>589</v>
      </c>
      <c r="I43" s="120">
        <v>100</v>
      </c>
    </row>
    <row r="44" spans="1:9">
      <c r="H44" s="115" t="s">
        <v>590</v>
      </c>
      <c r="I44" s="112">
        <f>(I41+I41*I42)*I43</f>
        <v>108540.34999999999</v>
      </c>
    </row>
    <row r="46" spans="1:9">
      <c r="H46" s="124" t="s">
        <v>594</v>
      </c>
      <c r="I46" s="120">
        <f>I41/2.5</f>
        <v>347.32911999999999</v>
      </c>
    </row>
    <row r="47" spans="1:9">
      <c r="H47" s="124" t="s">
        <v>595</v>
      </c>
      <c r="I47" s="120">
        <f>'Referências atualizadas'!B36</f>
        <v>29.9</v>
      </c>
    </row>
    <row r="48" spans="1:9">
      <c r="H48" s="115" t="s">
        <v>590</v>
      </c>
      <c r="I48" s="112">
        <f>I46*I47</f>
        <v>10385.140687999999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11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I60"/>
  <sheetViews>
    <sheetView showGridLines="0" topLeftCell="A34" workbookViewId="0">
      <selection activeCell="E61" sqref="E61"/>
    </sheetView>
  </sheetViews>
  <sheetFormatPr defaultRowHeight="13.2"/>
  <cols>
    <col min="1" max="1" width="8.88671875" style="2" customWidth="1"/>
    <col min="2" max="2" width="42.6640625" style="2" customWidth="1"/>
    <col min="3" max="4" width="15" style="11" customWidth="1"/>
    <col min="5" max="9" width="13.44140625" style="2" customWidth="1"/>
    <col min="10" max="16384" width="8.88671875" style="2"/>
  </cols>
  <sheetData>
    <row r="2" spans="1:9" ht="13.8">
      <c r="A2" s="20" t="s">
        <v>237</v>
      </c>
      <c r="B2" s="20"/>
      <c r="C2" s="21"/>
      <c r="D2" s="21"/>
    </row>
    <row r="4" spans="1:9">
      <c r="A4" s="22" t="s">
        <v>234</v>
      </c>
      <c r="B4" s="23" t="s">
        <v>235</v>
      </c>
      <c r="C4" s="23" t="s">
        <v>227</v>
      </c>
      <c r="D4" s="23" t="s">
        <v>308</v>
      </c>
      <c r="E4" s="13" t="s">
        <v>236</v>
      </c>
      <c r="F4" s="13" t="s">
        <v>196</v>
      </c>
      <c r="G4" s="22" t="s">
        <v>238</v>
      </c>
      <c r="H4" s="22" t="s">
        <v>239</v>
      </c>
      <c r="I4" s="22" t="s">
        <v>160</v>
      </c>
    </row>
    <row r="5" spans="1:9">
      <c r="A5" s="133">
        <v>1</v>
      </c>
      <c r="B5" s="89" t="s">
        <v>381</v>
      </c>
      <c r="C5" s="89" t="s">
        <v>328</v>
      </c>
      <c r="D5" s="89" t="s">
        <v>366</v>
      </c>
      <c r="E5" s="134">
        <v>1.6</v>
      </c>
      <c r="F5" s="134">
        <v>2.7</v>
      </c>
      <c r="G5" s="134">
        <f>E5*F5</f>
        <v>4.32</v>
      </c>
      <c r="H5" s="134">
        <f>'Referências atualizadas'!B18</f>
        <v>1050</v>
      </c>
      <c r="I5" s="134">
        <f>G5*H5</f>
        <v>4536</v>
      </c>
    </row>
    <row r="6" spans="1:9">
      <c r="A6" s="133">
        <v>2</v>
      </c>
      <c r="B6" s="89" t="s">
        <v>334</v>
      </c>
      <c r="C6" s="89" t="s">
        <v>328</v>
      </c>
      <c r="D6" s="89" t="s">
        <v>367</v>
      </c>
      <c r="E6" s="134">
        <v>3.45</v>
      </c>
      <c r="F6" s="134">
        <v>2.7</v>
      </c>
      <c r="G6" s="134">
        <f t="shared" ref="G6:G8" si="0">E6*F6</f>
        <v>9.3150000000000013</v>
      </c>
      <c r="H6" s="134">
        <f>'Referências atualizadas'!B18</f>
        <v>1050</v>
      </c>
      <c r="I6" s="134">
        <f>G6*H6</f>
        <v>9780.7500000000018</v>
      </c>
    </row>
    <row r="7" spans="1:9">
      <c r="A7" s="133">
        <v>3</v>
      </c>
      <c r="B7" s="89" t="s">
        <v>230</v>
      </c>
      <c r="C7" s="89" t="s">
        <v>328</v>
      </c>
      <c r="D7" s="89" t="s">
        <v>368</v>
      </c>
      <c r="E7" s="134">
        <v>0.8</v>
      </c>
      <c r="F7" s="134">
        <v>2.7</v>
      </c>
      <c r="G7" s="134">
        <f t="shared" si="0"/>
        <v>2.16</v>
      </c>
      <c r="H7" s="134">
        <f>'Referências atualizadas'!B18</f>
        <v>1050</v>
      </c>
      <c r="I7" s="134">
        <f t="shared" ref="I7:I8" si="1">G7*H7</f>
        <v>2268</v>
      </c>
    </row>
    <row r="8" spans="1:9">
      <c r="A8" s="133">
        <v>4</v>
      </c>
      <c r="B8" s="89" t="s">
        <v>335</v>
      </c>
      <c r="C8" s="89" t="s">
        <v>328</v>
      </c>
      <c r="D8" s="89" t="s">
        <v>369</v>
      </c>
      <c r="E8" s="134">
        <v>0.6</v>
      </c>
      <c r="F8" s="134">
        <v>2</v>
      </c>
      <c r="G8" s="134">
        <f t="shared" si="0"/>
        <v>1.2</v>
      </c>
      <c r="H8" s="134">
        <f>'Referências atualizadas'!B18</f>
        <v>1050</v>
      </c>
      <c r="I8" s="134">
        <f t="shared" si="1"/>
        <v>1260</v>
      </c>
    </row>
    <row r="9" spans="1:9">
      <c r="A9" s="133">
        <v>5</v>
      </c>
      <c r="B9" s="89" t="s">
        <v>382</v>
      </c>
      <c r="C9" s="89" t="s">
        <v>328</v>
      </c>
      <c r="D9" s="89" t="s">
        <v>370</v>
      </c>
      <c r="E9" s="134">
        <v>1.1000000000000001</v>
      </c>
      <c r="F9" s="134">
        <v>2</v>
      </c>
      <c r="G9" s="134">
        <f>E9*F9</f>
        <v>2.2000000000000002</v>
      </c>
      <c r="H9" s="134">
        <f>'Referências atualizadas'!B18</f>
        <v>1050</v>
      </c>
      <c r="I9" s="134">
        <f>G9*H9</f>
        <v>2310</v>
      </c>
    </row>
    <row r="10" spans="1:9">
      <c r="A10" s="133">
        <v>6</v>
      </c>
      <c r="B10" s="89" t="s">
        <v>383</v>
      </c>
      <c r="C10" s="89" t="s">
        <v>328</v>
      </c>
      <c r="D10" s="89" t="s">
        <v>371</v>
      </c>
      <c r="E10" s="134">
        <v>1.8</v>
      </c>
      <c r="F10" s="134">
        <v>1.8</v>
      </c>
      <c r="G10" s="134">
        <f t="shared" ref="G10:G12" si="2">E10*F10</f>
        <v>3.24</v>
      </c>
      <c r="H10" s="134">
        <f>'Referências atualizadas'!B18</f>
        <v>1050</v>
      </c>
      <c r="I10" s="134">
        <f>G10*H10</f>
        <v>3402</v>
      </c>
    </row>
    <row r="11" spans="1:9">
      <c r="A11" s="133">
        <v>7</v>
      </c>
      <c r="B11" s="89" t="s">
        <v>384</v>
      </c>
      <c r="C11" s="89" t="s">
        <v>328</v>
      </c>
      <c r="D11" s="89" t="s">
        <v>372</v>
      </c>
      <c r="E11" s="134">
        <v>1.2</v>
      </c>
      <c r="F11" s="134">
        <v>2.1</v>
      </c>
      <c r="G11" s="134">
        <f t="shared" si="2"/>
        <v>2.52</v>
      </c>
      <c r="H11" s="134">
        <f>'Referências atualizadas'!B18</f>
        <v>1050</v>
      </c>
      <c r="I11" s="134">
        <f t="shared" ref="I11:I12" si="3">G11*H11</f>
        <v>2646</v>
      </c>
    </row>
    <row r="12" spans="1:9">
      <c r="A12" s="133">
        <v>8</v>
      </c>
      <c r="B12" s="89" t="s">
        <v>385</v>
      </c>
      <c r="C12" s="89" t="s">
        <v>293</v>
      </c>
      <c r="D12" s="89" t="s">
        <v>373</v>
      </c>
      <c r="E12" s="134">
        <v>2.6</v>
      </c>
      <c r="F12" s="134">
        <v>2.5</v>
      </c>
      <c r="G12" s="134">
        <f t="shared" si="2"/>
        <v>6.5</v>
      </c>
      <c r="H12" s="134">
        <f>'Referências atualizadas'!B18</f>
        <v>1050</v>
      </c>
      <c r="I12" s="134">
        <f t="shared" si="3"/>
        <v>6825</v>
      </c>
    </row>
    <row r="13" spans="1:9">
      <c r="A13" s="133">
        <v>9</v>
      </c>
      <c r="B13" s="89" t="s">
        <v>386</v>
      </c>
      <c r="C13" s="89" t="s">
        <v>293</v>
      </c>
      <c r="D13" s="89" t="s">
        <v>374</v>
      </c>
      <c r="E13" s="134">
        <v>2.4</v>
      </c>
      <c r="F13" s="134">
        <v>1.8</v>
      </c>
      <c r="G13" s="134">
        <f>E13*F13</f>
        <v>4.32</v>
      </c>
      <c r="H13" s="134">
        <f>'Referências atualizadas'!B18</f>
        <v>1050</v>
      </c>
      <c r="I13" s="134">
        <f>G13*H13</f>
        <v>4536</v>
      </c>
    </row>
    <row r="14" spans="1:9">
      <c r="A14" s="133">
        <v>10</v>
      </c>
      <c r="B14" s="89" t="s">
        <v>386</v>
      </c>
      <c r="C14" s="89" t="s">
        <v>293</v>
      </c>
      <c r="D14" s="89" t="s">
        <v>375</v>
      </c>
      <c r="E14" s="134">
        <v>1.35</v>
      </c>
      <c r="F14" s="134">
        <v>1.8</v>
      </c>
      <c r="G14" s="134">
        <f t="shared" ref="G14:G16" si="4">E14*F14</f>
        <v>2.4300000000000002</v>
      </c>
      <c r="H14" s="134">
        <f>'Referências atualizadas'!B18</f>
        <v>1050</v>
      </c>
      <c r="I14" s="134">
        <f>G14*H14</f>
        <v>2551.5</v>
      </c>
    </row>
    <row r="15" spans="1:9">
      <c r="A15" s="133">
        <v>11</v>
      </c>
      <c r="B15" s="89" t="s">
        <v>229</v>
      </c>
      <c r="C15" s="89" t="s">
        <v>293</v>
      </c>
      <c r="D15" s="89" t="s">
        <v>376</v>
      </c>
      <c r="E15" s="134">
        <v>1</v>
      </c>
      <c r="F15" s="134">
        <v>2.1</v>
      </c>
      <c r="G15" s="134">
        <f t="shared" si="4"/>
        <v>2.1</v>
      </c>
      <c r="H15" s="134">
        <f>'Referências atualizadas'!B18</f>
        <v>1050</v>
      </c>
      <c r="I15" s="134">
        <f t="shared" ref="I15:I16" si="5">G15*H15</f>
        <v>2205</v>
      </c>
    </row>
    <row r="16" spans="1:9">
      <c r="A16" s="133">
        <v>12</v>
      </c>
      <c r="B16" s="89" t="s">
        <v>338</v>
      </c>
      <c r="C16" s="89" t="s">
        <v>325</v>
      </c>
      <c r="D16" s="89" t="s">
        <v>377</v>
      </c>
      <c r="E16" s="134">
        <v>4.5999999999999996</v>
      </c>
      <c r="F16" s="134">
        <v>2.5</v>
      </c>
      <c r="G16" s="134">
        <f t="shared" si="4"/>
        <v>11.5</v>
      </c>
      <c r="H16" s="134">
        <f>'Referências atualizadas'!B18</f>
        <v>1050</v>
      </c>
      <c r="I16" s="134">
        <f t="shared" si="5"/>
        <v>12075</v>
      </c>
    </row>
    <row r="17" spans="1:9">
      <c r="A17" s="133">
        <v>13</v>
      </c>
      <c r="B17" s="89" t="s">
        <v>387</v>
      </c>
      <c r="C17" s="89" t="s">
        <v>325</v>
      </c>
      <c r="D17" s="89" t="s">
        <v>378</v>
      </c>
      <c r="E17" s="134">
        <v>2.1</v>
      </c>
      <c r="F17" s="134">
        <v>2.5</v>
      </c>
      <c r="G17" s="134">
        <f t="shared" ref="G17:G18" si="6">E17*F17</f>
        <v>5.25</v>
      </c>
      <c r="H17" s="134">
        <f>'Referências atualizadas'!B18</f>
        <v>1050</v>
      </c>
      <c r="I17" s="134">
        <f t="shared" ref="I17:I18" si="7">G17*H17</f>
        <v>5512.5</v>
      </c>
    </row>
    <row r="18" spans="1:9">
      <c r="A18" s="133">
        <v>14</v>
      </c>
      <c r="B18" s="89" t="s">
        <v>380</v>
      </c>
      <c r="C18" s="89" t="s">
        <v>325</v>
      </c>
      <c r="D18" s="89" t="s">
        <v>379</v>
      </c>
      <c r="E18" s="134">
        <v>5.2</v>
      </c>
      <c r="F18" s="134">
        <v>2.5</v>
      </c>
      <c r="G18" s="134">
        <f t="shared" si="6"/>
        <v>13</v>
      </c>
      <c r="H18" s="134">
        <f>'Referências atualizadas'!B18</f>
        <v>1050</v>
      </c>
      <c r="I18" s="134">
        <f t="shared" si="7"/>
        <v>13650</v>
      </c>
    </row>
    <row r="19" spans="1:9">
      <c r="A19" s="133">
        <v>15</v>
      </c>
      <c r="B19" s="89" t="s">
        <v>304</v>
      </c>
      <c r="C19" s="89" t="s">
        <v>307</v>
      </c>
      <c r="D19" s="89" t="s">
        <v>307</v>
      </c>
      <c r="E19" s="134">
        <v>5.81</v>
      </c>
      <c r="F19" s="134">
        <v>2.81</v>
      </c>
      <c r="G19" s="134">
        <f t="shared" ref="G19:G32" si="8">E19*F19</f>
        <v>16.3261</v>
      </c>
      <c r="H19" s="134">
        <f>'Referências atualizadas'!B18</f>
        <v>1050</v>
      </c>
      <c r="I19" s="134">
        <f>G19*H19</f>
        <v>17142.404999999999</v>
      </c>
    </row>
    <row r="20" spans="1:9">
      <c r="A20" s="133">
        <v>16</v>
      </c>
      <c r="B20" s="89" t="s">
        <v>305</v>
      </c>
      <c r="C20" s="89" t="s">
        <v>307</v>
      </c>
      <c r="D20" s="89" t="s">
        <v>307</v>
      </c>
      <c r="E20" s="134">
        <v>3.5</v>
      </c>
      <c r="F20" s="134">
        <v>2.81</v>
      </c>
      <c r="G20" s="134">
        <f t="shared" si="8"/>
        <v>9.8350000000000009</v>
      </c>
      <c r="H20" s="134">
        <f>'Referências atualizadas'!B18</f>
        <v>1050</v>
      </c>
      <c r="I20" s="134">
        <f t="shared" ref="I20:I32" si="9">G20*H20</f>
        <v>10326.75</v>
      </c>
    </row>
    <row r="21" spans="1:9">
      <c r="A21" s="133">
        <v>17</v>
      </c>
      <c r="B21" s="89" t="s">
        <v>306</v>
      </c>
      <c r="C21" s="89" t="s">
        <v>307</v>
      </c>
      <c r="D21" s="89" t="s">
        <v>307</v>
      </c>
      <c r="E21" s="134">
        <v>4.5</v>
      </c>
      <c r="F21" s="134">
        <v>7.8</v>
      </c>
      <c r="G21" s="134">
        <f t="shared" si="8"/>
        <v>35.1</v>
      </c>
      <c r="H21" s="134">
        <f>'Referências atualizadas'!B18</f>
        <v>1050</v>
      </c>
      <c r="I21" s="134">
        <f t="shared" si="9"/>
        <v>36855</v>
      </c>
    </row>
    <row r="22" spans="1:9">
      <c r="A22" s="133">
        <v>18</v>
      </c>
      <c r="B22" s="89" t="s">
        <v>228</v>
      </c>
      <c r="C22" s="89" t="s">
        <v>328</v>
      </c>
      <c r="D22" s="89" t="s">
        <v>309</v>
      </c>
      <c r="E22" s="134">
        <v>1.5</v>
      </c>
      <c r="F22" s="134">
        <v>0.6</v>
      </c>
      <c r="G22" s="134">
        <f t="shared" si="8"/>
        <v>0.89999999999999991</v>
      </c>
      <c r="H22" s="134">
        <f>'Referências atualizadas'!B18</f>
        <v>1050</v>
      </c>
      <c r="I22" s="134">
        <f t="shared" si="9"/>
        <v>944.99999999999989</v>
      </c>
    </row>
    <row r="23" spans="1:9">
      <c r="A23" s="133">
        <v>19</v>
      </c>
      <c r="B23" s="89" t="s">
        <v>347</v>
      </c>
      <c r="C23" s="89" t="s">
        <v>328</v>
      </c>
      <c r="D23" s="89" t="s">
        <v>310</v>
      </c>
      <c r="E23" s="134">
        <v>0.35</v>
      </c>
      <c r="F23" s="134">
        <v>2.1</v>
      </c>
      <c r="G23" s="134">
        <f t="shared" si="8"/>
        <v>0.73499999999999999</v>
      </c>
      <c r="H23" s="134">
        <f>'Referências atualizadas'!B18</f>
        <v>1050</v>
      </c>
      <c r="I23" s="134">
        <f t="shared" si="9"/>
        <v>771.75</v>
      </c>
    </row>
    <row r="24" spans="1:9">
      <c r="A24" s="133">
        <v>20</v>
      </c>
      <c r="B24" s="89" t="s">
        <v>228</v>
      </c>
      <c r="C24" s="89" t="s">
        <v>328</v>
      </c>
      <c r="D24" s="89" t="s">
        <v>311</v>
      </c>
      <c r="E24" s="134">
        <v>3</v>
      </c>
      <c r="F24" s="134">
        <v>1.6</v>
      </c>
      <c r="G24" s="134">
        <f t="shared" si="8"/>
        <v>4.8000000000000007</v>
      </c>
      <c r="H24" s="134">
        <f>'Referências atualizadas'!B18</f>
        <v>1050</v>
      </c>
      <c r="I24" s="134">
        <f t="shared" si="9"/>
        <v>5040.0000000000009</v>
      </c>
    </row>
    <row r="25" spans="1:9">
      <c r="A25" s="133">
        <v>21</v>
      </c>
      <c r="B25" s="89" t="s">
        <v>340</v>
      </c>
      <c r="C25" s="89" t="s">
        <v>328</v>
      </c>
      <c r="D25" s="89" t="s">
        <v>312</v>
      </c>
      <c r="E25" s="134">
        <v>2.25</v>
      </c>
      <c r="F25" s="134">
        <v>3</v>
      </c>
      <c r="G25" s="134">
        <f t="shared" si="8"/>
        <v>6.75</v>
      </c>
      <c r="H25" s="134">
        <f>'Referências atualizadas'!B18</f>
        <v>1050</v>
      </c>
      <c r="I25" s="134">
        <f t="shared" si="9"/>
        <v>7087.5</v>
      </c>
    </row>
    <row r="26" spans="1:9">
      <c r="A26" s="133">
        <v>22</v>
      </c>
      <c r="B26" s="89" t="s">
        <v>333</v>
      </c>
      <c r="C26" s="89" t="s">
        <v>328</v>
      </c>
      <c r="D26" s="89" t="s">
        <v>313</v>
      </c>
      <c r="E26" s="134">
        <v>2.5</v>
      </c>
      <c r="F26" s="134">
        <v>1.6</v>
      </c>
      <c r="G26" s="134">
        <f t="shared" si="8"/>
        <v>4</v>
      </c>
      <c r="H26" s="134">
        <f>'Referências atualizadas'!B18</f>
        <v>1050</v>
      </c>
      <c r="I26" s="134">
        <f t="shared" si="9"/>
        <v>4200</v>
      </c>
    </row>
    <row r="27" spans="1:9">
      <c r="A27" s="133">
        <v>23</v>
      </c>
      <c r="B27" s="89" t="s">
        <v>348</v>
      </c>
      <c r="C27" s="89" t="s">
        <v>328</v>
      </c>
      <c r="D27" s="89" t="s">
        <v>314</v>
      </c>
      <c r="E27" s="134">
        <v>0.8</v>
      </c>
      <c r="F27" s="134">
        <v>0.6</v>
      </c>
      <c r="G27" s="134">
        <f t="shared" si="8"/>
        <v>0.48</v>
      </c>
      <c r="H27" s="134">
        <f>'Referências atualizadas'!B18</f>
        <v>1050</v>
      </c>
      <c r="I27" s="134">
        <f t="shared" si="9"/>
        <v>504</v>
      </c>
    </row>
    <row r="28" spans="1:9">
      <c r="A28" s="133">
        <v>24</v>
      </c>
      <c r="B28" s="89" t="s">
        <v>349</v>
      </c>
      <c r="C28" s="89" t="s">
        <v>328</v>
      </c>
      <c r="D28" s="89" t="s">
        <v>352</v>
      </c>
      <c r="E28" s="134">
        <v>1.2</v>
      </c>
      <c r="F28" s="134">
        <v>0.6</v>
      </c>
      <c r="G28" s="134">
        <f t="shared" si="8"/>
        <v>0.72</v>
      </c>
      <c r="H28" s="134">
        <f>'Referências atualizadas'!B18</f>
        <v>1050</v>
      </c>
      <c r="I28" s="134">
        <f t="shared" si="9"/>
        <v>756</v>
      </c>
    </row>
    <row r="29" spans="1:9">
      <c r="A29" s="133">
        <v>25</v>
      </c>
      <c r="B29" s="89" t="s">
        <v>350</v>
      </c>
      <c r="C29" s="89" t="s">
        <v>328</v>
      </c>
      <c r="D29" s="89" t="s">
        <v>351</v>
      </c>
      <c r="E29" s="134">
        <v>1.2</v>
      </c>
      <c r="F29" s="134">
        <v>0.6</v>
      </c>
      <c r="G29" s="134">
        <f t="shared" ref="G29" si="10">E29*F29</f>
        <v>0.72</v>
      </c>
      <c r="H29" s="134">
        <f>'Referências atualizadas'!B18</f>
        <v>1050</v>
      </c>
      <c r="I29" s="134">
        <f t="shared" ref="I29" si="11">G29*H29</f>
        <v>756</v>
      </c>
    </row>
    <row r="30" spans="1:9">
      <c r="A30" s="133">
        <v>26</v>
      </c>
      <c r="B30" s="89" t="s">
        <v>353</v>
      </c>
      <c r="C30" s="89" t="s">
        <v>325</v>
      </c>
      <c r="D30" s="89" t="s">
        <v>355</v>
      </c>
      <c r="E30" s="134">
        <v>1.1000000000000001</v>
      </c>
      <c r="F30" s="134">
        <v>0.9</v>
      </c>
      <c r="G30" s="134">
        <f t="shared" si="8"/>
        <v>0.9900000000000001</v>
      </c>
      <c r="H30" s="134">
        <f>'Referências atualizadas'!B18</f>
        <v>1050</v>
      </c>
      <c r="I30" s="134">
        <f t="shared" si="9"/>
        <v>1039.5</v>
      </c>
    </row>
    <row r="31" spans="1:9">
      <c r="A31" s="133">
        <v>27</v>
      </c>
      <c r="B31" s="89" t="s">
        <v>354</v>
      </c>
      <c r="C31" s="89" t="s">
        <v>325</v>
      </c>
      <c r="D31" s="89" t="s">
        <v>356</v>
      </c>
      <c r="E31" s="134">
        <v>1.1000000000000001</v>
      </c>
      <c r="F31" s="134">
        <v>0.9</v>
      </c>
      <c r="G31" s="134">
        <f t="shared" ref="G31" si="12">E31*F31</f>
        <v>0.9900000000000001</v>
      </c>
      <c r="H31" s="134">
        <f>'Referências atualizadas'!B18</f>
        <v>1050</v>
      </c>
      <c r="I31" s="134">
        <f t="shared" ref="I31" si="13">G31*H31</f>
        <v>1039.5</v>
      </c>
    </row>
    <row r="32" spans="1:9">
      <c r="A32" s="133">
        <v>28</v>
      </c>
      <c r="B32" s="89" t="s">
        <v>357</v>
      </c>
      <c r="C32" s="89" t="s">
        <v>325</v>
      </c>
      <c r="D32" s="89" t="s">
        <v>315</v>
      </c>
      <c r="E32" s="134">
        <v>0.8</v>
      </c>
      <c r="F32" s="134">
        <v>1.7</v>
      </c>
      <c r="G32" s="134">
        <f t="shared" si="8"/>
        <v>1.36</v>
      </c>
      <c r="H32" s="134">
        <f>'Referências atualizadas'!B18</f>
        <v>1050</v>
      </c>
      <c r="I32" s="134">
        <f t="shared" si="9"/>
        <v>1428</v>
      </c>
    </row>
    <row r="33" spans="1:9" s="12" customFormat="1">
      <c r="A33" s="135"/>
      <c r="B33" s="135"/>
      <c r="C33" s="135"/>
      <c r="D33" s="135"/>
      <c r="E33" s="136"/>
      <c r="F33" s="126"/>
      <c r="G33" s="112"/>
      <c r="H33" s="115" t="s">
        <v>292</v>
      </c>
      <c r="I33" s="112">
        <f>SUM(I5:I32)</f>
        <v>161449.155</v>
      </c>
    </row>
    <row r="34" spans="1:9">
      <c r="C34" s="2"/>
      <c r="D34" s="2"/>
    </row>
    <row r="35" spans="1:9">
      <c r="C35" s="2"/>
      <c r="D35" s="2"/>
    </row>
    <row r="36" spans="1:9" ht="13.8">
      <c r="A36" s="20" t="s">
        <v>389</v>
      </c>
    </row>
    <row r="38" spans="1:9">
      <c r="A38" s="22" t="s">
        <v>234</v>
      </c>
      <c r="B38" s="23" t="s">
        <v>235</v>
      </c>
      <c r="C38" s="23" t="s">
        <v>227</v>
      </c>
      <c r="D38" s="23" t="s">
        <v>308</v>
      </c>
      <c r="E38" s="13" t="s">
        <v>236</v>
      </c>
      <c r="F38" s="13" t="s">
        <v>196</v>
      </c>
      <c r="G38" s="22" t="s">
        <v>238</v>
      </c>
      <c r="H38" s="22" t="s">
        <v>239</v>
      </c>
      <c r="I38" s="22" t="s">
        <v>160</v>
      </c>
    </row>
    <row r="39" spans="1:9">
      <c r="A39" s="133">
        <v>1</v>
      </c>
      <c r="B39" s="89" t="s">
        <v>329</v>
      </c>
      <c r="C39" s="89" t="s">
        <v>328</v>
      </c>
      <c r="D39" s="89" t="s">
        <v>296</v>
      </c>
      <c r="E39" s="134">
        <v>3.5</v>
      </c>
      <c r="F39" s="134">
        <v>1.1000000000000001</v>
      </c>
      <c r="G39" s="134">
        <f>E39*F39</f>
        <v>3.8500000000000005</v>
      </c>
      <c r="H39" s="134">
        <f>'Referências atualizadas'!B54</f>
        <v>850</v>
      </c>
      <c r="I39" s="134">
        <f>G39*H39</f>
        <v>3272.5000000000005</v>
      </c>
    </row>
    <row r="40" spans="1:9">
      <c r="A40" s="133">
        <v>2</v>
      </c>
      <c r="B40" s="89" t="s">
        <v>324</v>
      </c>
      <c r="C40" s="89" t="s">
        <v>325</v>
      </c>
      <c r="D40" s="89" t="s">
        <v>296</v>
      </c>
      <c r="E40" s="134">
        <f>2.2+3.15</f>
        <v>5.35</v>
      </c>
      <c r="F40" s="134">
        <v>1.1000000000000001</v>
      </c>
      <c r="G40" s="134">
        <f>E40*F40</f>
        <v>5.8849999999999998</v>
      </c>
      <c r="H40" s="134">
        <f>'Referências atualizadas'!B54</f>
        <v>850</v>
      </c>
      <c r="I40" s="134">
        <f>G40*H40</f>
        <v>5002.25</v>
      </c>
    </row>
    <row r="41" spans="1:9">
      <c r="A41" s="133">
        <v>3</v>
      </c>
      <c r="B41" s="89" t="s">
        <v>326</v>
      </c>
      <c r="C41" s="89" t="s">
        <v>325</v>
      </c>
      <c r="D41" s="89" t="s">
        <v>296</v>
      </c>
      <c r="E41" s="134">
        <v>5</v>
      </c>
      <c r="F41" s="134">
        <v>1.1000000000000001</v>
      </c>
      <c r="G41" s="134">
        <f>E41*F41</f>
        <v>5.5</v>
      </c>
      <c r="H41" s="134">
        <f>'Referências atualizadas'!B54</f>
        <v>850</v>
      </c>
      <c r="I41" s="134">
        <f>G41*H41</f>
        <v>4675</v>
      </c>
    </row>
    <row r="42" spans="1:9">
      <c r="A42" s="133">
        <v>4</v>
      </c>
      <c r="B42" s="89" t="s">
        <v>327</v>
      </c>
      <c r="C42" s="89" t="s">
        <v>325</v>
      </c>
      <c r="D42" s="89" t="s">
        <v>296</v>
      </c>
      <c r="E42" s="134">
        <f>3.05*2+11</f>
        <v>17.100000000000001</v>
      </c>
      <c r="F42" s="134">
        <v>1.1000000000000001</v>
      </c>
      <c r="G42" s="134">
        <f>E42*F42</f>
        <v>18.810000000000002</v>
      </c>
      <c r="H42" s="134">
        <f>'Referências atualizadas'!B54</f>
        <v>850</v>
      </c>
      <c r="I42" s="134">
        <f>G42*H42</f>
        <v>15988.500000000002</v>
      </c>
    </row>
    <row r="43" spans="1:9">
      <c r="H43" s="115" t="s">
        <v>292</v>
      </c>
      <c r="I43" s="112">
        <f>SUM(I39:I42)</f>
        <v>28938.25</v>
      </c>
    </row>
    <row r="46" spans="1:9" ht="13.8">
      <c r="A46" s="20" t="s">
        <v>388</v>
      </c>
    </row>
    <row r="48" spans="1:9">
      <c r="A48" s="22" t="s">
        <v>234</v>
      </c>
      <c r="B48" s="23" t="s">
        <v>235</v>
      </c>
      <c r="C48" s="23" t="s">
        <v>227</v>
      </c>
      <c r="D48" s="23" t="s">
        <v>308</v>
      </c>
      <c r="E48" s="22" t="s">
        <v>239</v>
      </c>
    </row>
    <row r="49" spans="1:5">
      <c r="A49" s="133">
        <v>1</v>
      </c>
      <c r="B49" s="89" t="s">
        <v>358</v>
      </c>
      <c r="C49" s="89" t="s">
        <v>328</v>
      </c>
      <c r="D49" s="89" t="s">
        <v>316</v>
      </c>
      <c r="E49" s="134">
        <f>'Referências atualizadas'!B55</f>
        <v>1900</v>
      </c>
    </row>
    <row r="50" spans="1:5">
      <c r="A50" s="133">
        <v>2</v>
      </c>
      <c r="B50" s="89" t="s">
        <v>333</v>
      </c>
      <c r="C50" s="89" t="s">
        <v>328</v>
      </c>
      <c r="D50" s="89" t="s">
        <v>317</v>
      </c>
      <c r="E50" s="134">
        <f>'Referências atualizadas'!B55</f>
        <v>1900</v>
      </c>
    </row>
    <row r="51" spans="1:5">
      <c r="A51" s="133">
        <v>3</v>
      </c>
      <c r="B51" s="89" t="s">
        <v>348</v>
      </c>
      <c r="C51" s="89" t="s">
        <v>328</v>
      </c>
      <c r="D51" s="89" t="s">
        <v>318</v>
      </c>
      <c r="E51" s="134">
        <f>'Referências atualizadas'!B55</f>
        <v>1900</v>
      </c>
    </row>
    <row r="52" spans="1:5">
      <c r="A52" s="133">
        <v>4</v>
      </c>
      <c r="B52" s="89" t="s">
        <v>341</v>
      </c>
      <c r="C52" s="89" t="s">
        <v>328</v>
      </c>
      <c r="D52" s="89" t="s">
        <v>319</v>
      </c>
      <c r="E52" s="134">
        <f>'Referências atualizadas'!B55</f>
        <v>1900</v>
      </c>
    </row>
    <row r="53" spans="1:5">
      <c r="A53" s="133">
        <v>5</v>
      </c>
      <c r="B53" s="89" t="s">
        <v>347</v>
      </c>
      <c r="C53" s="89" t="s">
        <v>328</v>
      </c>
      <c r="D53" s="89" t="s">
        <v>320</v>
      </c>
      <c r="E53" s="134">
        <f>'Referências atualizadas'!B55</f>
        <v>1900</v>
      </c>
    </row>
    <row r="54" spans="1:5">
      <c r="A54" s="133">
        <v>6</v>
      </c>
      <c r="B54" s="89" t="s">
        <v>337</v>
      </c>
      <c r="C54" s="89" t="s">
        <v>325</v>
      </c>
      <c r="D54" s="89" t="s">
        <v>361</v>
      </c>
      <c r="E54" s="134">
        <f>'Referências atualizadas'!B55</f>
        <v>1900</v>
      </c>
    </row>
    <row r="55" spans="1:5">
      <c r="A55" s="133">
        <v>7</v>
      </c>
      <c r="B55" s="89" t="s">
        <v>359</v>
      </c>
      <c r="C55" s="89" t="s">
        <v>325</v>
      </c>
      <c r="D55" s="89" t="s">
        <v>362</v>
      </c>
      <c r="E55" s="134">
        <f>'Referências atualizadas'!B55</f>
        <v>1900</v>
      </c>
    </row>
    <row r="56" spans="1:5">
      <c r="A56" s="133">
        <v>8</v>
      </c>
      <c r="B56" s="89" t="s">
        <v>360</v>
      </c>
      <c r="C56" s="89" t="s">
        <v>328</v>
      </c>
      <c r="D56" s="89" t="s">
        <v>363</v>
      </c>
      <c r="E56" s="134">
        <f>'Referências atualizadas'!B55</f>
        <v>1900</v>
      </c>
    </row>
    <row r="57" spans="1:5">
      <c r="A57" s="133">
        <v>9</v>
      </c>
      <c r="B57" s="89" t="s">
        <v>364</v>
      </c>
      <c r="C57" s="89" t="s">
        <v>325</v>
      </c>
      <c r="D57" s="89" t="s">
        <v>321</v>
      </c>
      <c r="E57" s="134">
        <f>'Referências atualizadas'!B55</f>
        <v>1900</v>
      </c>
    </row>
    <row r="58" spans="1:5">
      <c r="A58" s="133">
        <v>10</v>
      </c>
      <c r="B58" s="89" t="s">
        <v>365</v>
      </c>
      <c r="C58" s="89" t="s">
        <v>325</v>
      </c>
      <c r="D58" s="89" t="s">
        <v>322</v>
      </c>
      <c r="E58" s="134">
        <f>'Referências atualizadas'!B55</f>
        <v>1900</v>
      </c>
    </row>
    <row r="59" spans="1:5">
      <c r="A59" s="133">
        <v>11</v>
      </c>
      <c r="B59" s="89" t="s">
        <v>339</v>
      </c>
      <c r="C59" s="89" t="s">
        <v>325</v>
      </c>
      <c r="D59" s="89" t="s">
        <v>323</v>
      </c>
      <c r="E59" s="134">
        <f>'Referências atualizadas'!B55</f>
        <v>1900</v>
      </c>
    </row>
    <row r="60" spans="1:5">
      <c r="D60" s="115" t="s">
        <v>292</v>
      </c>
      <c r="E60" s="112">
        <f>SUM(E49:E59)</f>
        <v>20900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18"/>
  <sheetViews>
    <sheetView showGridLines="0" workbookViewId="0">
      <selection activeCell="B16" sqref="B16"/>
    </sheetView>
  </sheetViews>
  <sheetFormatPr defaultRowHeight="13.2"/>
  <cols>
    <col min="1" max="1" width="8.88671875" style="2" customWidth="1"/>
    <col min="2" max="2" width="42.6640625" style="2" customWidth="1"/>
    <col min="3" max="5" width="13.44140625" style="2" customWidth="1"/>
    <col min="6" max="16384" width="8.88671875" style="2"/>
  </cols>
  <sheetData>
    <row r="2" spans="1:5" ht="13.8">
      <c r="A2" s="20" t="s">
        <v>241</v>
      </c>
      <c r="B2" s="20"/>
    </row>
    <row r="4" spans="1:5">
      <c r="A4" s="22" t="s">
        <v>234</v>
      </c>
      <c r="B4" s="23" t="s">
        <v>243</v>
      </c>
      <c r="C4" s="13" t="s">
        <v>186</v>
      </c>
      <c r="D4" s="13" t="s">
        <v>188</v>
      </c>
      <c r="E4" s="22" t="s">
        <v>189</v>
      </c>
    </row>
    <row r="5" spans="1:5">
      <c r="A5" s="133">
        <v>1</v>
      </c>
      <c r="B5" s="89" t="s">
        <v>242</v>
      </c>
      <c r="C5" s="134">
        <v>1</v>
      </c>
      <c r="D5" s="134">
        <v>1300</v>
      </c>
      <c r="E5" s="134">
        <f>C5*D5</f>
        <v>1300</v>
      </c>
    </row>
    <row r="6" spans="1:5">
      <c r="A6" s="133">
        <v>2</v>
      </c>
      <c r="B6" s="89" t="s">
        <v>244</v>
      </c>
      <c r="C6" s="134">
        <v>1</v>
      </c>
      <c r="D6" s="134">
        <v>1300</v>
      </c>
      <c r="E6" s="134">
        <f t="shared" ref="E6:E17" si="0">C6*D6</f>
        <v>1300</v>
      </c>
    </row>
    <row r="7" spans="1:5">
      <c r="A7" s="133">
        <v>3</v>
      </c>
      <c r="B7" s="89" t="s">
        <v>345</v>
      </c>
      <c r="C7" s="134">
        <v>2</v>
      </c>
      <c r="D7" s="134">
        <v>600</v>
      </c>
      <c r="E7" s="134">
        <f t="shared" si="0"/>
        <v>1200</v>
      </c>
    </row>
    <row r="8" spans="1:5">
      <c r="A8" s="133">
        <v>4</v>
      </c>
      <c r="B8" s="89" t="s">
        <v>343</v>
      </c>
      <c r="C8" s="134">
        <v>2</v>
      </c>
      <c r="D8" s="134">
        <v>600</v>
      </c>
      <c r="E8" s="134">
        <f t="shared" si="0"/>
        <v>1200</v>
      </c>
    </row>
    <row r="9" spans="1:5">
      <c r="A9" s="133">
        <v>5</v>
      </c>
      <c r="B9" s="89" t="s">
        <v>344</v>
      </c>
      <c r="C9" s="134">
        <v>2</v>
      </c>
      <c r="D9" s="134">
        <v>400</v>
      </c>
      <c r="E9" s="134">
        <f t="shared" si="0"/>
        <v>800</v>
      </c>
    </row>
    <row r="10" spans="1:5">
      <c r="A10" s="133">
        <v>6</v>
      </c>
      <c r="B10" s="89" t="s">
        <v>245</v>
      </c>
      <c r="C10" s="134">
        <v>6</v>
      </c>
      <c r="D10" s="134">
        <v>600</v>
      </c>
      <c r="E10" s="134">
        <f t="shared" si="0"/>
        <v>3600</v>
      </c>
    </row>
    <row r="11" spans="1:5">
      <c r="A11" s="133">
        <v>7</v>
      </c>
      <c r="B11" s="89" t="s">
        <v>252</v>
      </c>
      <c r="C11" s="134">
        <v>6</v>
      </c>
      <c r="D11" s="134">
        <v>1100</v>
      </c>
      <c r="E11" s="134">
        <f t="shared" si="0"/>
        <v>6600</v>
      </c>
    </row>
    <row r="12" spans="1:5">
      <c r="A12" s="133">
        <v>8</v>
      </c>
      <c r="B12" s="89" t="s">
        <v>246</v>
      </c>
      <c r="C12" s="134">
        <v>20</v>
      </c>
      <c r="D12" s="134">
        <v>40</v>
      </c>
      <c r="E12" s="134">
        <f t="shared" si="0"/>
        <v>800</v>
      </c>
    </row>
    <row r="13" spans="1:5">
      <c r="A13" s="133">
        <v>9</v>
      </c>
      <c r="B13" s="89" t="s">
        <v>247</v>
      </c>
      <c r="C13" s="134">
        <v>36</v>
      </c>
      <c r="D13" s="134">
        <v>400</v>
      </c>
      <c r="E13" s="134">
        <f t="shared" si="0"/>
        <v>14400</v>
      </c>
    </row>
    <row r="14" spans="1:5">
      <c r="A14" s="133">
        <v>10</v>
      </c>
      <c r="B14" s="89" t="s">
        <v>248</v>
      </c>
      <c r="C14" s="134">
        <v>6</v>
      </c>
      <c r="D14" s="134">
        <v>150</v>
      </c>
      <c r="E14" s="134">
        <f t="shared" si="0"/>
        <v>900</v>
      </c>
    </row>
    <row r="15" spans="1:5">
      <c r="A15" s="133">
        <v>11</v>
      </c>
      <c r="B15" s="89" t="s">
        <v>249</v>
      </c>
      <c r="C15" s="134">
        <v>2</v>
      </c>
      <c r="D15" s="134">
        <v>95</v>
      </c>
      <c r="E15" s="134">
        <f t="shared" si="0"/>
        <v>190</v>
      </c>
    </row>
    <row r="16" spans="1:5">
      <c r="A16" s="133">
        <v>12</v>
      </c>
      <c r="B16" s="89" t="s">
        <v>250</v>
      </c>
      <c r="C16" s="134">
        <v>6</v>
      </c>
      <c r="D16" s="134">
        <v>500</v>
      </c>
      <c r="E16" s="134">
        <f t="shared" si="0"/>
        <v>3000</v>
      </c>
    </row>
    <row r="17" spans="1:5">
      <c r="A17" s="133">
        <v>13</v>
      </c>
      <c r="B17" s="89" t="s">
        <v>251</v>
      </c>
      <c r="C17" s="134">
        <v>1</v>
      </c>
      <c r="D17" s="134">
        <v>400</v>
      </c>
      <c r="E17" s="134">
        <f t="shared" si="0"/>
        <v>400</v>
      </c>
    </row>
    <row r="18" spans="1:5" s="12" customFormat="1">
      <c r="A18" s="2"/>
      <c r="B18" s="2"/>
      <c r="C18" s="3"/>
      <c r="D18" s="115" t="s">
        <v>292</v>
      </c>
      <c r="E18" s="112">
        <f>SUM(E5:E17)</f>
        <v>35690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12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I41"/>
  <sheetViews>
    <sheetView showGridLines="0" topLeftCell="A17" workbookViewId="0">
      <selection activeCell="H41" sqref="H41:I41"/>
    </sheetView>
  </sheetViews>
  <sheetFormatPr defaultRowHeight="13.2"/>
  <cols>
    <col min="1" max="1" width="30.33203125" style="2" customWidth="1"/>
    <col min="2" max="2" width="15.77734375" style="2" customWidth="1"/>
    <col min="3" max="7" width="15.77734375" style="2" hidden="1" customWidth="1"/>
    <col min="8" max="16" width="15.77734375" style="2" customWidth="1"/>
    <col min="17" max="16384" width="8.88671875" style="2"/>
  </cols>
  <sheetData>
    <row r="2" spans="1:9" ht="13.8">
      <c r="A2" s="20" t="s">
        <v>240</v>
      </c>
      <c r="B2" s="99"/>
      <c r="C2" s="100"/>
      <c r="D2" s="101"/>
      <c r="E2" s="102"/>
      <c r="F2" s="102"/>
      <c r="G2" s="102"/>
      <c r="H2" s="102"/>
      <c r="I2" s="102"/>
    </row>
    <row r="3" spans="1:9">
      <c r="A3" s="102"/>
      <c r="B3" s="102"/>
      <c r="C3" s="106"/>
      <c r="D3" s="101"/>
      <c r="E3" s="102"/>
      <c r="F3" s="102"/>
      <c r="G3" s="102"/>
      <c r="H3" s="102"/>
      <c r="I3" s="102"/>
    </row>
    <row r="4" spans="1:9">
      <c r="A4" s="103" t="s">
        <v>225</v>
      </c>
      <c r="B4" s="103" t="s">
        <v>227</v>
      </c>
      <c r="C4" s="104" t="s">
        <v>527</v>
      </c>
      <c r="D4" s="104" t="s">
        <v>528</v>
      </c>
      <c r="E4" s="105" t="s">
        <v>561</v>
      </c>
      <c r="F4" s="105" t="s">
        <v>529</v>
      </c>
      <c r="G4" s="105" t="s">
        <v>530</v>
      </c>
      <c r="H4" s="105" t="s">
        <v>531</v>
      </c>
      <c r="I4" s="105" t="s">
        <v>620</v>
      </c>
    </row>
    <row r="5" spans="1:9">
      <c r="A5" s="107" t="s">
        <v>226</v>
      </c>
      <c r="B5" s="107" t="s">
        <v>293</v>
      </c>
      <c r="C5" s="108">
        <v>10.25</v>
      </c>
      <c r="D5" s="108">
        <v>6</v>
      </c>
      <c r="E5" s="108">
        <v>3.1</v>
      </c>
      <c r="F5" s="108"/>
      <c r="G5" s="108">
        <f>2.34*3.58+1.35*1.5+0.9*1.8</f>
        <v>12.022200000000002</v>
      </c>
      <c r="H5" s="108">
        <f>C5*D5+F5-G5</f>
        <v>49.477800000000002</v>
      </c>
      <c r="I5" s="108">
        <f>(C5+D5)*2*E5</f>
        <v>100.75</v>
      </c>
    </row>
    <row r="6" spans="1:9">
      <c r="A6" s="107" t="s">
        <v>533</v>
      </c>
      <c r="B6" s="107" t="s">
        <v>293</v>
      </c>
      <c r="C6" s="108">
        <v>7.25</v>
      </c>
      <c r="D6" s="108">
        <v>7.33</v>
      </c>
      <c r="E6" s="108">
        <v>3.1</v>
      </c>
      <c r="F6" s="109"/>
      <c r="G6" s="109"/>
      <c r="H6" s="108">
        <f>C6*D6+F6-G6</f>
        <v>53.142499999999998</v>
      </c>
      <c r="I6" s="108">
        <f t="shared" ref="I6:I21" si="0">(C6+D6)*2*E6</f>
        <v>90.396000000000001</v>
      </c>
    </row>
    <row r="7" spans="1:9">
      <c r="A7" s="107" t="s">
        <v>534</v>
      </c>
      <c r="B7" s="107" t="s">
        <v>535</v>
      </c>
      <c r="C7" s="108">
        <v>10.85</v>
      </c>
      <c r="D7" s="108">
        <v>5.4</v>
      </c>
      <c r="E7" s="108">
        <v>2.9</v>
      </c>
      <c r="F7" s="109"/>
      <c r="G7" s="109"/>
      <c r="H7" s="108">
        <f t="shared" ref="H7:H21" si="1">C7*D7+F7-G7</f>
        <v>58.59</v>
      </c>
      <c r="I7" s="108">
        <f t="shared" si="0"/>
        <v>94.25</v>
      </c>
    </row>
    <row r="8" spans="1:9">
      <c r="A8" s="107" t="s">
        <v>228</v>
      </c>
      <c r="B8" s="107" t="s">
        <v>535</v>
      </c>
      <c r="C8" s="108">
        <v>4.2</v>
      </c>
      <c r="D8" s="108">
        <v>2.85</v>
      </c>
      <c r="E8" s="108">
        <v>2.9</v>
      </c>
      <c r="F8" s="108"/>
      <c r="G8" s="108"/>
      <c r="H8" s="108">
        <f t="shared" si="1"/>
        <v>11.97</v>
      </c>
      <c r="I8" s="108">
        <f t="shared" si="0"/>
        <v>40.89</v>
      </c>
    </row>
    <row r="9" spans="1:9">
      <c r="A9" s="107" t="s">
        <v>536</v>
      </c>
      <c r="B9" s="107" t="s">
        <v>535</v>
      </c>
      <c r="C9" s="108">
        <v>1.25</v>
      </c>
      <c r="D9" s="108">
        <v>4.2</v>
      </c>
      <c r="E9" s="108">
        <v>2.9</v>
      </c>
      <c r="F9" s="109"/>
      <c r="G9" s="109"/>
      <c r="H9" s="108">
        <f t="shared" si="1"/>
        <v>5.25</v>
      </c>
      <c r="I9" s="108">
        <f t="shared" si="0"/>
        <v>31.61</v>
      </c>
    </row>
    <row r="10" spans="1:9">
      <c r="A10" s="107" t="s">
        <v>537</v>
      </c>
      <c r="B10" s="107" t="s">
        <v>535</v>
      </c>
      <c r="C10" s="108">
        <v>1.5</v>
      </c>
      <c r="D10" s="108">
        <v>2.8</v>
      </c>
      <c r="E10" s="108">
        <v>2.9</v>
      </c>
      <c r="F10" s="109"/>
      <c r="G10" s="109"/>
      <c r="H10" s="108">
        <f t="shared" si="1"/>
        <v>4.1999999999999993</v>
      </c>
      <c r="I10" s="108">
        <f t="shared" si="0"/>
        <v>24.939999999999998</v>
      </c>
    </row>
    <row r="11" spans="1:9">
      <c r="A11" s="107" t="s">
        <v>347</v>
      </c>
      <c r="B11" s="107" t="s">
        <v>535</v>
      </c>
      <c r="C11" s="108">
        <v>1.5</v>
      </c>
      <c r="D11" s="108">
        <v>1</v>
      </c>
      <c r="E11" s="108">
        <v>2.9</v>
      </c>
      <c r="F11" s="108"/>
      <c r="G11" s="108"/>
      <c r="H11" s="108">
        <f t="shared" si="1"/>
        <v>1.5</v>
      </c>
      <c r="I11" s="108">
        <f t="shared" si="0"/>
        <v>14.5</v>
      </c>
    </row>
    <row r="12" spans="1:9">
      <c r="A12" s="107" t="s">
        <v>538</v>
      </c>
      <c r="B12" s="107" t="s">
        <v>535</v>
      </c>
      <c r="C12" s="108">
        <v>1.4</v>
      </c>
      <c r="D12" s="108">
        <v>2.4500000000000002</v>
      </c>
      <c r="E12" s="108">
        <v>2.9</v>
      </c>
      <c r="F12" s="109"/>
      <c r="G12" s="109"/>
      <c r="H12" s="108">
        <f t="shared" si="1"/>
        <v>3.43</v>
      </c>
      <c r="I12" s="108">
        <f t="shared" si="0"/>
        <v>22.33</v>
      </c>
    </row>
    <row r="13" spans="1:9">
      <c r="A13" s="107" t="s">
        <v>539</v>
      </c>
      <c r="B13" s="107" t="s">
        <v>535</v>
      </c>
      <c r="C13" s="108">
        <v>1.4</v>
      </c>
      <c r="D13" s="108">
        <v>1.5</v>
      </c>
      <c r="E13" s="108">
        <v>2.9</v>
      </c>
      <c r="F13" s="109"/>
      <c r="G13" s="109"/>
      <c r="H13" s="108">
        <f t="shared" si="1"/>
        <v>2.0999999999999996</v>
      </c>
      <c r="I13" s="108">
        <f t="shared" si="0"/>
        <v>16.82</v>
      </c>
    </row>
    <row r="14" spans="1:9">
      <c r="A14" s="107" t="s">
        <v>540</v>
      </c>
      <c r="B14" s="107" t="s">
        <v>535</v>
      </c>
      <c r="C14" s="108">
        <v>3.6</v>
      </c>
      <c r="D14" s="108">
        <v>3.95</v>
      </c>
      <c r="E14" s="108">
        <v>2.9</v>
      </c>
      <c r="F14" s="108"/>
      <c r="G14" s="108"/>
      <c r="H14" s="108">
        <f t="shared" si="1"/>
        <v>14.22</v>
      </c>
      <c r="I14" s="108">
        <f t="shared" si="0"/>
        <v>43.790000000000006</v>
      </c>
    </row>
    <row r="15" spans="1:9">
      <c r="A15" s="107" t="s">
        <v>541</v>
      </c>
      <c r="B15" s="107" t="s">
        <v>535</v>
      </c>
      <c r="C15" s="108">
        <v>0</v>
      </c>
      <c r="D15" s="108">
        <v>0</v>
      </c>
      <c r="E15" s="108">
        <v>2.9</v>
      </c>
      <c r="F15" s="109">
        <v>11.42</v>
      </c>
      <c r="G15" s="109"/>
      <c r="H15" s="108">
        <f t="shared" si="1"/>
        <v>11.42</v>
      </c>
      <c r="I15" s="108">
        <f t="shared" si="0"/>
        <v>0</v>
      </c>
    </row>
    <row r="16" spans="1:9">
      <c r="A16" s="107" t="s">
        <v>542</v>
      </c>
      <c r="B16" s="107" t="s">
        <v>535</v>
      </c>
      <c r="C16" s="108">
        <v>0</v>
      </c>
      <c r="D16" s="108">
        <v>0</v>
      </c>
      <c r="E16" s="108">
        <v>2.9</v>
      </c>
      <c r="F16" s="109">
        <v>20.16</v>
      </c>
      <c r="G16" s="109"/>
      <c r="H16" s="108">
        <f t="shared" si="1"/>
        <v>20.16</v>
      </c>
      <c r="I16" s="108">
        <f t="shared" si="0"/>
        <v>0</v>
      </c>
    </row>
    <row r="17" spans="1:9">
      <c r="A17" s="107" t="s">
        <v>545</v>
      </c>
      <c r="B17" s="107" t="s">
        <v>535</v>
      </c>
      <c r="C17" s="108">
        <v>0</v>
      </c>
      <c r="D17" s="108">
        <v>0</v>
      </c>
      <c r="E17" s="108">
        <v>2.9</v>
      </c>
      <c r="F17" s="109">
        <v>8.4499999999999993</v>
      </c>
      <c r="G17" s="109"/>
      <c r="H17" s="108">
        <f t="shared" si="1"/>
        <v>8.4499999999999993</v>
      </c>
      <c r="I17" s="108">
        <f t="shared" si="0"/>
        <v>0</v>
      </c>
    </row>
    <row r="18" spans="1:9">
      <c r="A18" s="107" t="s">
        <v>546</v>
      </c>
      <c r="B18" s="107" t="s">
        <v>535</v>
      </c>
      <c r="C18" s="108">
        <v>1.95</v>
      </c>
      <c r="D18" s="108">
        <v>1.2</v>
      </c>
      <c r="E18" s="108">
        <v>2.9</v>
      </c>
      <c r="F18" s="108"/>
      <c r="G18" s="108"/>
      <c r="H18" s="108">
        <f t="shared" si="1"/>
        <v>2.34</v>
      </c>
      <c r="I18" s="108">
        <f t="shared" si="0"/>
        <v>18.27</v>
      </c>
    </row>
    <row r="19" spans="1:9">
      <c r="A19" s="107" t="s">
        <v>380</v>
      </c>
      <c r="B19" s="107" t="s">
        <v>549</v>
      </c>
      <c r="C19" s="108">
        <v>9.1</v>
      </c>
      <c r="D19" s="108">
        <v>4.1500000000000004</v>
      </c>
      <c r="E19" s="108">
        <v>2.75</v>
      </c>
      <c r="F19" s="109"/>
      <c r="G19" s="109">
        <f>2.15*4.05</f>
        <v>8.7074999999999996</v>
      </c>
      <c r="H19" s="108">
        <f t="shared" si="1"/>
        <v>29.057500000000001</v>
      </c>
      <c r="I19" s="108">
        <f t="shared" si="0"/>
        <v>72.875</v>
      </c>
    </row>
    <row r="20" spans="1:9">
      <c r="A20" s="107" t="s">
        <v>550</v>
      </c>
      <c r="B20" s="107" t="s">
        <v>549</v>
      </c>
      <c r="C20" s="108">
        <v>5.6</v>
      </c>
      <c r="D20" s="108">
        <v>3.95</v>
      </c>
      <c r="E20" s="108">
        <v>2.75</v>
      </c>
      <c r="F20" s="109"/>
      <c r="G20" s="109">
        <f>2.15*1.7</f>
        <v>3.6549999999999998</v>
      </c>
      <c r="H20" s="108">
        <f t="shared" si="1"/>
        <v>18.465</v>
      </c>
      <c r="I20" s="108">
        <f t="shared" si="0"/>
        <v>52.525000000000006</v>
      </c>
    </row>
    <row r="21" spans="1:9">
      <c r="A21" s="107" t="s">
        <v>551</v>
      </c>
      <c r="B21" s="107" t="s">
        <v>549</v>
      </c>
      <c r="C21" s="108"/>
      <c r="D21" s="108"/>
      <c r="E21" s="108">
        <v>2.75</v>
      </c>
      <c r="F21" s="109">
        <v>4.93</v>
      </c>
      <c r="G21" s="109"/>
      <c r="H21" s="108">
        <f t="shared" si="1"/>
        <v>4.93</v>
      </c>
      <c r="I21" s="108">
        <f t="shared" si="0"/>
        <v>0</v>
      </c>
    </row>
    <row r="22" spans="1:9">
      <c r="A22" s="107" t="s">
        <v>552</v>
      </c>
      <c r="B22" s="107" t="s">
        <v>549</v>
      </c>
      <c r="C22" s="108">
        <v>5.6</v>
      </c>
      <c r="D22" s="108">
        <v>1.95</v>
      </c>
      <c r="E22" s="108">
        <v>2.75</v>
      </c>
      <c r="F22" s="109"/>
      <c r="G22" s="109"/>
      <c r="H22" s="108">
        <f t="shared" ref="H22:H30" si="2">C22*D22+F22-G22</f>
        <v>10.92</v>
      </c>
      <c r="I22" s="108">
        <f t="shared" ref="I22:I30" si="3">(C22+D22)*2*E22</f>
        <v>41.524999999999999</v>
      </c>
    </row>
    <row r="23" spans="1:9">
      <c r="A23" s="107" t="s">
        <v>553</v>
      </c>
      <c r="B23" s="107" t="s">
        <v>549</v>
      </c>
      <c r="C23" s="108">
        <v>5.8</v>
      </c>
      <c r="D23" s="108">
        <v>3.25</v>
      </c>
      <c r="E23" s="108">
        <v>2.75</v>
      </c>
      <c r="F23" s="109"/>
      <c r="G23" s="109">
        <f>2*1.65</f>
        <v>3.3</v>
      </c>
      <c r="H23" s="108">
        <f t="shared" si="2"/>
        <v>15.549999999999997</v>
      </c>
      <c r="I23" s="108">
        <f t="shared" si="3"/>
        <v>49.775000000000006</v>
      </c>
    </row>
    <row r="24" spans="1:9">
      <c r="A24" s="107" t="s">
        <v>554</v>
      </c>
      <c r="B24" s="107" t="s">
        <v>549</v>
      </c>
      <c r="C24" s="108">
        <v>2.5499999999999998</v>
      </c>
      <c r="D24" s="108">
        <v>1.5</v>
      </c>
      <c r="E24" s="108">
        <v>2.75</v>
      </c>
      <c r="F24" s="109"/>
      <c r="G24" s="109"/>
      <c r="H24" s="108">
        <f t="shared" si="2"/>
        <v>3.8249999999999997</v>
      </c>
      <c r="I24" s="108">
        <f t="shared" si="3"/>
        <v>22.274999999999999</v>
      </c>
    </row>
    <row r="25" spans="1:9">
      <c r="A25" s="107" t="s">
        <v>555</v>
      </c>
      <c r="B25" s="107" t="s">
        <v>549</v>
      </c>
      <c r="C25" s="108">
        <v>0.9</v>
      </c>
      <c r="D25" s="108">
        <v>5.25</v>
      </c>
      <c r="E25" s="108">
        <v>2.75</v>
      </c>
      <c r="F25" s="109"/>
      <c r="G25" s="109"/>
      <c r="H25" s="108">
        <f t="shared" si="2"/>
        <v>4.7250000000000005</v>
      </c>
      <c r="I25" s="108">
        <f t="shared" si="3"/>
        <v>33.825000000000003</v>
      </c>
    </row>
    <row r="26" spans="1:9">
      <c r="A26" s="107" t="s">
        <v>556</v>
      </c>
      <c r="B26" s="107" t="s">
        <v>549</v>
      </c>
      <c r="C26" s="108">
        <v>6.8</v>
      </c>
      <c r="D26" s="108">
        <v>3.95</v>
      </c>
      <c r="E26" s="108">
        <v>2.75</v>
      </c>
      <c r="F26" s="109"/>
      <c r="G26" s="109">
        <f>2.95*3.2</f>
        <v>9.4400000000000013</v>
      </c>
      <c r="H26" s="108">
        <f t="shared" si="2"/>
        <v>17.419999999999998</v>
      </c>
      <c r="I26" s="108">
        <f t="shared" si="3"/>
        <v>59.125</v>
      </c>
    </row>
    <row r="27" spans="1:9">
      <c r="A27" s="107" t="s">
        <v>557</v>
      </c>
      <c r="B27" s="107" t="s">
        <v>549</v>
      </c>
      <c r="C27" s="108">
        <v>1.5</v>
      </c>
      <c r="D27" s="108">
        <v>2.8</v>
      </c>
      <c r="E27" s="108">
        <v>2.75</v>
      </c>
      <c r="F27" s="109"/>
      <c r="G27" s="109"/>
      <c r="H27" s="108">
        <f t="shared" si="2"/>
        <v>4.1999999999999993</v>
      </c>
      <c r="I27" s="108">
        <f t="shared" si="3"/>
        <v>23.65</v>
      </c>
    </row>
    <row r="28" spans="1:9" s="12" customFormat="1">
      <c r="A28" s="107" t="s">
        <v>558</v>
      </c>
      <c r="B28" s="107" t="s">
        <v>549</v>
      </c>
      <c r="C28" s="108">
        <v>1.4</v>
      </c>
      <c r="D28" s="108">
        <v>2.8</v>
      </c>
      <c r="E28" s="108">
        <v>2.75</v>
      </c>
      <c r="F28" s="109"/>
      <c r="G28" s="109"/>
      <c r="H28" s="108">
        <f t="shared" si="2"/>
        <v>3.9199999999999995</v>
      </c>
      <c r="I28" s="108">
        <f t="shared" si="3"/>
        <v>23.099999999999994</v>
      </c>
    </row>
    <row r="29" spans="1:9" s="12" customFormat="1">
      <c r="A29" s="107" t="s">
        <v>559</v>
      </c>
      <c r="B29" s="107" t="s">
        <v>549</v>
      </c>
      <c r="C29" s="108"/>
      <c r="D29" s="108"/>
      <c r="E29" s="108">
        <v>2.75</v>
      </c>
      <c r="F29" s="109">
        <v>23.65</v>
      </c>
      <c r="G29" s="109"/>
      <c r="H29" s="108">
        <f t="shared" si="2"/>
        <v>23.65</v>
      </c>
      <c r="I29" s="108">
        <f t="shared" si="3"/>
        <v>0</v>
      </c>
    </row>
    <row r="30" spans="1:9">
      <c r="A30" s="107" t="s">
        <v>560</v>
      </c>
      <c r="B30" s="107" t="s">
        <v>549</v>
      </c>
      <c r="C30" s="108"/>
      <c r="D30" s="108"/>
      <c r="E30" s="108">
        <v>2.75</v>
      </c>
      <c r="F30" s="109">
        <v>7.7</v>
      </c>
      <c r="G30" s="109"/>
      <c r="H30" s="108">
        <f t="shared" si="2"/>
        <v>7.7</v>
      </c>
      <c r="I30" s="108">
        <f t="shared" si="3"/>
        <v>0</v>
      </c>
    </row>
    <row r="31" spans="1:9">
      <c r="H31" s="112">
        <f>SUM(H5:H30)</f>
        <v>390.61279999999999</v>
      </c>
      <c r="I31" s="112">
        <f>SUM(I5:I30)</f>
        <v>877.221</v>
      </c>
    </row>
    <row r="33" spans="8:9">
      <c r="H33" s="125" t="s">
        <v>621</v>
      </c>
      <c r="I33" s="136">
        <f>SUM(H5:H30)</f>
        <v>390.61279999999999</v>
      </c>
    </row>
    <row r="34" spans="8:9">
      <c r="H34" s="125" t="s">
        <v>622</v>
      </c>
      <c r="I34" s="136">
        <f>'Referências atualizadas'!B39</f>
        <v>65</v>
      </c>
    </row>
    <row r="35" spans="8:9">
      <c r="H35" s="125"/>
      <c r="I35" s="136"/>
    </row>
    <row r="36" spans="8:9">
      <c r="H36" s="125" t="s">
        <v>624</v>
      </c>
      <c r="I36" s="136">
        <f>I31</f>
        <v>877.221</v>
      </c>
    </row>
    <row r="37" spans="8:9">
      <c r="H37" s="125" t="s">
        <v>623</v>
      </c>
      <c r="I37" s="136">
        <f>'Referências atualizadas'!B40</f>
        <v>21</v>
      </c>
    </row>
    <row r="38" spans="8:9">
      <c r="H38" s="125"/>
      <c r="I38" s="136"/>
    </row>
    <row r="39" spans="8:9">
      <c r="H39" s="125" t="s">
        <v>627</v>
      </c>
      <c r="I39" s="136">
        <f>I33*I34+I36*I37</f>
        <v>43811.472999999998</v>
      </c>
    </row>
    <row r="40" spans="8:9">
      <c r="H40" s="125" t="s">
        <v>626</v>
      </c>
      <c r="I40" s="137">
        <v>0.05</v>
      </c>
    </row>
    <row r="41" spans="8:9">
      <c r="H41" s="115" t="s">
        <v>625</v>
      </c>
      <c r="I41" s="112">
        <f>I39+I40*I39</f>
        <v>46002.046649999997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C412F-1F26-4202-8B39-1D22181BA6B6}">
  <sheetPr>
    <tabColor theme="8" tint="0.39997558519241921"/>
  </sheetPr>
  <dimension ref="A1:C65"/>
  <sheetViews>
    <sheetView showGridLines="0" topLeftCell="A14" workbookViewId="0">
      <selection activeCell="A15" sqref="A15:XFD16"/>
    </sheetView>
  </sheetViews>
  <sheetFormatPr defaultRowHeight="14.4"/>
  <cols>
    <col min="1" max="1" width="84.33203125" customWidth="1"/>
    <col min="2" max="2" width="25.44140625" style="60" customWidth="1"/>
    <col min="3" max="3" width="18.33203125" customWidth="1"/>
  </cols>
  <sheetData>
    <row r="1" spans="1:3" ht="39.6" customHeight="1">
      <c r="A1" s="138" t="s">
        <v>434</v>
      </c>
      <c r="B1" s="138"/>
      <c r="C1" s="138"/>
    </row>
    <row r="2" spans="1:3">
      <c r="A2" s="54"/>
      <c r="B2" s="55"/>
      <c r="C2" s="54"/>
    </row>
    <row r="3" spans="1:3">
      <c r="A3" s="56" t="s">
        <v>435</v>
      </c>
      <c r="B3" s="57" t="s">
        <v>436</v>
      </c>
      <c r="C3" s="56" t="s">
        <v>437</v>
      </c>
    </row>
    <row r="4" spans="1:3">
      <c r="A4" s="58" t="s">
        <v>438</v>
      </c>
      <c r="B4" s="61"/>
      <c r="C4" s="58"/>
    </row>
    <row r="5" spans="1:3" ht="91.8" customHeight="1">
      <c r="A5" s="59" t="s">
        <v>440</v>
      </c>
      <c r="B5" s="62">
        <v>4500</v>
      </c>
      <c r="C5" s="63" t="s">
        <v>439</v>
      </c>
    </row>
    <row r="6" spans="1:3">
      <c r="A6" s="58" t="s">
        <v>441</v>
      </c>
      <c r="B6" s="61"/>
      <c r="C6" s="58"/>
    </row>
    <row r="7" spans="1:3" ht="64.2" customHeight="1">
      <c r="A7" s="59" t="s">
        <v>442</v>
      </c>
      <c r="B7" s="62">
        <v>3200</v>
      </c>
      <c r="C7" s="63" t="s">
        <v>439</v>
      </c>
    </row>
    <row r="8" spans="1:3">
      <c r="A8" s="54"/>
      <c r="B8" s="55"/>
      <c r="C8" s="54"/>
    </row>
    <row r="9" spans="1:3">
      <c r="A9" s="54"/>
      <c r="B9" s="55"/>
      <c r="C9" s="54"/>
    </row>
    <row r="10" spans="1:3">
      <c r="A10" s="56" t="s">
        <v>443</v>
      </c>
      <c r="B10" s="57" t="s">
        <v>436</v>
      </c>
      <c r="C10" s="56" t="s">
        <v>437</v>
      </c>
    </row>
    <row r="11" spans="1:3">
      <c r="A11" s="58" t="s">
        <v>444</v>
      </c>
      <c r="B11" s="61"/>
      <c r="C11" s="58"/>
    </row>
    <row r="12" spans="1:3" ht="61.8" customHeight="1">
      <c r="A12" s="59" t="s">
        <v>446</v>
      </c>
      <c r="B12" s="62">
        <v>10.5</v>
      </c>
      <c r="C12" s="63" t="s">
        <v>445</v>
      </c>
    </row>
    <row r="13" spans="1:3">
      <c r="A13" s="58" t="s">
        <v>447</v>
      </c>
      <c r="B13" s="61"/>
      <c r="C13" s="58"/>
    </row>
    <row r="14" spans="1:3" ht="65.400000000000006" customHeight="1">
      <c r="A14" s="59" t="s">
        <v>449</v>
      </c>
      <c r="B14" s="62">
        <v>600</v>
      </c>
      <c r="C14" s="63" t="s">
        <v>448</v>
      </c>
    </row>
    <row r="15" spans="1:3">
      <c r="A15" s="58" t="s">
        <v>450</v>
      </c>
      <c r="B15" s="61"/>
      <c r="C15" s="58"/>
    </row>
    <row r="16" spans="1:3" ht="56.4" customHeight="1">
      <c r="A16" s="59" t="s">
        <v>451</v>
      </c>
      <c r="B16" s="62">
        <v>22</v>
      </c>
      <c r="C16" s="63" t="s">
        <v>448</v>
      </c>
    </row>
    <row r="17" spans="1:3">
      <c r="A17" s="58" t="s">
        <v>452</v>
      </c>
      <c r="B17" s="61"/>
      <c r="C17" s="58"/>
    </row>
    <row r="18" spans="1:3" ht="47.4" customHeight="1">
      <c r="A18" s="93" t="s">
        <v>453</v>
      </c>
      <c r="B18" s="94">
        <v>1050</v>
      </c>
      <c r="C18" s="95" t="s">
        <v>439</v>
      </c>
    </row>
    <row r="19" spans="1:3">
      <c r="A19" s="58" t="s">
        <v>454</v>
      </c>
      <c r="B19" s="61"/>
      <c r="C19" s="58"/>
    </row>
    <row r="20" spans="1:3" ht="64.2" customHeight="1">
      <c r="A20" s="59" t="s">
        <v>455</v>
      </c>
      <c r="B20" s="62">
        <v>110</v>
      </c>
      <c r="C20" s="63" t="s">
        <v>439</v>
      </c>
    </row>
    <row r="23" spans="1:3">
      <c r="A23" s="56" t="s">
        <v>456</v>
      </c>
      <c r="B23" s="57" t="s">
        <v>436</v>
      </c>
      <c r="C23" s="56" t="s">
        <v>437</v>
      </c>
    </row>
    <row r="24" spans="1:3">
      <c r="A24" s="58" t="s">
        <v>457</v>
      </c>
      <c r="B24" s="61"/>
      <c r="C24" s="58"/>
    </row>
    <row r="25" spans="1:3" ht="49.8" customHeight="1">
      <c r="A25" s="59" t="s">
        <v>458</v>
      </c>
      <c r="B25" s="62">
        <v>120</v>
      </c>
      <c r="C25" s="63" t="s">
        <v>439</v>
      </c>
    </row>
    <row r="26" spans="1:3">
      <c r="A26" s="58" t="s">
        <v>498</v>
      </c>
      <c r="B26" s="61"/>
      <c r="C26" s="58"/>
    </row>
    <row r="27" spans="1:3" ht="27" customHeight="1">
      <c r="A27" s="93" t="s">
        <v>499</v>
      </c>
      <c r="B27" s="94">
        <v>1.29</v>
      </c>
      <c r="C27" s="95" t="s">
        <v>503</v>
      </c>
    </row>
    <row r="28" spans="1:3" ht="27" customHeight="1">
      <c r="A28" s="93" t="s">
        <v>500</v>
      </c>
      <c r="B28" s="94">
        <v>1.66</v>
      </c>
      <c r="C28" s="95" t="s">
        <v>503</v>
      </c>
    </row>
    <row r="29" spans="1:3" ht="27" customHeight="1">
      <c r="A29" s="93" t="s">
        <v>501</v>
      </c>
      <c r="B29" s="94">
        <v>1.96</v>
      </c>
      <c r="C29" s="95" t="s">
        <v>503</v>
      </c>
    </row>
    <row r="30" spans="1:3" ht="27" customHeight="1">
      <c r="A30" s="93" t="s">
        <v>502</v>
      </c>
      <c r="B30" s="94">
        <v>2.89</v>
      </c>
      <c r="C30" s="95" t="s">
        <v>503</v>
      </c>
    </row>
    <row r="31" spans="1:3" ht="14.4" customHeight="1">
      <c r="A31" s="59"/>
      <c r="B31" s="62"/>
      <c r="C31" s="63"/>
    </row>
    <row r="32" spans="1:3">
      <c r="A32" s="58" t="s">
        <v>597</v>
      </c>
      <c r="B32" s="61"/>
      <c r="C32" s="58"/>
    </row>
    <row r="33" spans="1:3" ht="27" customHeight="1">
      <c r="A33" s="93" t="s">
        <v>504</v>
      </c>
      <c r="B33" s="94">
        <v>33</v>
      </c>
      <c r="C33" s="95" t="s">
        <v>505</v>
      </c>
    </row>
    <row r="34" spans="1:3" ht="27" customHeight="1">
      <c r="A34" s="93" t="s">
        <v>162</v>
      </c>
      <c r="B34" s="94">
        <v>130</v>
      </c>
      <c r="C34" s="95" t="s">
        <v>448</v>
      </c>
    </row>
    <row r="35" spans="1:3" ht="27" customHeight="1">
      <c r="A35" s="93" t="s">
        <v>264</v>
      </c>
      <c r="B35" s="94">
        <v>120</v>
      </c>
      <c r="C35" s="95" t="s">
        <v>448</v>
      </c>
    </row>
    <row r="36" spans="1:3" ht="27" customHeight="1">
      <c r="A36" s="93" t="s">
        <v>596</v>
      </c>
      <c r="B36" s="94">
        <v>29.9</v>
      </c>
      <c r="C36" s="95" t="s">
        <v>505</v>
      </c>
    </row>
    <row r="37" spans="1:3" ht="14.4" customHeight="1">
      <c r="A37" s="59"/>
      <c r="B37" s="62"/>
      <c r="C37" s="63"/>
    </row>
    <row r="38" spans="1:3">
      <c r="A38" s="58" t="s">
        <v>630</v>
      </c>
      <c r="B38" s="61"/>
      <c r="C38" s="58"/>
    </row>
    <row r="39" spans="1:3" ht="27" customHeight="1">
      <c r="A39" s="93" t="s">
        <v>506</v>
      </c>
      <c r="B39" s="94">
        <v>65</v>
      </c>
      <c r="C39" s="95" t="s">
        <v>439</v>
      </c>
    </row>
    <row r="40" spans="1:3" ht="27" customHeight="1">
      <c r="A40" s="93" t="s">
        <v>507</v>
      </c>
      <c r="B40" s="94">
        <v>21</v>
      </c>
      <c r="C40" s="95" t="s">
        <v>509</v>
      </c>
    </row>
    <row r="41" spans="1:3" ht="27" customHeight="1">
      <c r="A41" s="93" t="s">
        <v>508</v>
      </c>
      <c r="B41" s="94">
        <v>168</v>
      </c>
      <c r="C41" s="95" t="s">
        <v>439</v>
      </c>
    </row>
    <row r="42" spans="1:3" ht="27" customHeight="1">
      <c r="A42" s="93" t="s">
        <v>619</v>
      </c>
      <c r="B42" s="94">
        <f>B39/2</f>
        <v>32.5</v>
      </c>
      <c r="C42" s="95" t="s">
        <v>509</v>
      </c>
    </row>
    <row r="43" spans="1:3" ht="27" customHeight="1">
      <c r="A43" s="93" t="s">
        <v>629</v>
      </c>
      <c r="B43" s="94">
        <v>580</v>
      </c>
      <c r="C43" s="95" t="s">
        <v>509</v>
      </c>
    </row>
    <row r="44" spans="1:3" ht="14.4" customHeight="1">
      <c r="A44" s="59"/>
      <c r="B44" s="62"/>
      <c r="C44" s="63"/>
    </row>
    <row r="45" spans="1:3">
      <c r="A45" s="58" t="s">
        <v>573</v>
      </c>
      <c r="B45" s="61"/>
      <c r="C45" s="58"/>
    </row>
    <row r="46" spans="1:3" ht="27" customHeight="1">
      <c r="A46" s="93" t="s">
        <v>574</v>
      </c>
      <c r="B46" s="94">
        <v>79</v>
      </c>
      <c r="C46" s="95" t="s">
        <v>439</v>
      </c>
    </row>
    <row r="47" spans="1:3" ht="27" customHeight="1">
      <c r="A47" s="93" t="s">
        <v>575</v>
      </c>
      <c r="B47" s="94">
        <v>85</v>
      </c>
      <c r="C47" s="95" t="s">
        <v>439</v>
      </c>
    </row>
    <row r="48" spans="1:3" ht="27" customHeight="1">
      <c r="A48" s="93" t="s">
        <v>576</v>
      </c>
      <c r="B48" s="94">
        <v>75</v>
      </c>
      <c r="C48" s="95" t="s">
        <v>439</v>
      </c>
    </row>
    <row r="49" spans="1:3" ht="27" customHeight="1">
      <c r="A49" s="93"/>
      <c r="B49" s="94"/>
      <c r="C49" s="95"/>
    </row>
    <row r="50" spans="1:3" ht="14.4" customHeight="1">
      <c r="A50" s="59"/>
      <c r="B50" s="62"/>
      <c r="C50" s="63"/>
    </row>
    <row r="51" spans="1:3">
      <c r="A51" s="58" t="s">
        <v>615</v>
      </c>
      <c r="B51" s="61"/>
      <c r="C51" s="58"/>
    </row>
    <row r="52" spans="1:3" ht="34.799999999999997" customHeight="1">
      <c r="A52" s="93" t="s">
        <v>603</v>
      </c>
      <c r="B52" s="94">
        <v>18.5</v>
      </c>
      <c r="C52" s="95" t="s">
        <v>509</v>
      </c>
    </row>
    <row r="53" spans="1:3" ht="27" customHeight="1">
      <c r="A53" s="93" t="s">
        <v>608</v>
      </c>
      <c r="B53" s="94">
        <v>750</v>
      </c>
      <c r="C53" s="95" t="s">
        <v>439</v>
      </c>
    </row>
    <row r="54" spans="1:3" ht="27" customHeight="1">
      <c r="A54" s="93" t="s">
        <v>609</v>
      </c>
      <c r="B54" s="94">
        <v>850</v>
      </c>
      <c r="C54" s="95" t="s">
        <v>439</v>
      </c>
    </row>
    <row r="55" spans="1:3" ht="51.6" customHeight="1">
      <c r="A55" s="93" t="s">
        <v>610</v>
      </c>
      <c r="B55" s="94">
        <v>1900</v>
      </c>
      <c r="C55" s="95" t="s">
        <v>503</v>
      </c>
    </row>
    <row r="56" spans="1:3" ht="40.200000000000003" customHeight="1">
      <c r="A56" s="93" t="s">
        <v>637</v>
      </c>
      <c r="B56" s="94">
        <v>9.5</v>
      </c>
      <c r="C56" s="95" t="s">
        <v>439</v>
      </c>
    </row>
    <row r="57" spans="1:3" ht="14.4" customHeight="1">
      <c r="A57" s="59"/>
      <c r="B57" s="62"/>
      <c r="C57" s="63"/>
    </row>
    <row r="58" spans="1:3">
      <c r="A58" s="58" t="s">
        <v>614</v>
      </c>
      <c r="B58" s="61"/>
      <c r="C58" s="58"/>
    </row>
    <row r="59" spans="1:3" ht="34.950000000000003" customHeight="1">
      <c r="A59" s="93" t="s">
        <v>636</v>
      </c>
      <c r="B59" s="94">
        <v>195</v>
      </c>
      <c r="C59" s="95" t="s">
        <v>439</v>
      </c>
    </row>
    <row r="60" spans="1:3" ht="34.950000000000003" customHeight="1">
      <c r="A60" s="93" t="s">
        <v>635</v>
      </c>
      <c r="B60" s="94">
        <v>600</v>
      </c>
      <c r="C60" s="95" t="s">
        <v>439</v>
      </c>
    </row>
    <row r="61" spans="1:3" ht="34.950000000000003" customHeight="1">
      <c r="A61" s="93" t="s">
        <v>633</v>
      </c>
      <c r="B61" s="94">
        <v>65</v>
      </c>
      <c r="C61" s="95" t="s">
        <v>439</v>
      </c>
    </row>
    <row r="62" spans="1:3" ht="34.950000000000003" customHeight="1">
      <c r="A62" s="93" t="s">
        <v>634</v>
      </c>
      <c r="B62" s="94">
        <v>25</v>
      </c>
      <c r="C62" s="95" t="s">
        <v>439</v>
      </c>
    </row>
    <row r="63" spans="1:3" ht="44.4" customHeight="1">
      <c r="A63" s="93" t="s">
        <v>648</v>
      </c>
      <c r="B63" s="94">
        <v>125</v>
      </c>
      <c r="C63" s="95" t="s">
        <v>439</v>
      </c>
    </row>
    <row r="64" spans="1:3" ht="47.4" customHeight="1">
      <c r="A64" s="93" t="s">
        <v>647</v>
      </c>
      <c r="B64" s="94">
        <v>62</v>
      </c>
      <c r="C64" s="95" t="s">
        <v>439</v>
      </c>
    </row>
    <row r="65" spans="1:3" ht="14.4" customHeight="1">
      <c r="A65" s="59"/>
      <c r="B65" s="62"/>
      <c r="C65" s="63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23F06-DCB0-4CBE-AB57-398EB091C427}">
  <sheetPr>
    <tabColor theme="8" tint="0.39997558519241921"/>
  </sheetPr>
  <dimension ref="A2:I41"/>
  <sheetViews>
    <sheetView showGridLines="0" workbookViewId="0">
      <selection activeCell="I14" sqref="I14"/>
    </sheetView>
  </sheetViews>
  <sheetFormatPr defaultRowHeight="13.2"/>
  <cols>
    <col min="1" max="1" width="30.33203125" style="102" customWidth="1"/>
    <col min="2" max="2" width="15.77734375" style="102" customWidth="1"/>
    <col min="3" max="3" width="11.21875" style="106" customWidth="1"/>
    <col min="4" max="4" width="11.5546875" style="101" bestFit="1" customWidth="1"/>
    <col min="5" max="5" width="11.5546875" style="102" bestFit="1" customWidth="1"/>
    <col min="6" max="16384" width="8.88671875" style="102"/>
  </cols>
  <sheetData>
    <row r="2" spans="1:9" ht="13.8">
      <c r="A2" s="99" t="s">
        <v>526</v>
      </c>
      <c r="B2" s="99"/>
      <c r="C2" s="100"/>
    </row>
    <row r="4" spans="1:9" ht="26.4">
      <c r="A4" s="103" t="s">
        <v>225</v>
      </c>
      <c r="B4" s="103" t="s">
        <v>227</v>
      </c>
      <c r="C4" s="104" t="s">
        <v>527</v>
      </c>
      <c r="D4" s="104" t="s">
        <v>528</v>
      </c>
      <c r="E4" s="105" t="s">
        <v>561</v>
      </c>
      <c r="F4" s="105" t="s">
        <v>529</v>
      </c>
      <c r="G4" s="105" t="s">
        <v>530</v>
      </c>
      <c r="H4" s="105" t="s">
        <v>531</v>
      </c>
      <c r="I4" s="105" t="s">
        <v>532</v>
      </c>
    </row>
    <row r="5" spans="1:9">
      <c r="A5" s="107" t="s">
        <v>226</v>
      </c>
      <c r="B5" s="107" t="s">
        <v>293</v>
      </c>
      <c r="C5" s="108">
        <v>10.25</v>
      </c>
      <c r="D5" s="108">
        <v>6</v>
      </c>
      <c r="E5" s="108">
        <v>3.1</v>
      </c>
      <c r="F5" s="108"/>
      <c r="G5" s="108">
        <f>2.34*3.58+1.35*1.5+0.9*1.8</f>
        <v>12.022200000000002</v>
      </c>
      <c r="H5" s="108">
        <f>C5*D5+F5-G5</f>
        <v>49.477800000000002</v>
      </c>
      <c r="I5" s="108">
        <f>(C5+D5)*2*E5</f>
        <v>100.75</v>
      </c>
    </row>
    <row r="6" spans="1:9">
      <c r="A6" s="107" t="s">
        <v>533</v>
      </c>
      <c r="B6" s="107" t="s">
        <v>293</v>
      </c>
      <c r="C6" s="108">
        <v>7.25</v>
      </c>
      <c r="D6" s="108">
        <v>7.33</v>
      </c>
      <c r="E6" s="108">
        <v>3.1</v>
      </c>
      <c r="F6" s="109"/>
      <c r="G6" s="109"/>
      <c r="H6" s="108">
        <f>C6*D6+F6-G6</f>
        <v>53.142499999999998</v>
      </c>
      <c r="I6" s="108">
        <f t="shared" ref="I6:I26" si="0">(C6+D6)*2*E6</f>
        <v>90.396000000000001</v>
      </c>
    </row>
    <row r="7" spans="1:9">
      <c r="A7" s="107" t="s">
        <v>534</v>
      </c>
      <c r="B7" s="107" t="s">
        <v>535</v>
      </c>
      <c r="C7" s="108">
        <v>10.85</v>
      </c>
      <c r="D7" s="108">
        <v>5.4</v>
      </c>
      <c r="E7" s="108">
        <v>2.9</v>
      </c>
      <c r="F7" s="109"/>
      <c r="G7" s="109"/>
      <c r="H7" s="108">
        <f t="shared" ref="H7:H26" si="1">C7*D7+F7-G7</f>
        <v>58.59</v>
      </c>
      <c r="I7" s="108">
        <f t="shared" si="0"/>
        <v>94.25</v>
      </c>
    </row>
    <row r="8" spans="1:9">
      <c r="A8" s="107" t="s">
        <v>228</v>
      </c>
      <c r="B8" s="107" t="s">
        <v>535</v>
      </c>
      <c r="C8" s="108">
        <v>4.2</v>
      </c>
      <c r="D8" s="108">
        <v>2.85</v>
      </c>
      <c r="E8" s="108">
        <v>2.9</v>
      </c>
      <c r="F8" s="108"/>
      <c r="G8" s="108"/>
      <c r="H8" s="108">
        <f t="shared" si="1"/>
        <v>11.97</v>
      </c>
      <c r="I8" s="108">
        <f t="shared" si="0"/>
        <v>40.89</v>
      </c>
    </row>
    <row r="9" spans="1:9">
      <c r="A9" s="107" t="s">
        <v>536</v>
      </c>
      <c r="B9" s="107" t="s">
        <v>535</v>
      </c>
      <c r="C9" s="108">
        <v>1.25</v>
      </c>
      <c r="D9" s="108">
        <v>4.2</v>
      </c>
      <c r="E9" s="108">
        <v>2.9</v>
      </c>
      <c r="F9" s="109"/>
      <c r="G9" s="109"/>
      <c r="H9" s="108">
        <f t="shared" si="1"/>
        <v>5.25</v>
      </c>
      <c r="I9" s="108">
        <f t="shared" si="0"/>
        <v>31.61</v>
      </c>
    </row>
    <row r="10" spans="1:9">
      <c r="A10" s="107" t="s">
        <v>537</v>
      </c>
      <c r="B10" s="107" t="s">
        <v>535</v>
      </c>
      <c r="C10" s="108">
        <v>1.5</v>
      </c>
      <c r="D10" s="108">
        <v>2.8</v>
      </c>
      <c r="E10" s="108">
        <v>2.9</v>
      </c>
      <c r="F10" s="109"/>
      <c r="G10" s="109"/>
      <c r="H10" s="108">
        <f t="shared" si="1"/>
        <v>4.1999999999999993</v>
      </c>
      <c r="I10" s="108">
        <f t="shared" si="0"/>
        <v>24.939999999999998</v>
      </c>
    </row>
    <row r="11" spans="1:9">
      <c r="A11" s="107" t="s">
        <v>347</v>
      </c>
      <c r="B11" s="107" t="s">
        <v>535</v>
      </c>
      <c r="C11" s="108">
        <v>1.5</v>
      </c>
      <c r="D11" s="108">
        <v>1</v>
      </c>
      <c r="E11" s="108">
        <v>2.9</v>
      </c>
      <c r="F11" s="108"/>
      <c r="G11" s="108"/>
      <c r="H11" s="108">
        <f t="shared" si="1"/>
        <v>1.5</v>
      </c>
      <c r="I11" s="108">
        <f t="shared" si="0"/>
        <v>14.5</v>
      </c>
    </row>
    <row r="12" spans="1:9">
      <c r="A12" s="107" t="s">
        <v>538</v>
      </c>
      <c r="B12" s="107" t="s">
        <v>535</v>
      </c>
      <c r="C12" s="108">
        <v>1.4</v>
      </c>
      <c r="D12" s="108">
        <v>2.4500000000000002</v>
      </c>
      <c r="E12" s="108">
        <v>2.9</v>
      </c>
      <c r="F12" s="109"/>
      <c r="G12" s="109"/>
      <c r="H12" s="108">
        <f t="shared" si="1"/>
        <v>3.43</v>
      </c>
      <c r="I12" s="108">
        <f t="shared" si="0"/>
        <v>22.33</v>
      </c>
    </row>
    <row r="13" spans="1:9">
      <c r="A13" s="107" t="s">
        <v>539</v>
      </c>
      <c r="B13" s="107" t="s">
        <v>535</v>
      </c>
      <c r="C13" s="108">
        <v>1.4</v>
      </c>
      <c r="D13" s="108">
        <v>1.5</v>
      </c>
      <c r="E13" s="108">
        <v>2.9</v>
      </c>
      <c r="F13" s="109"/>
      <c r="G13" s="109"/>
      <c r="H13" s="108">
        <f t="shared" si="1"/>
        <v>2.0999999999999996</v>
      </c>
      <c r="I13" s="108">
        <f t="shared" si="0"/>
        <v>16.82</v>
      </c>
    </row>
    <row r="14" spans="1:9">
      <c r="A14" s="107" t="s">
        <v>540</v>
      </c>
      <c r="B14" s="107" t="s">
        <v>535</v>
      </c>
      <c r="C14" s="108">
        <v>3.6</v>
      </c>
      <c r="D14" s="108">
        <v>3.95</v>
      </c>
      <c r="E14" s="108">
        <v>2.9</v>
      </c>
      <c r="F14" s="108"/>
      <c r="G14" s="108"/>
      <c r="H14" s="108">
        <f t="shared" si="1"/>
        <v>14.22</v>
      </c>
      <c r="I14" s="108">
        <f t="shared" si="0"/>
        <v>43.790000000000006</v>
      </c>
    </row>
    <row r="15" spans="1:9">
      <c r="A15" s="107" t="s">
        <v>541</v>
      </c>
      <c r="B15" s="107" t="s">
        <v>535</v>
      </c>
      <c r="C15" s="108">
        <v>0</v>
      </c>
      <c r="D15" s="108">
        <v>0</v>
      </c>
      <c r="E15" s="108">
        <v>2.9</v>
      </c>
      <c r="F15" s="109">
        <v>11.42</v>
      </c>
      <c r="G15" s="109"/>
      <c r="H15" s="108">
        <f t="shared" si="1"/>
        <v>11.42</v>
      </c>
      <c r="I15" s="108">
        <f t="shared" si="0"/>
        <v>0</v>
      </c>
    </row>
    <row r="16" spans="1:9">
      <c r="A16" s="107" t="s">
        <v>542</v>
      </c>
      <c r="B16" s="107" t="s">
        <v>535</v>
      </c>
      <c r="C16" s="108">
        <v>0</v>
      </c>
      <c r="D16" s="108">
        <v>0</v>
      </c>
      <c r="E16" s="108">
        <v>2.9</v>
      </c>
      <c r="F16" s="109">
        <v>20.16</v>
      </c>
      <c r="G16" s="109"/>
      <c r="H16" s="108">
        <f t="shared" si="1"/>
        <v>20.16</v>
      </c>
      <c r="I16" s="108">
        <f t="shared" si="0"/>
        <v>0</v>
      </c>
    </row>
    <row r="17" spans="1:9">
      <c r="A17" s="107" t="s">
        <v>543</v>
      </c>
      <c r="B17" s="107" t="s">
        <v>535</v>
      </c>
      <c r="C17" s="108">
        <v>0</v>
      </c>
      <c r="D17" s="108">
        <v>0</v>
      </c>
      <c r="E17" s="108"/>
      <c r="F17" s="108">
        <v>62.28</v>
      </c>
      <c r="G17" s="108"/>
      <c r="H17" s="108">
        <f t="shared" si="1"/>
        <v>62.28</v>
      </c>
      <c r="I17" s="108">
        <f t="shared" si="0"/>
        <v>0</v>
      </c>
    </row>
    <row r="18" spans="1:9">
      <c r="A18" s="107" t="s">
        <v>544</v>
      </c>
      <c r="B18" s="107" t="s">
        <v>535</v>
      </c>
      <c r="C18" s="108">
        <v>0</v>
      </c>
      <c r="D18" s="108">
        <v>0</v>
      </c>
      <c r="E18" s="108"/>
      <c r="F18" s="109">
        <v>33.96</v>
      </c>
      <c r="G18" s="109"/>
      <c r="H18" s="108">
        <f t="shared" si="1"/>
        <v>33.96</v>
      </c>
      <c r="I18" s="108">
        <f t="shared" si="0"/>
        <v>0</v>
      </c>
    </row>
    <row r="19" spans="1:9">
      <c r="A19" s="107" t="s">
        <v>545</v>
      </c>
      <c r="B19" s="107" t="s">
        <v>535</v>
      </c>
      <c r="C19" s="108">
        <v>0</v>
      </c>
      <c r="D19" s="108">
        <v>0</v>
      </c>
      <c r="E19" s="108">
        <v>2.9</v>
      </c>
      <c r="F19" s="109">
        <v>8.4499999999999993</v>
      </c>
      <c r="G19" s="109"/>
      <c r="H19" s="108">
        <f t="shared" si="1"/>
        <v>8.4499999999999993</v>
      </c>
      <c r="I19" s="108">
        <f t="shared" si="0"/>
        <v>0</v>
      </c>
    </row>
    <row r="20" spans="1:9">
      <c r="A20" s="107" t="s">
        <v>335</v>
      </c>
      <c r="B20" s="107" t="s">
        <v>535</v>
      </c>
      <c r="C20" s="108">
        <v>1.3</v>
      </c>
      <c r="D20" s="108">
        <v>3</v>
      </c>
      <c r="E20" s="108">
        <v>2.9</v>
      </c>
      <c r="F20" s="108"/>
      <c r="G20" s="108"/>
      <c r="H20" s="108">
        <f t="shared" si="1"/>
        <v>3.9000000000000004</v>
      </c>
      <c r="I20" s="108">
        <f t="shared" si="0"/>
        <v>24.939999999999998</v>
      </c>
    </row>
    <row r="21" spans="1:9">
      <c r="A21" s="107" t="s">
        <v>546</v>
      </c>
      <c r="B21" s="107" t="s">
        <v>535</v>
      </c>
      <c r="C21" s="108">
        <v>1.95</v>
      </c>
      <c r="D21" s="108">
        <v>1.2</v>
      </c>
      <c r="E21" s="108">
        <v>2.9</v>
      </c>
      <c r="F21" s="108"/>
      <c r="G21" s="108"/>
      <c r="H21" s="108">
        <f t="shared" si="1"/>
        <v>2.34</v>
      </c>
      <c r="I21" s="108">
        <f t="shared" si="0"/>
        <v>18.27</v>
      </c>
    </row>
    <row r="22" spans="1:9">
      <c r="A22" s="107" t="s">
        <v>547</v>
      </c>
      <c r="B22" s="107" t="s">
        <v>296</v>
      </c>
      <c r="C22" s="108">
        <v>26.73</v>
      </c>
      <c r="D22" s="108">
        <v>2</v>
      </c>
      <c r="E22" s="108"/>
      <c r="F22" s="109"/>
      <c r="G22" s="109"/>
      <c r="H22" s="108">
        <f t="shared" si="1"/>
        <v>53.46</v>
      </c>
      <c r="I22" s="108">
        <f t="shared" si="0"/>
        <v>0</v>
      </c>
    </row>
    <row r="23" spans="1:9">
      <c r="A23" s="107" t="s">
        <v>548</v>
      </c>
      <c r="B23" s="107" t="s">
        <v>296</v>
      </c>
      <c r="C23" s="108"/>
      <c r="D23" s="108"/>
      <c r="E23" s="108"/>
      <c r="F23" s="109">
        <v>43.77</v>
      </c>
      <c r="G23" s="109"/>
      <c r="H23" s="108">
        <f t="shared" si="1"/>
        <v>43.77</v>
      </c>
      <c r="I23" s="108">
        <f t="shared" si="0"/>
        <v>0</v>
      </c>
    </row>
    <row r="24" spans="1:9">
      <c r="A24" s="107" t="s">
        <v>380</v>
      </c>
      <c r="B24" s="107" t="s">
        <v>549</v>
      </c>
      <c r="C24" s="108">
        <v>9.1</v>
      </c>
      <c r="D24" s="108">
        <v>4.1500000000000004</v>
      </c>
      <c r="E24" s="108">
        <v>2.75</v>
      </c>
      <c r="F24" s="109"/>
      <c r="G24" s="109">
        <f>2.15*4.05</f>
        <v>8.7074999999999996</v>
      </c>
      <c r="H24" s="108">
        <f t="shared" si="1"/>
        <v>29.057500000000001</v>
      </c>
      <c r="I24" s="108">
        <f t="shared" si="0"/>
        <v>72.875</v>
      </c>
    </row>
    <row r="25" spans="1:9">
      <c r="A25" s="107" t="s">
        <v>550</v>
      </c>
      <c r="B25" s="107" t="s">
        <v>549</v>
      </c>
      <c r="C25" s="108">
        <v>5.6</v>
      </c>
      <c r="D25" s="108">
        <v>3.95</v>
      </c>
      <c r="E25" s="108">
        <v>2.75</v>
      </c>
      <c r="F25" s="109"/>
      <c r="G25" s="109">
        <f>2.15*1.7</f>
        <v>3.6549999999999998</v>
      </c>
      <c r="H25" s="108">
        <f t="shared" si="1"/>
        <v>18.465</v>
      </c>
      <c r="I25" s="108">
        <f t="shared" si="0"/>
        <v>52.525000000000006</v>
      </c>
    </row>
    <row r="26" spans="1:9">
      <c r="A26" s="107" t="s">
        <v>551</v>
      </c>
      <c r="B26" s="107" t="s">
        <v>549</v>
      </c>
      <c r="C26" s="108"/>
      <c r="D26" s="108"/>
      <c r="E26" s="108">
        <v>2.75</v>
      </c>
      <c r="F26" s="109">
        <v>4.93</v>
      </c>
      <c r="G26" s="109"/>
      <c r="H26" s="108">
        <f t="shared" si="1"/>
        <v>4.93</v>
      </c>
      <c r="I26" s="108">
        <f t="shared" si="0"/>
        <v>0</v>
      </c>
    </row>
    <row r="27" spans="1:9" hidden="1">
      <c r="A27" s="107"/>
      <c r="B27" s="107" t="s">
        <v>549</v>
      </c>
      <c r="C27" s="108"/>
      <c r="D27" s="108"/>
      <c r="E27" s="108">
        <v>2.75</v>
      </c>
      <c r="F27" s="109"/>
      <c r="G27" s="109"/>
      <c r="H27" s="108"/>
      <c r="I27" s="108"/>
    </row>
    <row r="28" spans="1:9" hidden="1">
      <c r="A28" s="107"/>
      <c r="B28" s="107" t="s">
        <v>549</v>
      </c>
      <c r="C28" s="108"/>
      <c r="D28" s="108"/>
      <c r="E28" s="108">
        <v>2.75</v>
      </c>
      <c r="F28" s="109"/>
      <c r="G28" s="109"/>
      <c r="H28" s="108"/>
      <c r="I28" s="108"/>
    </row>
    <row r="29" spans="1:9">
      <c r="A29" s="107" t="s">
        <v>552</v>
      </c>
      <c r="B29" s="107" t="s">
        <v>549</v>
      </c>
      <c r="C29" s="108">
        <v>5.6</v>
      </c>
      <c r="D29" s="108">
        <v>1.95</v>
      </c>
      <c r="E29" s="108">
        <v>2.75</v>
      </c>
      <c r="F29" s="109"/>
      <c r="G29" s="109"/>
      <c r="H29" s="108">
        <f t="shared" ref="H29:H38" si="2">C29*D29+F29-G29</f>
        <v>10.92</v>
      </c>
      <c r="I29" s="108">
        <f t="shared" ref="I29:I38" si="3">(C29+D29)*2*E29</f>
        <v>41.524999999999999</v>
      </c>
    </row>
    <row r="30" spans="1:9">
      <c r="A30" s="107" t="s">
        <v>553</v>
      </c>
      <c r="B30" s="107" t="s">
        <v>549</v>
      </c>
      <c r="C30" s="108">
        <v>5.8</v>
      </c>
      <c r="D30" s="108">
        <v>3.25</v>
      </c>
      <c r="E30" s="108">
        <v>2.75</v>
      </c>
      <c r="F30" s="109"/>
      <c r="G30" s="109">
        <f>2*1.65</f>
        <v>3.3</v>
      </c>
      <c r="H30" s="108">
        <f t="shared" si="2"/>
        <v>15.549999999999997</v>
      </c>
      <c r="I30" s="108">
        <f t="shared" si="3"/>
        <v>49.775000000000006</v>
      </c>
    </row>
    <row r="31" spans="1:9">
      <c r="A31" s="107" t="s">
        <v>554</v>
      </c>
      <c r="B31" s="107" t="s">
        <v>549</v>
      </c>
      <c r="C31" s="108">
        <v>2.5499999999999998</v>
      </c>
      <c r="D31" s="108">
        <v>1.5</v>
      </c>
      <c r="E31" s="108">
        <v>2.75</v>
      </c>
      <c r="F31" s="109"/>
      <c r="G31" s="109"/>
      <c r="H31" s="108">
        <f t="shared" si="2"/>
        <v>3.8249999999999997</v>
      </c>
      <c r="I31" s="108">
        <f t="shared" si="3"/>
        <v>22.274999999999999</v>
      </c>
    </row>
    <row r="32" spans="1:9">
      <c r="A32" s="107" t="s">
        <v>555</v>
      </c>
      <c r="B32" s="107" t="s">
        <v>549</v>
      </c>
      <c r="C32" s="108">
        <v>0.9</v>
      </c>
      <c r="D32" s="108">
        <v>5.25</v>
      </c>
      <c r="E32" s="108">
        <v>2.75</v>
      </c>
      <c r="F32" s="109"/>
      <c r="G32" s="109"/>
      <c r="H32" s="108">
        <f t="shared" si="2"/>
        <v>4.7250000000000005</v>
      </c>
      <c r="I32" s="108">
        <f t="shared" si="3"/>
        <v>33.825000000000003</v>
      </c>
    </row>
    <row r="33" spans="1:9">
      <c r="A33" s="107" t="s">
        <v>556</v>
      </c>
      <c r="B33" s="107" t="s">
        <v>549</v>
      </c>
      <c r="C33" s="108">
        <v>6.8</v>
      </c>
      <c r="D33" s="108">
        <v>3.95</v>
      </c>
      <c r="E33" s="108">
        <v>2.75</v>
      </c>
      <c r="F33" s="109"/>
      <c r="G33" s="109">
        <f>2.95*3.2</f>
        <v>9.4400000000000013</v>
      </c>
      <c r="H33" s="108">
        <f t="shared" si="2"/>
        <v>17.419999999999998</v>
      </c>
      <c r="I33" s="108">
        <f t="shared" si="3"/>
        <v>59.125</v>
      </c>
    </row>
    <row r="34" spans="1:9">
      <c r="A34" s="107" t="s">
        <v>557</v>
      </c>
      <c r="B34" s="107" t="s">
        <v>549</v>
      </c>
      <c r="C34" s="108">
        <v>1.5</v>
      </c>
      <c r="D34" s="108">
        <v>2.8</v>
      </c>
      <c r="E34" s="108">
        <v>2.75</v>
      </c>
      <c r="F34" s="109"/>
      <c r="G34" s="109"/>
      <c r="H34" s="108">
        <f t="shared" si="2"/>
        <v>4.1999999999999993</v>
      </c>
      <c r="I34" s="108">
        <f t="shared" si="3"/>
        <v>23.65</v>
      </c>
    </row>
    <row r="35" spans="1:9">
      <c r="A35" s="107" t="s">
        <v>558</v>
      </c>
      <c r="B35" s="107" t="s">
        <v>549</v>
      </c>
      <c r="C35" s="108">
        <v>1.4</v>
      </c>
      <c r="D35" s="108">
        <v>2.8</v>
      </c>
      <c r="E35" s="108">
        <v>2.75</v>
      </c>
      <c r="F35" s="109"/>
      <c r="G35" s="109"/>
      <c r="H35" s="108">
        <f t="shared" si="2"/>
        <v>3.9199999999999995</v>
      </c>
      <c r="I35" s="108">
        <f t="shared" si="3"/>
        <v>23.099999999999994</v>
      </c>
    </row>
    <row r="36" spans="1:9">
      <c r="A36" s="107" t="s">
        <v>559</v>
      </c>
      <c r="B36" s="107" t="s">
        <v>549</v>
      </c>
      <c r="C36" s="108"/>
      <c r="D36" s="108"/>
      <c r="E36" s="108">
        <v>2.75</v>
      </c>
      <c r="F36" s="109">
        <v>23.65</v>
      </c>
      <c r="G36" s="109"/>
      <c r="H36" s="108">
        <f t="shared" si="2"/>
        <v>23.65</v>
      </c>
      <c r="I36" s="108">
        <f t="shared" si="3"/>
        <v>0</v>
      </c>
    </row>
    <row r="37" spans="1:9">
      <c r="A37" s="107" t="s">
        <v>560</v>
      </c>
      <c r="B37" s="107" t="s">
        <v>549</v>
      </c>
      <c r="C37" s="108"/>
      <c r="D37" s="108"/>
      <c r="E37" s="108">
        <v>2.75</v>
      </c>
      <c r="F37" s="109">
        <v>7.7</v>
      </c>
      <c r="G37" s="109"/>
      <c r="H37" s="108">
        <f t="shared" ref="H37" si="4">C37*D37+F37-G37</f>
        <v>7.7</v>
      </c>
      <c r="I37" s="108">
        <f t="shared" ref="I37" si="5">(C37+D37)*2*E37</f>
        <v>0</v>
      </c>
    </row>
    <row r="38" spans="1:9">
      <c r="A38" s="107" t="s">
        <v>233</v>
      </c>
      <c r="B38" s="107" t="s">
        <v>535</v>
      </c>
      <c r="C38" s="108">
        <v>3.5</v>
      </c>
      <c r="D38" s="108">
        <v>5</v>
      </c>
      <c r="E38" s="108">
        <v>1.6</v>
      </c>
      <c r="F38" s="109"/>
      <c r="G38" s="109"/>
      <c r="H38" s="108">
        <f t="shared" si="2"/>
        <v>17.5</v>
      </c>
      <c r="I38" s="108">
        <f t="shared" si="3"/>
        <v>27.200000000000003</v>
      </c>
    </row>
    <row r="39" spans="1:9" s="1" customFormat="1">
      <c r="A39" s="102"/>
      <c r="B39" s="102"/>
      <c r="C39" s="106"/>
      <c r="D39" s="101"/>
      <c r="E39" s="102"/>
      <c r="F39" s="102"/>
      <c r="G39" s="102"/>
      <c r="H39" s="110">
        <f>SUM(H5:H38)</f>
        <v>605.48279999999988</v>
      </c>
      <c r="I39" s="110">
        <f>SUM(I5:I38)</f>
        <v>929.36099999999999</v>
      </c>
    </row>
    <row r="41" spans="1:9" ht="28.2" customHeight="1">
      <c r="A41" s="139" t="s">
        <v>583</v>
      </c>
      <c r="B41" s="139"/>
      <c r="C41" s="139"/>
      <c r="D41" s="139"/>
      <c r="E41" s="139"/>
      <c r="F41" s="139"/>
      <c r="G41" s="139"/>
      <c r="H41" s="139"/>
      <c r="I41" s="139"/>
    </row>
  </sheetData>
  <mergeCells count="1">
    <mergeCell ref="A41:I4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1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3"/>
  <sheetViews>
    <sheetView showGridLines="0" zoomScaleNormal="100" zoomScaleSheetLayoutView="100" workbookViewId="0">
      <selection activeCell="E23" sqref="E23"/>
    </sheetView>
  </sheetViews>
  <sheetFormatPr defaultRowHeight="13.2"/>
  <cols>
    <col min="1" max="1" width="46.44140625" style="9" customWidth="1"/>
    <col min="2" max="4" width="10.77734375" style="7" customWidth="1"/>
    <col min="5" max="5" width="10.77734375" style="8" customWidth="1"/>
    <col min="6" max="16384" width="8.88671875" style="9"/>
  </cols>
  <sheetData>
    <row r="2" spans="1:5" ht="13.8">
      <c r="A2" s="6" t="s">
        <v>467</v>
      </c>
    </row>
    <row r="3" spans="1:5" ht="10.8" customHeight="1">
      <c r="A3" s="6"/>
    </row>
    <row r="4" spans="1:5">
      <c r="A4" s="53" t="s">
        <v>465</v>
      </c>
      <c r="B4" s="4"/>
      <c r="C4" s="4"/>
      <c r="D4" s="4"/>
      <c r="E4" s="5"/>
    </row>
    <row r="5" spans="1:5">
      <c r="A5" s="50" t="s">
        <v>163</v>
      </c>
      <c r="B5" s="51" t="s">
        <v>166</v>
      </c>
      <c r="C5" s="51" t="s">
        <v>165</v>
      </c>
      <c r="D5" s="51" t="s">
        <v>164</v>
      </c>
      <c r="E5" s="52" t="s">
        <v>160</v>
      </c>
    </row>
    <row r="6" spans="1:5">
      <c r="A6" s="67" t="s">
        <v>461</v>
      </c>
      <c r="B6" s="65"/>
      <c r="C6" s="65"/>
      <c r="D6" s="65"/>
      <c r="E6" s="66"/>
    </row>
    <row r="7" spans="1:5">
      <c r="A7" s="64" t="s">
        <v>463</v>
      </c>
      <c r="B7" s="66">
        <v>25</v>
      </c>
      <c r="C7" s="66" t="s">
        <v>184</v>
      </c>
      <c r="D7" s="66">
        <f>'Referências atualizadas'!B25</f>
        <v>120</v>
      </c>
      <c r="E7" s="66">
        <f>B7*D7</f>
        <v>3000</v>
      </c>
    </row>
    <row r="8" spans="1:5">
      <c r="A8" s="67" t="s">
        <v>13</v>
      </c>
      <c r="B8" s="65"/>
      <c r="C8" s="65"/>
      <c r="D8" s="65"/>
      <c r="E8" s="66"/>
    </row>
    <row r="9" spans="1:5">
      <c r="A9" s="64" t="s">
        <v>175</v>
      </c>
      <c r="B9" s="66">
        <v>1.9782000000000002</v>
      </c>
      <c r="C9" s="66" t="s">
        <v>158</v>
      </c>
      <c r="D9" s="66">
        <f>'Referências atualizadas'!B14</f>
        <v>600</v>
      </c>
      <c r="E9" s="66">
        <f t="shared" ref="E9:E22" si="0">B9*D9</f>
        <v>1186.92</v>
      </c>
    </row>
    <row r="10" spans="1:5">
      <c r="A10" s="64" t="s">
        <v>464</v>
      </c>
      <c r="B10" s="66">
        <v>0.81</v>
      </c>
      <c r="C10" s="66" t="s">
        <v>158</v>
      </c>
      <c r="D10" s="66">
        <f>'Referências atualizadas'!B14</f>
        <v>600</v>
      </c>
      <c r="E10" s="66">
        <f t="shared" si="0"/>
        <v>486.00000000000006</v>
      </c>
    </row>
    <row r="11" spans="1:5">
      <c r="A11" s="64" t="s">
        <v>466</v>
      </c>
      <c r="B11" s="66">
        <v>1.0240000000000002</v>
      </c>
      <c r="C11" s="66" t="s">
        <v>158</v>
      </c>
      <c r="D11" s="66">
        <f>'Referências atualizadas'!B14</f>
        <v>600</v>
      </c>
      <c r="E11" s="66">
        <f t="shared" si="0"/>
        <v>614.40000000000009</v>
      </c>
    </row>
    <row r="12" spans="1:5">
      <c r="A12" s="64" t="s">
        <v>176</v>
      </c>
      <c r="B12" s="66">
        <v>1.47</v>
      </c>
      <c r="C12" s="66" t="s">
        <v>158</v>
      </c>
      <c r="D12" s="66">
        <f>'Referências atualizadas'!B14</f>
        <v>600</v>
      </c>
      <c r="E12" s="66">
        <f t="shared" si="0"/>
        <v>882</v>
      </c>
    </row>
    <row r="13" spans="1:5">
      <c r="A13" s="64" t="s">
        <v>176</v>
      </c>
      <c r="B13" s="66">
        <v>2.625</v>
      </c>
      <c r="C13" s="66" t="s">
        <v>158</v>
      </c>
      <c r="D13" s="66">
        <f>'Referências atualizadas'!B14</f>
        <v>600</v>
      </c>
      <c r="E13" s="66">
        <f t="shared" si="0"/>
        <v>1575</v>
      </c>
    </row>
    <row r="14" spans="1:5">
      <c r="A14" s="64" t="s">
        <v>177</v>
      </c>
      <c r="B14" s="66">
        <v>30.555</v>
      </c>
      <c r="C14" s="66" t="s">
        <v>158</v>
      </c>
      <c r="D14" s="66">
        <f>'Referências atualizadas'!B14</f>
        <v>600</v>
      </c>
      <c r="E14" s="66">
        <f t="shared" si="0"/>
        <v>18333</v>
      </c>
    </row>
    <row r="15" spans="1:5">
      <c r="A15" s="67" t="s">
        <v>14</v>
      </c>
      <c r="B15" s="65"/>
      <c r="C15" s="65"/>
      <c r="D15" s="65"/>
      <c r="E15" s="66"/>
    </row>
    <row r="16" spans="1:5">
      <c r="A16" s="64" t="s">
        <v>178</v>
      </c>
      <c r="B16" s="66">
        <v>852</v>
      </c>
      <c r="C16" s="66" t="s">
        <v>159</v>
      </c>
      <c r="D16" s="66">
        <f>'Referências atualizadas'!B12</f>
        <v>10.5</v>
      </c>
      <c r="E16" s="66">
        <f t="shared" si="0"/>
        <v>8946</v>
      </c>
    </row>
    <row r="17" spans="1:5">
      <c r="A17" s="64" t="s">
        <v>181</v>
      </c>
      <c r="B17" s="66">
        <v>626.19999999999993</v>
      </c>
      <c r="C17" s="66" t="s">
        <v>159</v>
      </c>
      <c r="D17" s="66">
        <f>'Referências atualizadas'!B12</f>
        <v>10.5</v>
      </c>
      <c r="E17" s="66">
        <f t="shared" si="0"/>
        <v>6575.0999999999995</v>
      </c>
    </row>
    <row r="18" spans="1:5">
      <c r="A18" s="64" t="s">
        <v>179</v>
      </c>
      <c r="B18" s="66">
        <v>617.29999999999995</v>
      </c>
      <c r="C18" s="66" t="s">
        <v>159</v>
      </c>
      <c r="D18" s="66">
        <f>'Referências atualizadas'!B12</f>
        <v>10.5</v>
      </c>
      <c r="E18" s="66">
        <f t="shared" si="0"/>
        <v>6481.65</v>
      </c>
    </row>
    <row r="19" spans="1:5">
      <c r="A19" s="64" t="s">
        <v>180</v>
      </c>
      <c r="B19" s="66">
        <v>2771</v>
      </c>
      <c r="C19" s="66" t="s">
        <v>159</v>
      </c>
      <c r="D19" s="66">
        <f>'Referências atualizadas'!B12</f>
        <v>10.5</v>
      </c>
      <c r="E19" s="66">
        <f t="shared" si="0"/>
        <v>29095.5</v>
      </c>
    </row>
    <row r="20" spans="1:5">
      <c r="A20" s="67" t="s">
        <v>17</v>
      </c>
      <c r="B20" s="65"/>
      <c r="C20" s="65"/>
      <c r="D20" s="65"/>
      <c r="E20" s="66"/>
    </row>
    <row r="21" spans="1:5">
      <c r="A21" s="64" t="s">
        <v>462</v>
      </c>
      <c r="B21" s="66">
        <v>1</v>
      </c>
      <c r="C21" s="66" t="s">
        <v>174</v>
      </c>
      <c r="D21" s="66">
        <v>700</v>
      </c>
      <c r="E21" s="66">
        <f t="shared" si="0"/>
        <v>700</v>
      </c>
    </row>
    <row r="22" spans="1:5">
      <c r="A22" s="64" t="s">
        <v>182</v>
      </c>
      <c r="B22" s="66">
        <v>169.75</v>
      </c>
      <c r="C22" s="66" t="s">
        <v>161</v>
      </c>
      <c r="D22" s="66">
        <v>7</v>
      </c>
      <c r="E22" s="66">
        <f t="shared" si="0"/>
        <v>1188.25</v>
      </c>
    </row>
    <row r="23" spans="1:5">
      <c r="A23" s="81"/>
      <c r="B23" s="82"/>
      <c r="C23" s="82"/>
      <c r="D23" s="82"/>
      <c r="E23" s="83">
        <f>SUM(E7:E22)</f>
        <v>79063.820000000007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6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38"/>
  <sheetViews>
    <sheetView showGridLines="0" topLeftCell="A6" workbookViewId="0">
      <selection activeCell="A13" sqref="A13:A28"/>
    </sheetView>
  </sheetViews>
  <sheetFormatPr defaultRowHeight="13.2"/>
  <cols>
    <col min="1" max="1" width="46.44140625" style="12" customWidth="1"/>
    <col min="2" max="4" width="10.77734375" style="68" customWidth="1"/>
    <col min="5" max="5" width="10.77734375" style="19" customWidth="1"/>
    <col min="6" max="16384" width="8.88671875" style="12"/>
  </cols>
  <sheetData>
    <row r="2" spans="1:5" ht="13.8">
      <c r="A2" s="20" t="s">
        <v>254</v>
      </c>
    </row>
    <row r="4" spans="1:5">
      <c r="A4" s="69" t="s">
        <v>422</v>
      </c>
    </row>
    <row r="5" spans="1:5">
      <c r="A5" s="70" t="s">
        <v>163</v>
      </c>
      <c r="B5" s="71" t="s">
        <v>236</v>
      </c>
      <c r="C5" s="71" t="s">
        <v>196</v>
      </c>
      <c r="D5" s="72" t="s">
        <v>257</v>
      </c>
      <c r="E5" s="12"/>
    </row>
    <row r="6" spans="1:5">
      <c r="A6" s="73" t="s">
        <v>255</v>
      </c>
      <c r="B6" s="74">
        <f>15.7</f>
        <v>15.7</v>
      </c>
      <c r="C6" s="74">
        <v>1.8</v>
      </c>
      <c r="D6" s="75">
        <f>B6*C6</f>
        <v>28.259999999999998</v>
      </c>
      <c r="E6" s="12"/>
    </row>
    <row r="7" spans="1:5">
      <c r="A7" s="73" t="s">
        <v>256</v>
      </c>
      <c r="B7" s="74">
        <v>15.1</v>
      </c>
      <c r="C7" s="74">
        <v>2.5</v>
      </c>
      <c r="D7" s="75">
        <f>B7*C7</f>
        <v>37.75</v>
      </c>
      <c r="E7" s="12"/>
    </row>
    <row r="8" spans="1:5">
      <c r="A8" s="73" t="s">
        <v>258</v>
      </c>
      <c r="B8" s="74">
        <f>16.1+15.7</f>
        <v>31.8</v>
      </c>
      <c r="C8" s="74">
        <v>1.8</v>
      </c>
      <c r="D8" s="75">
        <f>B8*C8</f>
        <v>57.24</v>
      </c>
      <c r="E8" s="12"/>
    </row>
    <row r="9" spans="1:5">
      <c r="D9" s="113">
        <f>SUM(D6:D8)</f>
        <v>123.25</v>
      </c>
      <c r="E9" s="12"/>
    </row>
    <row r="10" spans="1:5" ht="24.6" customHeight="1"/>
    <row r="11" spans="1:5">
      <c r="A11" s="69" t="s">
        <v>423</v>
      </c>
    </row>
    <row r="12" spans="1:5">
      <c r="A12" s="70" t="s">
        <v>231</v>
      </c>
      <c r="B12" s="71" t="s">
        <v>186</v>
      </c>
      <c r="C12" s="71" t="s">
        <v>187</v>
      </c>
      <c r="D12" s="71" t="s">
        <v>188</v>
      </c>
      <c r="E12" s="72" t="s">
        <v>189</v>
      </c>
    </row>
    <row r="13" spans="1:5">
      <c r="A13" s="76" t="s">
        <v>430</v>
      </c>
      <c r="B13" s="74"/>
      <c r="C13" s="74"/>
      <c r="D13" s="74"/>
      <c r="E13" s="75"/>
    </row>
    <row r="14" spans="1:5">
      <c r="A14" s="73" t="s">
        <v>429</v>
      </c>
      <c r="B14" s="75">
        <f>3.14*0.25^2*3*22</f>
        <v>12.952500000000001</v>
      </c>
      <c r="C14" s="74" t="s">
        <v>158</v>
      </c>
      <c r="D14" s="75">
        <f>'Referências atualizadas'!B25</f>
        <v>120</v>
      </c>
      <c r="E14" s="75">
        <f t="shared" ref="E14:E19" si="0">D14*B14</f>
        <v>1554.3000000000002</v>
      </c>
    </row>
    <row r="15" spans="1:5">
      <c r="A15" s="73" t="s">
        <v>424</v>
      </c>
      <c r="B15" s="75">
        <f>163.8*2</f>
        <v>327.60000000000002</v>
      </c>
      <c r="C15" s="74" t="s">
        <v>159</v>
      </c>
      <c r="D15" s="75">
        <f>'Referências atualizadas'!B12</f>
        <v>10.5</v>
      </c>
      <c r="E15" s="75">
        <f t="shared" si="0"/>
        <v>3439.8</v>
      </c>
    </row>
    <row r="16" spans="1:5">
      <c r="A16" s="73" t="s">
        <v>425</v>
      </c>
      <c r="B16" s="75">
        <f>163.8*2</f>
        <v>327.60000000000002</v>
      </c>
      <c r="C16" s="74" t="s">
        <v>159</v>
      </c>
      <c r="D16" s="75">
        <f>'Referências atualizadas'!B12</f>
        <v>10.5</v>
      </c>
      <c r="E16" s="75">
        <f t="shared" si="0"/>
        <v>3439.8</v>
      </c>
    </row>
    <row r="17" spans="1:5">
      <c r="A17" s="73" t="s">
        <v>426</v>
      </c>
      <c r="B17" s="75">
        <f>163.8*2</f>
        <v>327.60000000000002</v>
      </c>
      <c r="C17" s="74" t="s">
        <v>159</v>
      </c>
      <c r="D17" s="75">
        <f>'Referências atualizadas'!B12</f>
        <v>10.5</v>
      </c>
      <c r="E17" s="75">
        <f t="shared" si="0"/>
        <v>3439.8</v>
      </c>
    </row>
    <row r="18" spans="1:5">
      <c r="A18" s="73" t="s">
        <v>427</v>
      </c>
      <c r="B18" s="75">
        <f>100*0.2*0.3</f>
        <v>6</v>
      </c>
      <c r="C18" s="74" t="s">
        <v>158</v>
      </c>
      <c r="D18" s="75">
        <f>'Referências atualizadas'!B12</f>
        <v>10.5</v>
      </c>
      <c r="E18" s="75">
        <f t="shared" si="0"/>
        <v>63</v>
      </c>
    </row>
    <row r="19" spans="1:5">
      <c r="A19" s="73" t="s">
        <v>428</v>
      </c>
      <c r="B19" s="75">
        <f>3.14*0.25^2*3*22</f>
        <v>12.952500000000001</v>
      </c>
      <c r="C19" s="74" t="s">
        <v>158</v>
      </c>
      <c r="D19" s="75">
        <f>'Referências atualizadas'!B12</f>
        <v>10.5</v>
      </c>
      <c r="E19" s="75">
        <f t="shared" si="0"/>
        <v>136.00125</v>
      </c>
    </row>
    <row r="20" spans="1:5">
      <c r="A20" s="76" t="s">
        <v>431</v>
      </c>
      <c r="B20" s="75"/>
      <c r="C20" s="74"/>
      <c r="D20" s="75"/>
      <c r="E20" s="75"/>
    </row>
    <row r="21" spans="1:5">
      <c r="A21" s="73" t="s">
        <v>259</v>
      </c>
      <c r="B21" s="75">
        <f>D9/(0.4*0.2)*1.3</f>
        <v>2002.8124999999998</v>
      </c>
      <c r="C21" s="74" t="s">
        <v>183</v>
      </c>
      <c r="D21" s="75">
        <v>2.9</v>
      </c>
      <c r="E21" s="75">
        <f>D21*B21</f>
        <v>5808.1562499999991</v>
      </c>
    </row>
    <row r="22" spans="1:5">
      <c r="A22" s="73" t="s">
        <v>162</v>
      </c>
      <c r="B22" s="75">
        <f>D9*0.15</f>
        <v>18.487500000000001</v>
      </c>
      <c r="C22" s="74" t="s">
        <v>158</v>
      </c>
      <c r="D22" s="75">
        <v>130</v>
      </c>
      <c r="E22" s="75">
        <f>D22*B22</f>
        <v>2403.375</v>
      </c>
    </row>
    <row r="23" spans="1:5">
      <c r="A23" s="73" t="s">
        <v>260</v>
      </c>
      <c r="B23" s="75">
        <v>90</v>
      </c>
      <c r="C23" s="74" t="s">
        <v>174</v>
      </c>
      <c r="D23" s="75">
        <v>35</v>
      </c>
      <c r="E23" s="75">
        <f>D23*B23</f>
        <v>3150</v>
      </c>
    </row>
    <row r="24" spans="1:5">
      <c r="A24" s="73" t="s">
        <v>264</v>
      </c>
      <c r="B24" s="75">
        <v>15</v>
      </c>
      <c r="C24" s="74" t="s">
        <v>158</v>
      </c>
      <c r="D24" s="75">
        <v>125</v>
      </c>
      <c r="E24" s="75">
        <f>D24*B24</f>
        <v>1875</v>
      </c>
    </row>
    <row r="25" spans="1:5">
      <c r="A25" s="76" t="s">
        <v>432</v>
      </c>
      <c r="B25" s="75"/>
      <c r="C25" s="74"/>
      <c r="D25" s="75"/>
      <c r="E25" s="75"/>
    </row>
    <row r="26" spans="1:5">
      <c r="A26" s="73" t="s">
        <v>261</v>
      </c>
      <c r="B26" s="75">
        <v>3</v>
      </c>
      <c r="C26" s="74" t="s">
        <v>265</v>
      </c>
      <c r="D26" s="75">
        <v>280</v>
      </c>
      <c r="E26" s="75">
        <f>D26*B26</f>
        <v>840</v>
      </c>
    </row>
    <row r="27" spans="1:5">
      <c r="A27" s="73" t="s">
        <v>262</v>
      </c>
      <c r="B27" s="75">
        <f>SUM(B6:B8)*1.2</f>
        <v>75.11999999999999</v>
      </c>
      <c r="C27" s="74" t="s">
        <v>263</v>
      </c>
      <c r="D27" s="75">
        <v>14.58</v>
      </c>
      <c r="E27" s="75">
        <f>D27*B27</f>
        <v>1095.2495999999999</v>
      </c>
    </row>
    <row r="28" spans="1:5">
      <c r="A28" s="73" t="s">
        <v>266</v>
      </c>
      <c r="B28" s="75">
        <f>D9</f>
        <v>123.25</v>
      </c>
      <c r="C28" s="74" t="s">
        <v>161</v>
      </c>
      <c r="D28" s="75">
        <v>80</v>
      </c>
      <c r="E28" s="75">
        <f>D28*B28</f>
        <v>9860</v>
      </c>
    </row>
    <row r="29" spans="1:5">
      <c r="A29" s="76" t="s">
        <v>433</v>
      </c>
      <c r="B29" s="75"/>
      <c r="C29" s="74"/>
      <c r="D29" s="75"/>
      <c r="E29" s="75"/>
    </row>
    <row r="30" spans="1:5" ht="34.200000000000003">
      <c r="A30" s="77" t="s">
        <v>459</v>
      </c>
      <c r="B30" s="75">
        <v>1</v>
      </c>
      <c r="C30" s="74" t="s">
        <v>192</v>
      </c>
      <c r="D30" s="75">
        <v>4000</v>
      </c>
      <c r="E30" s="75">
        <f>D30*B30</f>
        <v>4000</v>
      </c>
    </row>
    <row r="31" spans="1:5" hidden="1">
      <c r="A31" s="78"/>
      <c r="B31" s="79"/>
      <c r="C31" s="79"/>
      <c r="D31" s="79"/>
      <c r="E31" s="80"/>
    </row>
    <row r="32" spans="1:5" hidden="1">
      <c r="A32" s="78"/>
      <c r="B32" s="79"/>
      <c r="C32" s="79"/>
      <c r="D32" s="79"/>
      <c r="E32" s="80"/>
    </row>
    <row r="33" spans="1:5" hidden="1">
      <c r="A33" s="78"/>
      <c r="B33" s="79"/>
      <c r="C33" s="79"/>
      <c r="D33" s="79"/>
      <c r="E33" s="80"/>
    </row>
    <row r="34" spans="1:5" hidden="1">
      <c r="A34" s="78"/>
      <c r="B34" s="79"/>
      <c r="C34" s="79"/>
      <c r="D34" s="79"/>
      <c r="E34" s="80"/>
    </row>
    <row r="35" spans="1:5" hidden="1">
      <c r="A35" s="78"/>
      <c r="B35" s="79"/>
      <c r="C35" s="79"/>
      <c r="D35" s="79"/>
      <c r="E35" s="80"/>
    </row>
    <row r="36" spans="1:5" hidden="1">
      <c r="A36" s="78"/>
      <c r="B36" s="79"/>
      <c r="C36" s="79"/>
      <c r="D36" s="79"/>
      <c r="E36" s="80"/>
    </row>
    <row r="37" spans="1:5" hidden="1">
      <c r="A37" s="78"/>
      <c r="B37" s="79"/>
      <c r="C37" s="79"/>
      <c r="D37" s="79"/>
      <c r="E37" s="80"/>
    </row>
    <row r="38" spans="1:5">
      <c r="D38" s="114" t="s">
        <v>292</v>
      </c>
      <c r="E38" s="113">
        <f>SUM(E13:E37)</f>
        <v>41104.482099999994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1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33"/>
  <sheetViews>
    <sheetView showGridLines="0" workbookViewId="0">
      <selection activeCell="E8" sqref="E8"/>
    </sheetView>
  </sheetViews>
  <sheetFormatPr defaultRowHeight="13.2"/>
  <cols>
    <col min="1" max="1" width="46.44140625" style="2" customWidth="1"/>
    <col min="2" max="2" width="14.77734375" style="3" customWidth="1"/>
    <col min="3" max="4" width="10.77734375" style="11" customWidth="1"/>
    <col min="5" max="6" width="10.77734375" style="3" customWidth="1"/>
    <col min="7" max="7" width="8.88671875" style="12"/>
    <col min="8" max="16384" width="8.88671875" style="2"/>
  </cols>
  <sheetData>
    <row r="2" spans="1:7" ht="13.8">
      <c r="A2" s="10" t="s">
        <v>185</v>
      </c>
    </row>
    <row r="3" spans="1:7">
      <c r="F3" s="2"/>
    </row>
    <row r="4" spans="1:7">
      <c r="A4" s="14" t="s">
        <v>14</v>
      </c>
      <c r="B4" s="15" t="s">
        <v>190</v>
      </c>
      <c r="C4" s="16" t="s">
        <v>186</v>
      </c>
      <c r="D4" s="17" t="s">
        <v>187</v>
      </c>
      <c r="E4" s="17" t="s">
        <v>188</v>
      </c>
      <c r="F4" s="18" t="s">
        <v>189</v>
      </c>
      <c r="G4" s="19"/>
    </row>
    <row r="5" spans="1:7" ht="41.4" customHeight="1">
      <c r="A5" s="140" t="s">
        <v>472</v>
      </c>
      <c r="B5" s="141"/>
      <c r="C5" s="141"/>
      <c r="D5" s="141"/>
      <c r="E5" s="141"/>
      <c r="F5" s="142"/>
    </row>
    <row r="6" spans="1:7">
      <c r="A6" s="84" t="s">
        <v>473</v>
      </c>
      <c r="B6" s="85" t="s">
        <v>14</v>
      </c>
      <c r="C6" s="86">
        <v>10445</v>
      </c>
      <c r="D6" s="86" t="s">
        <v>159</v>
      </c>
      <c r="E6" s="86">
        <f>'Referências atualizadas'!B12</f>
        <v>10.5</v>
      </c>
      <c r="F6" s="87">
        <f>C6*E6</f>
        <v>109672.5</v>
      </c>
    </row>
    <row r="7" spans="1:7">
      <c r="A7" s="84" t="s">
        <v>487</v>
      </c>
      <c r="B7" s="85" t="s">
        <v>14</v>
      </c>
      <c r="C7" s="86">
        <f>C6*0.05</f>
        <v>522.25</v>
      </c>
      <c r="D7" s="86" t="s">
        <v>159</v>
      </c>
      <c r="E7" s="86">
        <f>'Referências atualizadas'!B12</f>
        <v>10.5</v>
      </c>
      <c r="F7" s="87">
        <f>C7*E7</f>
        <v>5483.625</v>
      </c>
    </row>
    <row r="8" spans="1:7">
      <c r="E8" s="114" t="s">
        <v>292</v>
      </c>
      <c r="F8" s="112">
        <f>SUM(F1:F7)</f>
        <v>115156.125</v>
      </c>
    </row>
    <row r="10" spans="1:7">
      <c r="A10" s="14" t="s">
        <v>13</v>
      </c>
      <c r="B10" s="15" t="s">
        <v>190</v>
      </c>
      <c r="C10" s="16" t="s">
        <v>186</v>
      </c>
      <c r="D10" s="17" t="s">
        <v>187</v>
      </c>
      <c r="E10" s="17" t="s">
        <v>188</v>
      </c>
      <c r="F10" s="18" t="s">
        <v>189</v>
      </c>
      <c r="G10" s="19"/>
    </row>
    <row r="11" spans="1:7" ht="70.8" customHeight="1">
      <c r="A11" s="140" t="s">
        <v>474</v>
      </c>
      <c r="B11" s="141"/>
      <c r="C11" s="141"/>
      <c r="D11" s="141"/>
      <c r="E11" s="141"/>
      <c r="F11" s="142"/>
    </row>
    <row r="12" spans="1:7">
      <c r="A12" s="84" t="s">
        <v>301</v>
      </c>
      <c r="B12" s="85" t="s">
        <v>13</v>
      </c>
      <c r="C12" s="86">
        <v>20.700000000000003</v>
      </c>
      <c r="D12" s="86" t="s">
        <v>158</v>
      </c>
      <c r="E12" s="86">
        <f>'Referências atualizadas'!B14</f>
        <v>600</v>
      </c>
      <c r="F12" s="87">
        <f t="shared" ref="F12:F16" si="0">C12*E12</f>
        <v>12420.000000000002</v>
      </c>
      <c r="G12" s="19"/>
    </row>
    <row r="13" spans="1:7">
      <c r="A13" s="84" t="s">
        <v>302</v>
      </c>
      <c r="B13" s="85" t="s">
        <v>13</v>
      </c>
      <c r="C13" s="86">
        <v>21</v>
      </c>
      <c r="D13" s="86" t="s">
        <v>158</v>
      </c>
      <c r="E13" s="86">
        <f>'Referências atualizadas'!B14</f>
        <v>600</v>
      </c>
      <c r="F13" s="87">
        <f t="shared" si="0"/>
        <v>12600</v>
      </c>
      <c r="G13" s="19"/>
    </row>
    <row r="14" spans="1:7">
      <c r="A14" s="84" t="s">
        <v>303</v>
      </c>
      <c r="B14" s="85" t="s">
        <v>13</v>
      </c>
      <c r="C14" s="86">
        <v>16</v>
      </c>
      <c r="D14" s="86" t="s">
        <v>158</v>
      </c>
      <c r="E14" s="86">
        <f>'Referências atualizadas'!B14</f>
        <v>600</v>
      </c>
      <c r="F14" s="87">
        <f t="shared" si="0"/>
        <v>9600</v>
      </c>
      <c r="G14" s="19"/>
    </row>
    <row r="15" spans="1:7">
      <c r="A15" s="84" t="s">
        <v>475</v>
      </c>
      <c r="B15" s="85" t="s">
        <v>13</v>
      </c>
      <c r="C15" s="86">
        <v>2</v>
      </c>
      <c r="D15" s="86" t="s">
        <v>158</v>
      </c>
      <c r="E15" s="86">
        <f>'Referências atualizadas'!B14</f>
        <v>600</v>
      </c>
      <c r="F15" s="87">
        <f t="shared" si="0"/>
        <v>1200</v>
      </c>
      <c r="G15" s="19"/>
    </row>
    <row r="16" spans="1:7">
      <c r="A16" s="84" t="s">
        <v>476</v>
      </c>
      <c r="B16" s="85" t="s">
        <v>13</v>
      </c>
      <c r="C16" s="86">
        <f>0.3*401-SUM(C12:C15)</f>
        <v>60.599999999999994</v>
      </c>
      <c r="D16" s="86" t="s">
        <v>158</v>
      </c>
      <c r="E16" s="86">
        <f>'Referências atualizadas'!B14</f>
        <v>600</v>
      </c>
      <c r="F16" s="87">
        <f t="shared" si="0"/>
        <v>36360</v>
      </c>
    </row>
    <row r="17" spans="1:7">
      <c r="E17" s="114" t="s">
        <v>292</v>
      </c>
      <c r="F17" s="112">
        <f>SUM(F8:F16)</f>
        <v>187336.125</v>
      </c>
    </row>
    <row r="19" spans="1:7">
      <c r="A19" s="14" t="s">
        <v>191</v>
      </c>
      <c r="B19" s="15" t="s">
        <v>190</v>
      </c>
      <c r="C19" s="16" t="s">
        <v>186</v>
      </c>
      <c r="D19" s="17" t="s">
        <v>187</v>
      </c>
      <c r="E19" s="17" t="s">
        <v>188</v>
      </c>
      <c r="F19" s="18" t="s">
        <v>189</v>
      </c>
      <c r="G19" s="19"/>
    </row>
    <row r="20" spans="1:7" ht="56.4" customHeight="1">
      <c r="A20" s="140" t="s">
        <v>477</v>
      </c>
      <c r="B20" s="141"/>
      <c r="C20" s="141"/>
      <c r="D20" s="141"/>
      <c r="E20" s="141"/>
      <c r="F20" s="142"/>
    </row>
    <row r="21" spans="1:7" ht="61.8" customHeight="1">
      <c r="A21" s="140" t="s">
        <v>478</v>
      </c>
      <c r="B21" s="141"/>
      <c r="C21" s="141"/>
      <c r="D21" s="141"/>
      <c r="E21" s="141"/>
      <c r="F21" s="142"/>
    </row>
    <row r="22" spans="1:7">
      <c r="A22" s="84" t="s">
        <v>297</v>
      </c>
      <c r="B22" s="85" t="s">
        <v>191</v>
      </c>
      <c r="C22" s="86">
        <v>207</v>
      </c>
      <c r="D22" s="86" t="s">
        <v>161</v>
      </c>
      <c r="E22" s="86">
        <f>'Referências atualizadas'!B20</f>
        <v>110</v>
      </c>
      <c r="F22" s="87">
        <f t="shared" ref="F22:F25" si="1">C22*E22</f>
        <v>22770</v>
      </c>
    </row>
    <row r="23" spans="1:7">
      <c r="A23" s="84" t="s">
        <v>298</v>
      </c>
      <c r="B23" s="85" t="s">
        <v>191</v>
      </c>
      <c r="C23" s="86">
        <v>210</v>
      </c>
      <c r="D23" s="86" t="s">
        <v>161</v>
      </c>
      <c r="E23" s="86">
        <f>'Referências atualizadas'!B20</f>
        <v>110</v>
      </c>
      <c r="F23" s="87">
        <f t="shared" si="1"/>
        <v>23100</v>
      </c>
      <c r="G23" s="19"/>
    </row>
    <row r="24" spans="1:7">
      <c r="A24" s="84" t="s">
        <v>299</v>
      </c>
      <c r="B24" s="85" t="s">
        <v>191</v>
      </c>
      <c r="C24" s="86">
        <v>160</v>
      </c>
      <c r="D24" s="86" t="s">
        <v>161</v>
      </c>
      <c r="E24" s="86">
        <f>'Referências atualizadas'!B20</f>
        <v>110</v>
      </c>
      <c r="F24" s="87">
        <f t="shared" si="1"/>
        <v>17600</v>
      </c>
      <c r="G24" s="19"/>
    </row>
    <row r="25" spans="1:7">
      <c r="A25" s="84" t="s">
        <v>300</v>
      </c>
      <c r="B25" s="85" t="s">
        <v>191</v>
      </c>
      <c r="C25" s="86">
        <v>20</v>
      </c>
      <c r="D25" s="86" t="s">
        <v>161</v>
      </c>
      <c r="E25" s="86">
        <f>'Referências atualizadas'!B20</f>
        <v>110</v>
      </c>
      <c r="F25" s="87">
        <f t="shared" si="1"/>
        <v>2200</v>
      </c>
      <c r="G25" s="19"/>
    </row>
    <row r="26" spans="1:7">
      <c r="E26" s="114" t="s">
        <v>292</v>
      </c>
      <c r="F26" s="112">
        <f>SUM(F18:F25)</f>
        <v>65670</v>
      </c>
    </row>
    <row r="28" spans="1:7">
      <c r="A28" s="14" t="s">
        <v>289</v>
      </c>
      <c r="B28" s="15" t="s">
        <v>190</v>
      </c>
      <c r="C28" s="16" t="s">
        <v>186</v>
      </c>
      <c r="D28" s="17" t="s">
        <v>187</v>
      </c>
      <c r="E28" s="17" t="s">
        <v>188</v>
      </c>
      <c r="F28" s="18" t="s">
        <v>189</v>
      </c>
      <c r="G28" s="19"/>
    </row>
    <row r="29" spans="1:7" ht="70.8" customHeight="1">
      <c r="A29" s="140" t="s">
        <v>483</v>
      </c>
      <c r="B29" s="141"/>
      <c r="C29" s="141"/>
      <c r="D29" s="141"/>
      <c r="E29" s="141"/>
      <c r="F29" s="142"/>
    </row>
    <row r="30" spans="1:7">
      <c r="A30" s="84" t="s">
        <v>479</v>
      </c>
      <c r="B30" s="85" t="s">
        <v>289</v>
      </c>
      <c r="C30" s="86">
        <f>100+130+100+25</f>
        <v>355</v>
      </c>
      <c r="D30" s="86" t="s">
        <v>482</v>
      </c>
      <c r="E30" s="86">
        <v>130</v>
      </c>
      <c r="F30" s="87">
        <f t="shared" ref="F30" si="2">C30*E30</f>
        <v>46150</v>
      </c>
    </row>
    <row r="31" spans="1:7">
      <c r="A31" s="84" t="s">
        <v>480</v>
      </c>
      <c r="B31" s="85" t="s">
        <v>289</v>
      </c>
      <c r="C31" s="86">
        <f>430+450</f>
        <v>880</v>
      </c>
      <c r="D31" s="86" t="s">
        <v>183</v>
      </c>
      <c r="E31" s="86">
        <v>15</v>
      </c>
      <c r="F31" s="87">
        <f>C31*E31</f>
        <v>13200</v>
      </c>
    </row>
    <row r="32" spans="1:7">
      <c r="A32" s="84" t="s">
        <v>481</v>
      </c>
      <c r="B32" s="85" t="s">
        <v>289</v>
      </c>
      <c r="C32" s="86">
        <v>600</v>
      </c>
      <c r="D32" s="86" t="s">
        <v>183</v>
      </c>
      <c r="E32" s="86">
        <v>6</v>
      </c>
      <c r="F32" s="87">
        <f>C32*E32</f>
        <v>3600</v>
      </c>
    </row>
    <row r="33" spans="5:6">
      <c r="E33" s="114" t="s">
        <v>292</v>
      </c>
      <c r="F33" s="112">
        <f>SUM(F27:F32)</f>
        <v>62950</v>
      </c>
    </row>
  </sheetData>
  <mergeCells count="5">
    <mergeCell ref="A5:F5"/>
    <mergeCell ref="A11:F11"/>
    <mergeCell ref="A20:F20"/>
    <mergeCell ref="A29:F29"/>
    <mergeCell ref="A21:F2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1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F106"/>
  <sheetViews>
    <sheetView showGridLines="0" topLeftCell="A83" workbookViewId="0">
      <selection activeCell="A104" sqref="A104"/>
    </sheetView>
  </sheetViews>
  <sheetFormatPr defaultRowHeight="13.2"/>
  <cols>
    <col min="1" max="1" width="23.6640625" style="2" customWidth="1"/>
    <col min="2" max="2" width="29.6640625" style="2" customWidth="1"/>
    <col min="3" max="3" width="27.77734375" style="2" customWidth="1"/>
    <col min="4" max="5" width="10.77734375" style="11" customWidth="1"/>
    <col min="6" max="6" width="11.21875" style="3" customWidth="1"/>
    <col min="7" max="7" width="8.88671875" style="2"/>
    <col min="8" max="9" width="11.5546875" style="2" bestFit="1" customWidth="1"/>
    <col min="10" max="16384" width="8.88671875" style="2"/>
  </cols>
  <sheetData>
    <row r="2" spans="1:6" ht="13.8">
      <c r="A2" s="20" t="s">
        <v>193</v>
      </c>
      <c r="B2" s="10"/>
      <c r="C2" s="10"/>
    </row>
    <row r="4" spans="1:6">
      <c r="A4" s="23" t="s">
        <v>203</v>
      </c>
      <c r="B4" s="23" t="s">
        <v>163</v>
      </c>
      <c r="C4" s="23" t="s">
        <v>491</v>
      </c>
      <c r="D4" s="13" t="s">
        <v>195</v>
      </c>
      <c r="E4" s="22" t="s">
        <v>196</v>
      </c>
      <c r="F4" s="13" t="s">
        <v>161</v>
      </c>
    </row>
    <row r="5" spans="1:6">
      <c r="A5" s="89" t="s">
        <v>221</v>
      </c>
      <c r="B5" s="92" t="s">
        <v>222</v>
      </c>
      <c r="C5" s="89" t="s">
        <v>492</v>
      </c>
      <c r="D5" s="90">
        <f>18.63</f>
        <v>18.63</v>
      </c>
      <c r="E5" s="91">
        <v>2</v>
      </c>
      <c r="F5" s="90">
        <f>D5*E5</f>
        <v>37.26</v>
      </c>
    </row>
    <row r="6" spans="1:6">
      <c r="A6" s="89" t="s">
        <v>221</v>
      </c>
      <c r="B6" s="92" t="s">
        <v>197</v>
      </c>
      <c r="C6" s="89" t="s">
        <v>492</v>
      </c>
      <c r="D6" s="90">
        <v>25</v>
      </c>
      <c r="E6" s="91">
        <v>2</v>
      </c>
      <c r="F6" s="90">
        <f>D6*E6</f>
        <v>50</v>
      </c>
    </row>
    <row r="7" spans="1:6">
      <c r="A7" s="89" t="s">
        <v>194</v>
      </c>
      <c r="B7" s="92" t="s">
        <v>205</v>
      </c>
      <c r="C7" s="89" t="s">
        <v>493</v>
      </c>
      <c r="D7" s="90">
        <f>17.1-5.9</f>
        <v>11.200000000000001</v>
      </c>
      <c r="E7" s="91">
        <v>2.7</v>
      </c>
      <c r="F7" s="90">
        <f t="shared" ref="F7:F16" si="0">D7*E7</f>
        <v>30.240000000000006</v>
      </c>
    </row>
    <row r="8" spans="1:6">
      <c r="A8" s="89" t="s">
        <v>194</v>
      </c>
      <c r="B8" s="92" t="s">
        <v>199</v>
      </c>
      <c r="C8" s="89" t="s">
        <v>494</v>
      </c>
      <c r="D8" s="90">
        <v>9.8000000000000007</v>
      </c>
      <c r="E8" s="91">
        <v>2.7</v>
      </c>
      <c r="F8" s="90">
        <f t="shared" si="0"/>
        <v>26.460000000000004</v>
      </c>
    </row>
    <row r="9" spans="1:6">
      <c r="A9" s="89" t="s">
        <v>194</v>
      </c>
      <c r="B9" s="92" t="s">
        <v>200</v>
      </c>
      <c r="C9" s="89" t="s">
        <v>494</v>
      </c>
      <c r="D9" s="90">
        <v>6</v>
      </c>
      <c r="E9" s="91">
        <v>2.7</v>
      </c>
      <c r="F9" s="90">
        <f t="shared" si="0"/>
        <v>16.200000000000003</v>
      </c>
    </row>
    <row r="10" spans="1:6">
      <c r="A10" s="89" t="s">
        <v>216</v>
      </c>
      <c r="B10" s="92" t="s">
        <v>215</v>
      </c>
      <c r="C10" s="89" t="s">
        <v>493</v>
      </c>
      <c r="D10" s="91">
        <v>9.8000000000000007</v>
      </c>
      <c r="E10" s="91">
        <v>3</v>
      </c>
      <c r="F10" s="90">
        <f t="shared" si="0"/>
        <v>29.400000000000002</v>
      </c>
    </row>
    <row r="11" spans="1:6">
      <c r="A11" s="89" t="s">
        <v>216</v>
      </c>
      <c r="B11" s="92" t="s">
        <v>215</v>
      </c>
      <c r="C11" s="89" t="s">
        <v>493</v>
      </c>
      <c r="D11" s="91">
        <v>2.75</v>
      </c>
      <c r="E11" s="91">
        <v>3</v>
      </c>
      <c r="F11" s="90">
        <f t="shared" si="0"/>
        <v>8.25</v>
      </c>
    </row>
    <row r="12" spans="1:6">
      <c r="A12" s="89" t="s">
        <v>216</v>
      </c>
      <c r="B12" s="92" t="s">
        <v>215</v>
      </c>
      <c r="C12" s="89" t="s">
        <v>493</v>
      </c>
      <c r="D12" s="91">
        <f>2.6*2</f>
        <v>5.2</v>
      </c>
      <c r="E12" s="91">
        <v>3</v>
      </c>
      <c r="F12" s="90">
        <f t="shared" si="0"/>
        <v>15.600000000000001</v>
      </c>
    </row>
    <row r="13" spans="1:6">
      <c r="A13" s="89" t="s">
        <v>216</v>
      </c>
      <c r="B13" s="92" t="s">
        <v>215</v>
      </c>
      <c r="C13" s="89" t="s">
        <v>493</v>
      </c>
      <c r="D13" s="91">
        <v>5.34</v>
      </c>
      <c r="E13" s="91">
        <v>3</v>
      </c>
      <c r="F13" s="90">
        <f t="shared" si="0"/>
        <v>16.02</v>
      </c>
    </row>
    <row r="14" spans="1:6">
      <c r="A14" s="89" t="s">
        <v>216</v>
      </c>
      <c r="B14" s="92" t="s">
        <v>215</v>
      </c>
      <c r="C14" s="89" t="s">
        <v>493</v>
      </c>
      <c r="D14" s="91">
        <v>4.84</v>
      </c>
      <c r="E14" s="91">
        <v>3</v>
      </c>
      <c r="F14" s="90">
        <f t="shared" si="0"/>
        <v>14.52</v>
      </c>
    </row>
    <row r="15" spans="1:6">
      <c r="A15" s="89" t="s">
        <v>216</v>
      </c>
      <c r="B15" s="92" t="s">
        <v>215</v>
      </c>
      <c r="C15" s="89" t="s">
        <v>493</v>
      </c>
      <c r="D15" s="91">
        <v>3.35</v>
      </c>
      <c r="E15" s="91">
        <v>3</v>
      </c>
      <c r="F15" s="90">
        <f t="shared" si="0"/>
        <v>10.050000000000001</v>
      </c>
    </row>
    <row r="16" spans="1:6">
      <c r="A16" s="89" t="s">
        <v>216</v>
      </c>
      <c r="B16" s="92" t="s">
        <v>215</v>
      </c>
      <c r="C16" s="89" t="s">
        <v>493</v>
      </c>
      <c r="D16" s="91">
        <v>2.9</v>
      </c>
      <c r="E16" s="91">
        <v>3</v>
      </c>
      <c r="F16" s="90">
        <f t="shared" si="0"/>
        <v>8.6999999999999993</v>
      </c>
    </row>
    <row r="17" spans="1:6">
      <c r="A17" s="89" t="s">
        <v>194</v>
      </c>
      <c r="B17" s="92" t="s">
        <v>212</v>
      </c>
      <c r="C17" s="89" t="s">
        <v>493</v>
      </c>
      <c r="D17" s="90">
        <f>(11*2+9.8)</f>
        <v>31.8</v>
      </c>
      <c r="E17" s="91">
        <v>0.9</v>
      </c>
      <c r="F17" s="90">
        <f>D17*E17</f>
        <v>28.62</v>
      </c>
    </row>
    <row r="18" spans="1:6">
      <c r="A18" s="89" t="s">
        <v>194</v>
      </c>
      <c r="B18" s="92" t="s">
        <v>213</v>
      </c>
      <c r="C18" s="89" t="s">
        <v>493</v>
      </c>
      <c r="D18" s="90">
        <f>9.8*2</f>
        <v>19.600000000000001</v>
      </c>
      <c r="E18" s="91">
        <v>0.7</v>
      </c>
      <c r="F18" s="90">
        <f>D18*E18</f>
        <v>13.72</v>
      </c>
    </row>
    <row r="19" spans="1:6">
      <c r="A19" s="89" t="s">
        <v>194</v>
      </c>
      <c r="B19" s="92" t="s">
        <v>214</v>
      </c>
      <c r="C19" s="89" t="s">
        <v>493</v>
      </c>
      <c r="D19" s="90">
        <f>11.4*2</f>
        <v>22.8</v>
      </c>
      <c r="E19" s="91">
        <v>0.7</v>
      </c>
      <c r="F19" s="90">
        <f>D19*E19</f>
        <v>15.959999999999999</v>
      </c>
    </row>
    <row r="20" spans="1:6">
      <c r="A20" s="89" t="s">
        <v>194</v>
      </c>
      <c r="B20" s="92" t="s">
        <v>198</v>
      </c>
      <c r="C20" s="89" t="s">
        <v>493</v>
      </c>
      <c r="D20" s="90">
        <v>7.7</v>
      </c>
      <c r="E20" s="91">
        <v>2.7</v>
      </c>
      <c r="F20" s="90">
        <f>D20*E20</f>
        <v>20.790000000000003</v>
      </c>
    </row>
    <row r="21" spans="1:6">
      <c r="A21" s="89" t="s">
        <v>194</v>
      </c>
      <c r="B21" s="92" t="s">
        <v>204</v>
      </c>
      <c r="C21" s="89" t="s">
        <v>493</v>
      </c>
      <c r="D21" s="90">
        <v>5.9</v>
      </c>
      <c r="E21" s="91">
        <v>2.7</v>
      </c>
      <c r="F21" s="90">
        <f t="shared" ref="F21:F47" si="1">D21*E21</f>
        <v>15.930000000000001</v>
      </c>
    </row>
    <row r="22" spans="1:6">
      <c r="A22" s="89" t="s">
        <v>194</v>
      </c>
      <c r="B22" s="92" t="s">
        <v>201</v>
      </c>
      <c r="C22" s="89" t="s">
        <v>494</v>
      </c>
      <c r="D22" s="90">
        <v>1.2</v>
      </c>
      <c r="E22" s="91">
        <v>2.7</v>
      </c>
      <c r="F22" s="90">
        <f t="shared" si="1"/>
        <v>3.24</v>
      </c>
    </row>
    <row r="23" spans="1:6">
      <c r="A23" s="89" t="s">
        <v>194</v>
      </c>
      <c r="B23" s="92" t="s">
        <v>206</v>
      </c>
      <c r="C23" s="89" t="s">
        <v>494</v>
      </c>
      <c r="D23" s="90">
        <v>10.4</v>
      </c>
      <c r="E23" s="91">
        <v>2.7</v>
      </c>
      <c r="F23" s="90">
        <f t="shared" si="1"/>
        <v>28.080000000000002</v>
      </c>
    </row>
    <row r="24" spans="1:6">
      <c r="A24" s="89" t="s">
        <v>194</v>
      </c>
      <c r="B24" s="92" t="s">
        <v>208</v>
      </c>
      <c r="C24" s="89" t="s">
        <v>494</v>
      </c>
      <c r="D24" s="90">
        <v>9.8000000000000007</v>
      </c>
      <c r="E24" s="91">
        <v>2.7</v>
      </c>
      <c r="F24" s="90">
        <f t="shared" si="1"/>
        <v>26.460000000000004</v>
      </c>
    </row>
    <row r="25" spans="1:6">
      <c r="A25" s="89" t="s">
        <v>194</v>
      </c>
      <c r="B25" s="92" t="s">
        <v>207</v>
      </c>
      <c r="C25" s="89" t="s">
        <v>494</v>
      </c>
      <c r="D25" s="90">
        <v>5.9</v>
      </c>
      <c r="E25" s="91">
        <v>2.7</v>
      </c>
      <c r="F25" s="90">
        <f t="shared" si="1"/>
        <v>15.930000000000001</v>
      </c>
    </row>
    <row r="26" spans="1:6">
      <c r="A26" s="89" t="s">
        <v>194</v>
      </c>
      <c r="B26" s="92" t="s">
        <v>209</v>
      </c>
      <c r="C26" s="89" t="s">
        <v>494</v>
      </c>
      <c r="D26" s="90">
        <f>2.6+2.44+3.65</f>
        <v>8.69</v>
      </c>
      <c r="E26" s="91">
        <v>2.7</v>
      </c>
      <c r="F26" s="90">
        <f t="shared" si="1"/>
        <v>23.463000000000001</v>
      </c>
    </row>
    <row r="27" spans="1:6">
      <c r="A27" s="89" t="s">
        <v>194</v>
      </c>
      <c r="B27" s="92" t="s">
        <v>210</v>
      </c>
      <c r="C27" s="89" t="s">
        <v>494</v>
      </c>
      <c r="D27" s="90">
        <f>5.84*2</f>
        <v>11.68</v>
      </c>
      <c r="E27" s="91">
        <v>2.6</v>
      </c>
      <c r="F27" s="90">
        <f t="shared" si="1"/>
        <v>30.367999999999999</v>
      </c>
    </row>
    <row r="28" spans="1:6">
      <c r="A28" s="89" t="s">
        <v>194</v>
      </c>
      <c r="B28" s="92" t="s">
        <v>211</v>
      </c>
      <c r="C28" s="89" t="s">
        <v>494</v>
      </c>
      <c r="D28" s="90">
        <f>2.9*2</f>
        <v>5.8</v>
      </c>
      <c r="E28" s="91">
        <v>2.6</v>
      </c>
      <c r="F28" s="90">
        <f t="shared" si="1"/>
        <v>15.08</v>
      </c>
    </row>
    <row r="29" spans="1:6">
      <c r="A29" s="89" t="s">
        <v>216</v>
      </c>
      <c r="B29" s="92" t="s">
        <v>215</v>
      </c>
      <c r="C29" s="89" t="s">
        <v>493</v>
      </c>
      <c r="D29" s="90">
        <v>8.44</v>
      </c>
      <c r="E29" s="91">
        <v>3</v>
      </c>
      <c r="F29" s="90">
        <f t="shared" si="1"/>
        <v>25.32</v>
      </c>
    </row>
    <row r="30" spans="1:6">
      <c r="A30" s="89" t="s">
        <v>216</v>
      </c>
      <c r="B30" s="92" t="s">
        <v>215</v>
      </c>
      <c r="C30" s="89" t="s">
        <v>493</v>
      </c>
      <c r="D30" s="90">
        <f>1.75*2</f>
        <v>3.5</v>
      </c>
      <c r="E30" s="91">
        <v>3</v>
      </c>
      <c r="F30" s="90">
        <f t="shared" si="1"/>
        <v>10.5</v>
      </c>
    </row>
    <row r="31" spans="1:6">
      <c r="A31" s="89" t="s">
        <v>216</v>
      </c>
      <c r="B31" s="92" t="s">
        <v>215</v>
      </c>
      <c r="C31" s="89" t="s">
        <v>493</v>
      </c>
      <c r="D31" s="90">
        <v>1.1499999999999999</v>
      </c>
      <c r="E31" s="91">
        <v>3</v>
      </c>
      <c r="F31" s="90">
        <f t="shared" si="1"/>
        <v>3.4499999999999997</v>
      </c>
    </row>
    <row r="32" spans="1:6">
      <c r="A32" s="89" t="s">
        <v>216</v>
      </c>
      <c r="B32" s="92" t="s">
        <v>215</v>
      </c>
      <c r="C32" s="89" t="s">
        <v>489</v>
      </c>
      <c r="D32" s="90">
        <v>1.47</v>
      </c>
      <c r="E32" s="91">
        <v>3</v>
      </c>
      <c r="F32" s="90">
        <f t="shared" ref="F32:F35" si="2">D32*E32</f>
        <v>4.41</v>
      </c>
    </row>
    <row r="33" spans="1:6">
      <c r="A33" s="89" t="s">
        <v>216</v>
      </c>
      <c r="B33" s="92" t="s">
        <v>215</v>
      </c>
      <c r="C33" s="89" t="s">
        <v>489</v>
      </c>
      <c r="D33" s="90">
        <v>3.4</v>
      </c>
      <c r="E33" s="91">
        <v>3</v>
      </c>
      <c r="F33" s="90">
        <f t="shared" si="2"/>
        <v>10.199999999999999</v>
      </c>
    </row>
    <row r="34" spans="1:6">
      <c r="A34" s="89" t="s">
        <v>216</v>
      </c>
      <c r="B34" s="92" t="s">
        <v>215</v>
      </c>
      <c r="C34" s="89" t="s">
        <v>489</v>
      </c>
      <c r="D34" s="90">
        <v>5.0999999999999996</v>
      </c>
      <c r="E34" s="91">
        <v>3</v>
      </c>
      <c r="F34" s="90">
        <f t="shared" si="2"/>
        <v>15.299999999999999</v>
      </c>
    </row>
    <row r="35" spans="1:6">
      <c r="A35" s="89" t="s">
        <v>216</v>
      </c>
      <c r="B35" s="92" t="s">
        <v>217</v>
      </c>
      <c r="C35" s="89" t="s">
        <v>489</v>
      </c>
      <c r="D35" s="90">
        <v>4.4000000000000004</v>
      </c>
      <c r="E35" s="91">
        <v>3</v>
      </c>
      <c r="F35" s="90">
        <f t="shared" si="2"/>
        <v>13.200000000000001</v>
      </c>
    </row>
    <row r="36" spans="1:6">
      <c r="A36" s="89" t="s">
        <v>216</v>
      </c>
      <c r="B36" s="92" t="s">
        <v>215</v>
      </c>
      <c r="C36" s="89" t="s">
        <v>489</v>
      </c>
      <c r="D36" s="90">
        <v>1.47</v>
      </c>
      <c r="E36" s="91">
        <v>3</v>
      </c>
      <c r="F36" s="90">
        <f t="shared" si="1"/>
        <v>4.41</v>
      </c>
    </row>
    <row r="37" spans="1:6">
      <c r="A37" s="89" t="s">
        <v>216</v>
      </c>
      <c r="B37" s="92" t="s">
        <v>215</v>
      </c>
      <c r="C37" s="89" t="s">
        <v>489</v>
      </c>
      <c r="D37" s="90">
        <v>3.4</v>
      </c>
      <c r="E37" s="91">
        <v>3</v>
      </c>
      <c r="F37" s="90">
        <f t="shared" si="1"/>
        <v>10.199999999999999</v>
      </c>
    </row>
    <row r="38" spans="1:6">
      <c r="A38" s="89" t="s">
        <v>216</v>
      </c>
      <c r="B38" s="92" t="s">
        <v>215</v>
      </c>
      <c r="C38" s="89" t="s">
        <v>489</v>
      </c>
      <c r="D38" s="90">
        <v>5.0999999999999996</v>
      </c>
      <c r="E38" s="91">
        <v>3</v>
      </c>
      <c r="F38" s="90">
        <f t="shared" si="1"/>
        <v>15.299999999999999</v>
      </c>
    </row>
    <row r="39" spans="1:6">
      <c r="A39" s="89" t="s">
        <v>216</v>
      </c>
      <c r="B39" s="92" t="s">
        <v>217</v>
      </c>
      <c r="C39" s="89" t="s">
        <v>489</v>
      </c>
      <c r="D39" s="90">
        <v>4.4000000000000004</v>
      </c>
      <c r="E39" s="91">
        <v>3</v>
      </c>
      <c r="F39" s="90">
        <f t="shared" si="1"/>
        <v>13.200000000000001</v>
      </c>
    </row>
    <row r="40" spans="1:6">
      <c r="A40" s="89" t="s">
        <v>216</v>
      </c>
      <c r="B40" s="92" t="s">
        <v>217</v>
      </c>
      <c r="C40" s="89" t="s">
        <v>219</v>
      </c>
      <c r="D40" s="90">
        <v>4.2</v>
      </c>
      <c r="E40" s="91">
        <v>3</v>
      </c>
      <c r="F40" s="90">
        <f t="shared" ref="F40:F43" si="3">D40*E40</f>
        <v>12.600000000000001</v>
      </c>
    </row>
    <row r="41" spans="1:6">
      <c r="A41" s="89" t="s">
        <v>216</v>
      </c>
      <c r="B41" s="92" t="s">
        <v>217</v>
      </c>
      <c r="C41" s="89" t="s">
        <v>219</v>
      </c>
      <c r="D41" s="90">
        <v>3.54</v>
      </c>
      <c r="E41" s="91">
        <v>3</v>
      </c>
      <c r="F41" s="90">
        <f t="shared" si="3"/>
        <v>10.620000000000001</v>
      </c>
    </row>
    <row r="42" spans="1:6">
      <c r="A42" s="89" t="s">
        <v>216</v>
      </c>
      <c r="B42" s="92" t="s">
        <v>217</v>
      </c>
      <c r="C42" s="89" t="s">
        <v>219</v>
      </c>
      <c r="D42" s="90">
        <v>2.9</v>
      </c>
      <c r="E42" s="91">
        <v>3</v>
      </c>
      <c r="F42" s="90">
        <f t="shared" si="3"/>
        <v>8.6999999999999993</v>
      </c>
    </row>
    <row r="43" spans="1:6">
      <c r="A43" s="89" t="s">
        <v>216</v>
      </c>
      <c r="B43" s="92" t="s">
        <v>217</v>
      </c>
      <c r="C43" s="89" t="s">
        <v>219</v>
      </c>
      <c r="D43" s="90">
        <v>1.48</v>
      </c>
      <c r="E43" s="91">
        <v>3</v>
      </c>
      <c r="F43" s="90">
        <f t="shared" si="3"/>
        <v>4.4399999999999995</v>
      </c>
    </row>
    <row r="44" spans="1:6">
      <c r="A44" s="89" t="s">
        <v>216</v>
      </c>
      <c r="B44" s="92" t="s">
        <v>217</v>
      </c>
      <c r="C44" s="89" t="s">
        <v>219</v>
      </c>
      <c r="D44" s="90">
        <v>4.2</v>
      </c>
      <c r="E44" s="91">
        <v>3</v>
      </c>
      <c r="F44" s="90">
        <f t="shared" si="1"/>
        <v>12.600000000000001</v>
      </c>
    </row>
    <row r="45" spans="1:6">
      <c r="A45" s="89" t="s">
        <v>216</v>
      </c>
      <c r="B45" s="92" t="s">
        <v>217</v>
      </c>
      <c r="C45" s="89" t="s">
        <v>496</v>
      </c>
      <c r="D45" s="90">
        <v>3.54</v>
      </c>
      <c r="E45" s="91">
        <v>3</v>
      </c>
      <c r="F45" s="90">
        <f t="shared" si="1"/>
        <v>10.620000000000001</v>
      </c>
    </row>
    <row r="46" spans="1:6">
      <c r="A46" s="89" t="s">
        <v>216</v>
      </c>
      <c r="B46" s="92" t="s">
        <v>217</v>
      </c>
      <c r="C46" s="89" t="s">
        <v>496</v>
      </c>
      <c r="D46" s="90">
        <v>2.9</v>
      </c>
      <c r="E46" s="91">
        <v>3</v>
      </c>
      <c r="F46" s="90">
        <f t="shared" si="1"/>
        <v>8.6999999999999993</v>
      </c>
    </row>
    <row r="47" spans="1:6">
      <c r="A47" s="89" t="s">
        <v>216</v>
      </c>
      <c r="B47" s="92" t="s">
        <v>217</v>
      </c>
      <c r="C47" s="89" t="s">
        <v>496</v>
      </c>
      <c r="D47" s="90">
        <v>1.48</v>
      </c>
      <c r="E47" s="91">
        <v>3</v>
      </c>
      <c r="F47" s="90">
        <f t="shared" si="1"/>
        <v>4.4399999999999995</v>
      </c>
    </row>
    <row r="48" spans="1:6">
      <c r="A48" s="12"/>
      <c r="C48" s="12"/>
      <c r="E48" s="114" t="s">
        <v>292</v>
      </c>
      <c r="F48" s="112">
        <f>SUM(F5:F47)</f>
        <v>698.55100000000039</v>
      </c>
    </row>
    <row r="51" spans="1:6">
      <c r="A51" s="88" t="s">
        <v>490</v>
      </c>
    </row>
    <row r="52" spans="1:6">
      <c r="A52" s="88" t="s">
        <v>497</v>
      </c>
    </row>
    <row r="54" spans="1:6" ht="26.4">
      <c r="A54" s="23" t="s">
        <v>491</v>
      </c>
      <c r="B54" s="13" t="s">
        <v>495</v>
      </c>
      <c r="C54" s="71" t="s">
        <v>218</v>
      </c>
      <c r="D54" s="22" t="s">
        <v>342</v>
      </c>
      <c r="E54" s="22" t="s">
        <v>510</v>
      </c>
    </row>
    <row r="55" spans="1:6">
      <c r="A55" s="89" t="s">
        <v>492</v>
      </c>
      <c r="B55" s="90">
        <f>SUMIF($C$5:$C$47,A55,$F$5:$F$47)</f>
        <v>87.259999999999991</v>
      </c>
      <c r="C55" s="90">
        <f>B55/(0.2*0.3)*1.2</f>
        <v>1745.1999999999998</v>
      </c>
      <c r="D55" s="90">
        <f>'Referências atualizadas'!B27</f>
        <v>1.29</v>
      </c>
      <c r="E55" s="90">
        <f>C55*D55</f>
        <v>2251.308</v>
      </c>
    </row>
    <row r="56" spans="1:6">
      <c r="A56" s="89" t="s">
        <v>493</v>
      </c>
      <c r="B56" s="90">
        <f t="shared" ref="B56:B59" si="4">SUMIF($C$5:$C$47,A56,$F$5:$F$47)</f>
        <v>267.07</v>
      </c>
      <c r="C56" s="90">
        <f>B56/(0.2*0.3)*1.2</f>
        <v>5341.4000000000005</v>
      </c>
      <c r="D56" s="90">
        <f>'Referências atualizadas'!B28</f>
        <v>1.66</v>
      </c>
      <c r="E56" s="90">
        <f t="shared" ref="E56:E59" si="5">C56*D56</f>
        <v>8866.7240000000002</v>
      </c>
    </row>
    <row r="57" spans="1:6">
      <c r="A57" s="89" t="s">
        <v>494</v>
      </c>
      <c r="B57" s="90">
        <f t="shared" si="4"/>
        <v>185.28100000000003</v>
      </c>
      <c r="C57" s="90">
        <f>B57/(0.2*0.3)*1.2</f>
        <v>3705.6200000000008</v>
      </c>
      <c r="D57" s="90">
        <f>'Referências atualizadas'!B29</f>
        <v>1.96</v>
      </c>
      <c r="E57" s="90">
        <f t="shared" si="5"/>
        <v>7263.0152000000016</v>
      </c>
    </row>
    <row r="58" spans="1:6">
      <c r="A58" s="89" t="s">
        <v>219</v>
      </c>
      <c r="B58" s="90">
        <f t="shared" si="4"/>
        <v>48.96</v>
      </c>
      <c r="C58" s="90">
        <f>B58/(0.2*0.4)*1.2</f>
        <v>734.39999999999986</v>
      </c>
      <c r="D58" s="90">
        <f>'Referências atualizadas'!B30</f>
        <v>2.89</v>
      </c>
      <c r="E58" s="90">
        <f t="shared" si="5"/>
        <v>2122.4159999999997</v>
      </c>
    </row>
    <row r="59" spans="1:6">
      <c r="A59" s="89" t="s">
        <v>496</v>
      </c>
      <c r="B59" s="90">
        <f t="shared" si="4"/>
        <v>23.759999999999998</v>
      </c>
      <c r="C59" s="90">
        <f>B59/(0.2*0.4)*1.2</f>
        <v>356.39999999999992</v>
      </c>
      <c r="D59" s="90">
        <f>'Referências atualizadas'!B30</f>
        <v>2.89</v>
      </c>
      <c r="E59" s="90">
        <f t="shared" si="5"/>
        <v>1029.9959999999999</v>
      </c>
    </row>
    <row r="60" spans="1:6">
      <c r="B60" s="13">
        <f>SUM(B55:B59)</f>
        <v>612.33100000000002</v>
      </c>
      <c r="D60" s="2"/>
      <c r="E60" s="112">
        <f>SUM(E55:E59)</f>
        <v>21533.459200000001</v>
      </c>
      <c r="F60" s="2"/>
    </row>
    <row r="62" spans="1:6">
      <c r="A62" s="12"/>
      <c r="C62" s="12"/>
    </row>
    <row r="63" spans="1:6">
      <c r="A63" s="88" t="s">
        <v>511</v>
      </c>
      <c r="C63" s="12"/>
    </row>
    <row r="64" spans="1:6" ht="26.4">
      <c r="A64" s="88" t="s">
        <v>202</v>
      </c>
      <c r="B64" s="13" t="s">
        <v>513</v>
      </c>
      <c r="C64" s="71" t="s">
        <v>514</v>
      </c>
      <c r="D64" s="22" t="s">
        <v>342</v>
      </c>
      <c r="E64" s="22" t="s">
        <v>510</v>
      </c>
      <c r="F64" s="2"/>
    </row>
    <row r="65" spans="1:6">
      <c r="A65" s="89" t="s">
        <v>492</v>
      </c>
      <c r="B65" s="97">
        <f>1/(0.3*0.2)*(0.09*(0.2+0.3))*0.02*1.2</f>
        <v>1.7999999999999999E-2</v>
      </c>
      <c r="C65" s="90">
        <f>B65*B55</f>
        <v>1.5706799999999996</v>
      </c>
      <c r="D65" s="90">
        <f>'Referências atualizadas'!B34</f>
        <v>130</v>
      </c>
      <c r="E65" s="90">
        <f>C65*D65</f>
        <v>204.18839999999994</v>
      </c>
    </row>
    <row r="66" spans="1:6">
      <c r="A66" s="89" t="s">
        <v>493</v>
      </c>
      <c r="B66" s="97">
        <f>1/(0.3*0.2)*(0.14*(0.2+0.3))*0.02*1.2</f>
        <v>2.8000000000000008E-2</v>
      </c>
      <c r="C66" s="90">
        <f>B66*B56</f>
        <v>7.4779600000000022</v>
      </c>
      <c r="D66" s="90">
        <f>'Referências atualizadas'!B34</f>
        <v>130</v>
      </c>
      <c r="E66" s="90">
        <f>C66*D66</f>
        <v>972.13480000000027</v>
      </c>
    </row>
    <row r="67" spans="1:6">
      <c r="A67" s="89" t="s">
        <v>494</v>
      </c>
      <c r="B67" s="97">
        <f>1/(0.3*0.2)*(0.19*(0.2+0.3))*0.02*1.2</f>
        <v>3.7999999999999999E-2</v>
      </c>
      <c r="C67" s="90">
        <f>B67*B57</f>
        <v>7.0406780000000015</v>
      </c>
      <c r="D67" s="90">
        <f>'Referências atualizadas'!B34</f>
        <v>130</v>
      </c>
      <c r="E67" s="90">
        <f>C67*D67</f>
        <v>915.28814000000023</v>
      </c>
    </row>
    <row r="68" spans="1:6">
      <c r="A68" s="89" t="s">
        <v>219</v>
      </c>
      <c r="B68" s="97">
        <f>1/(0.2*0.4)*(0.14*(0.2+0.4))*0.02*1.2</f>
        <v>2.52E-2</v>
      </c>
      <c r="C68" s="90">
        <f>B68*B58</f>
        <v>1.233792</v>
      </c>
      <c r="D68" s="90">
        <f>'Referências atualizadas'!B34</f>
        <v>130</v>
      </c>
      <c r="E68" s="90">
        <f>C68*D68</f>
        <v>160.39295999999999</v>
      </c>
    </row>
    <row r="69" spans="1:6">
      <c r="A69" s="89" t="s">
        <v>496</v>
      </c>
      <c r="B69" s="97">
        <f>1/(0.2*0.4)*(0.14*(0.2+0.4))*0.02+0.1^3*1.2</f>
        <v>2.2200000000000001E-2</v>
      </c>
      <c r="C69" s="90">
        <f>B69*B59</f>
        <v>0.52747199999999994</v>
      </c>
      <c r="D69" s="90">
        <f>'Referências atualizadas'!B34</f>
        <v>130</v>
      </c>
      <c r="E69" s="90">
        <f>C69*D69</f>
        <v>68.571359999999999</v>
      </c>
    </row>
    <row r="70" spans="1:6">
      <c r="A70" s="12"/>
      <c r="D70" s="2"/>
      <c r="E70" s="112">
        <f>SUM(E65:E69)</f>
        <v>2320.5756600000004</v>
      </c>
    </row>
    <row r="71" spans="1:6">
      <c r="A71" s="12"/>
      <c r="C71" s="12"/>
    </row>
    <row r="72" spans="1:6">
      <c r="A72" s="12"/>
      <c r="C72" s="12"/>
    </row>
    <row r="73" spans="1:6">
      <c r="A73" s="88" t="s">
        <v>512</v>
      </c>
      <c r="C73" s="12"/>
    </row>
    <row r="74" spans="1:6" ht="26.4">
      <c r="A74" s="88" t="s">
        <v>202</v>
      </c>
      <c r="B74" s="13" t="s">
        <v>513</v>
      </c>
      <c r="C74" s="71" t="s">
        <v>514</v>
      </c>
      <c r="D74" s="22" t="s">
        <v>342</v>
      </c>
      <c r="E74" s="22" t="s">
        <v>510</v>
      </c>
      <c r="F74" s="2"/>
    </row>
    <row r="75" spans="1:6">
      <c r="A75" s="89" t="s">
        <v>496</v>
      </c>
      <c r="B75" s="97">
        <f>1/(0.2*0.4)*0.1^3*1.2</f>
        <v>1.4999999999999999E-2</v>
      </c>
      <c r="C75" s="90">
        <f>B75*B69</f>
        <v>3.3300000000000002E-4</v>
      </c>
      <c r="D75" s="90">
        <f>'Referências atualizadas'!B35</f>
        <v>120</v>
      </c>
      <c r="E75" s="90">
        <f>C75*D75</f>
        <v>3.9960000000000002E-2</v>
      </c>
    </row>
    <row r="76" spans="1:6">
      <c r="A76" s="12"/>
      <c r="D76" s="2"/>
      <c r="E76" s="112">
        <f>SUM(E75:E75)</f>
        <v>3.9960000000000002E-2</v>
      </c>
    </row>
    <row r="77" spans="1:6">
      <c r="D77" s="2"/>
      <c r="E77" s="2"/>
      <c r="F77" s="2"/>
    </row>
    <row r="79" spans="1:6">
      <c r="A79" s="88" t="s">
        <v>515</v>
      </c>
      <c r="C79" s="12"/>
    </row>
    <row r="80" spans="1:6" ht="26.4">
      <c r="A80" s="88" t="s">
        <v>202</v>
      </c>
      <c r="B80" s="13" t="s">
        <v>516</v>
      </c>
      <c r="C80" s="71" t="s">
        <v>342</v>
      </c>
      <c r="D80" s="22" t="s">
        <v>510</v>
      </c>
      <c r="E80" s="3"/>
      <c r="F80" s="2"/>
    </row>
    <row r="81" spans="1:5">
      <c r="A81" s="89" t="s">
        <v>492</v>
      </c>
      <c r="B81" s="90">
        <f>C65*5</f>
        <v>7.8533999999999979</v>
      </c>
      <c r="C81" s="90">
        <f>'Referências atualizadas'!B33</f>
        <v>33</v>
      </c>
      <c r="D81" s="90">
        <f>B81*C81</f>
        <v>259.16219999999993</v>
      </c>
      <c r="E81" s="3"/>
    </row>
    <row r="82" spans="1:5">
      <c r="A82" s="89" t="s">
        <v>493</v>
      </c>
      <c r="B82" s="90">
        <f>C66*5</f>
        <v>37.389800000000008</v>
      </c>
      <c r="C82" s="90">
        <f>'Referências atualizadas'!B33</f>
        <v>33</v>
      </c>
      <c r="D82" s="90">
        <f t="shared" ref="D82:D85" si="6">B82*C82</f>
        <v>1233.8634000000002</v>
      </c>
      <c r="E82" s="3"/>
    </row>
    <row r="83" spans="1:5">
      <c r="A83" s="89" t="s">
        <v>494</v>
      </c>
      <c r="B83" s="90">
        <f>C67*5</f>
        <v>35.203390000000006</v>
      </c>
      <c r="C83" s="90">
        <f>'Referências atualizadas'!B33</f>
        <v>33</v>
      </c>
      <c r="D83" s="90">
        <f t="shared" si="6"/>
        <v>1161.7118700000001</v>
      </c>
      <c r="E83" s="3"/>
    </row>
    <row r="84" spans="1:5">
      <c r="A84" s="89" t="s">
        <v>219</v>
      </c>
      <c r="B84" s="90">
        <f t="shared" ref="B84:B85" si="7">C68*5</f>
        <v>6.1689600000000002</v>
      </c>
      <c r="C84" s="90">
        <f>'Referências atualizadas'!B33</f>
        <v>33</v>
      </c>
      <c r="D84" s="90">
        <f t="shared" si="6"/>
        <v>203.57568000000001</v>
      </c>
      <c r="E84" s="3"/>
    </row>
    <row r="85" spans="1:5">
      <c r="A85" s="89" t="s">
        <v>496</v>
      </c>
      <c r="B85" s="90">
        <f t="shared" si="7"/>
        <v>2.6373599999999997</v>
      </c>
      <c r="C85" s="90">
        <f>'Referências atualizadas'!B33</f>
        <v>33</v>
      </c>
      <c r="D85" s="90">
        <f t="shared" si="6"/>
        <v>87.032879999999992</v>
      </c>
      <c r="E85" s="3"/>
    </row>
    <row r="86" spans="1:5">
      <c r="A86" s="12"/>
      <c r="D86" s="112">
        <f>SUM(D81:D85)</f>
        <v>2945.3460300000002</v>
      </c>
      <c r="E86" s="3"/>
    </row>
    <row r="89" spans="1:5">
      <c r="A89" s="88" t="s">
        <v>517</v>
      </c>
    </row>
    <row r="90" spans="1:5">
      <c r="E90" s="3"/>
    </row>
    <row r="91" spans="1:5" ht="26.4">
      <c r="A91" s="23" t="s">
        <v>491</v>
      </c>
      <c r="B91" s="13" t="s">
        <v>518</v>
      </c>
      <c r="C91" s="71" t="s">
        <v>342</v>
      </c>
      <c r="D91" s="22" t="s">
        <v>510</v>
      </c>
      <c r="E91" s="3"/>
    </row>
    <row r="92" spans="1:5">
      <c r="A92" s="89" t="s">
        <v>489</v>
      </c>
      <c r="B92" s="90">
        <f>SUMIF($C$5:$C$47,A92,$F$5:$F$47)</f>
        <v>86.22</v>
      </c>
      <c r="C92" s="90">
        <f>'Referências atualizadas'!B41</f>
        <v>168</v>
      </c>
      <c r="D92" s="90">
        <f>B92*C92</f>
        <v>14484.96</v>
      </c>
      <c r="E92" s="3"/>
    </row>
    <row r="93" spans="1:5">
      <c r="D93" s="112">
        <f>SUM(D92)</f>
        <v>14484.96</v>
      </c>
      <c r="E93" s="3"/>
    </row>
    <row r="96" spans="1:5">
      <c r="A96" s="88" t="s">
        <v>519</v>
      </c>
      <c r="C96" s="12"/>
    </row>
    <row r="97" spans="1:6">
      <c r="A97" s="88" t="s">
        <v>202</v>
      </c>
      <c r="B97" s="13" t="s">
        <v>516</v>
      </c>
      <c r="C97" s="3"/>
      <c r="D97" s="3"/>
      <c r="E97" s="3"/>
      <c r="F97" s="2"/>
    </row>
    <row r="98" spans="1:6">
      <c r="A98" s="89" t="s">
        <v>520</v>
      </c>
      <c r="B98" s="90">
        <f>E60</f>
        <v>21533.459200000001</v>
      </c>
      <c r="C98" s="3"/>
      <c r="D98" s="3"/>
      <c r="E98" s="3"/>
    </row>
    <row r="99" spans="1:6">
      <c r="A99" s="89" t="s">
        <v>521</v>
      </c>
      <c r="B99" s="90">
        <f>E70</f>
        <v>2320.5756600000004</v>
      </c>
      <c r="C99" s="3"/>
      <c r="D99" s="3"/>
      <c r="E99" s="3"/>
    </row>
    <row r="100" spans="1:6">
      <c r="A100" s="89" t="s">
        <v>522</v>
      </c>
      <c r="B100" s="90">
        <f>E76</f>
        <v>3.9960000000000002E-2</v>
      </c>
      <c r="C100" s="3"/>
      <c r="D100" s="3"/>
      <c r="E100" s="3"/>
    </row>
    <row r="101" spans="1:6">
      <c r="A101" s="89" t="s">
        <v>523</v>
      </c>
      <c r="B101" s="90">
        <f>D86</f>
        <v>2945.3460300000002</v>
      </c>
      <c r="C101" s="3"/>
      <c r="D101" s="3"/>
      <c r="E101" s="3"/>
    </row>
    <row r="102" spans="1:6">
      <c r="A102" s="89" t="s">
        <v>524</v>
      </c>
      <c r="B102" s="90">
        <f>D93</f>
        <v>14484.96</v>
      </c>
      <c r="C102" s="3"/>
      <c r="D102" s="3"/>
      <c r="E102" s="3"/>
    </row>
    <row r="103" spans="1:6" ht="22.8">
      <c r="A103" s="92" t="s">
        <v>566</v>
      </c>
      <c r="B103" s="90">
        <f>SUM(B98:B102)*0.1</f>
        <v>4128.4380850000007</v>
      </c>
      <c r="C103" s="3"/>
      <c r="D103" s="3"/>
      <c r="E103" s="3"/>
    </row>
    <row r="104" spans="1:6">
      <c r="A104" s="115" t="s">
        <v>292</v>
      </c>
      <c r="B104" s="112">
        <f>SUM(B98:B103)</f>
        <v>45412.818935000003</v>
      </c>
      <c r="C104" s="3"/>
      <c r="D104" s="3"/>
      <c r="E104" s="3"/>
    </row>
    <row r="105" spans="1:6">
      <c r="C105" s="3"/>
      <c r="D105" s="3"/>
    </row>
    <row r="106" spans="1:6">
      <c r="B106" s="11"/>
      <c r="C106" s="11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20"/>
  <sheetViews>
    <sheetView showGridLines="0" workbookViewId="0">
      <selection activeCell="E21" sqref="E21"/>
    </sheetView>
  </sheetViews>
  <sheetFormatPr defaultRowHeight="13.2"/>
  <cols>
    <col min="1" max="1" width="30.33203125" style="2" customWidth="1"/>
    <col min="2" max="2" width="12.77734375" style="11" customWidth="1"/>
    <col min="3" max="13" width="12.77734375" style="2" customWidth="1"/>
    <col min="14" max="16384" width="8.88671875" style="2"/>
  </cols>
  <sheetData>
    <row r="2" spans="1:6" ht="13.8">
      <c r="A2" s="20" t="s">
        <v>223</v>
      </c>
      <c r="B2" s="21"/>
    </row>
    <row r="4" spans="1:6" ht="26.4">
      <c r="A4" s="23" t="s">
        <v>491</v>
      </c>
      <c r="B4" s="22" t="s">
        <v>161</v>
      </c>
      <c r="C4" s="22" t="s">
        <v>173</v>
      </c>
      <c r="D4" s="22" t="s">
        <v>563</v>
      </c>
      <c r="E4" s="22" t="s">
        <v>564</v>
      </c>
      <c r="F4" s="22" t="s">
        <v>565</v>
      </c>
    </row>
    <row r="5" spans="1:6">
      <c r="A5" s="89" t="s">
        <v>492</v>
      </c>
      <c r="B5" s="90">
        <f>Alvenaria!B55</f>
        <v>87.259999999999991</v>
      </c>
      <c r="C5" s="90">
        <v>2</v>
      </c>
      <c r="D5" s="90">
        <f>B5*C5</f>
        <v>174.51999999999998</v>
      </c>
      <c r="E5" s="96">
        <v>2.5000000000000001E-2</v>
      </c>
      <c r="F5" s="90">
        <f>D5*E5</f>
        <v>4.3629999999999995</v>
      </c>
    </row>
    <row r="6" spans="1:6">
      <c r="A6" s="89" t="s">
        <v>493</v>
      </c>
      <c r="B6" s="90">
        <f>Alvenaria!B56</f>
        <v>267.07</v>
      </c>
      <c r="C6" s="90">
        <v>2</v>
      </c>
      <c r="D6" s="90">
        <f t="shared" ref="D6:D11" si="0">B6*C6</f>
        <v>534.14</v>
      </c>
      <c r="E6" s="96">
        <v>2.5000000000000001E-2</v>
      </c>
      <c r="F6" s="90">
        <f t="shared" ref="F6:F11" si="1">D6*E6</f>
        <v>13.3535</v>
      </c>
    </row>
    <row r="7" spans="1:6">
      <c r="A7" s="89" t="s">
        <v>494</v>
      </c>
      <c r="B7" s="90">
        <f>Alvenaria!B57</f>
        <v>185.28100000000003</v>
      </c>
      <c r="C7" s="90">
        <v>2</v>
      </c>
      <c r="D7" s="90">
        <f t="shared" si="0"/>
        <v>370.56200000000007</v>
      </c>
      <c r="E7" s="96">
        <v>2.5000000000000001E-2</v>
      </c>
      <c r="F7" s="90">
        <f t="shared" si="1"/>
        <v>9.2640500000000028</v>
      </c>
    </row>
    <row r="8" spans="1:6">
      <c r="A8" s="89" t="s">
        <v>219</v>
      </c>
      <c r="B8" s="90">
        <f>Alvenaria!B58</f>
        <v>48.96</v>
      </c>
      <c r="C8" s="90">
        <v>2</v>
      </c>
      <c r="D8" s="90">
        <f t="shared" si="0"/>
        <v>97.92</v>
      </c>
      <c r="E8" s="96">
        <v>2.5000000000000001E-2</v>
      </c>
      <c r="F8" s="90">
        <f t="shared" si="1"/>
        <v>2.4480000000000004</v>
      </c>
    </row>
    <row r="9" spans="1:6">
      <c r="A9" s="89" t="s">
        <v>496</v>
      </c>
      <c r="B9" s="90">
        <f>Alvenaria!B59</f>
        <v>23.759999999999998</v>
      </c>
      <c r="C9" s="90">
        <v>2</v>
      </c>
      <c r="D9" s="90">
        <f t="shared" si="0"/>
        <v>47.519999999999996</v>
      </c>
      <c r="E9" s="96">
        <v>2.5000000000000001E-2</v>
      </c>
      <c r="F9" s="90">
        <f t="shared" si="1"/>
        <v>1.1879999999999999</v>
      </c>
    </row>
    <row r="10" spans="1:6">
      <c r="A10" s="89" t="s">
        <v>562</v>
      </c>
      <c r="B10" s="90">
        <f>Arrimos!D9</f>
        <v>123.25</v>
      </c>
      <c r="C10" s="90">
        <v>1</v>
      </c>
      <c r="D10" s="90">
        <f t="shared" si="0"/>
        <v>123.25</v>
      </c>
      <c r="E10" s="96">
        <v>2.5000000000000001E-2</v>
      </c>
      <c r="F10" s="90">
        <f t="shared" si="1"/>
        <v>3.0812500000000003</v>
      </c>
    </row>
    <row r="11" spans="1:6">
      <c r="A11" s="89" t="s">
        <v>224</v>
      </c>
      <c r="B11" s="90">
        <f>'Planilhamento Básico'!H39</f>
        <v>605.48279999999988</v>
      </c>
      <c r="C11" s="90">
        <v>1</v>
      </c>
      <c r="D11" s="90">
        <f t="shared" si="0"/>
        <v>605.48279999999988</v>
      </c>
      <c r="E11" s="96">
        <v>0.05</v>
      </c>
      <c r="F11" s="90">
        <f t="shared" si="1"/>
        <v>30.274139999999996</v>
      </c>
    </row>
    <row r="13" spans="1:6">
      <c r="B13" s="2"/>
    </row>
    <row r="14" spans="1:6">
      <c r="A14" s="23" t="s">
        <v>231</v>
      </c>
      <c r="B14" s="22" t="s">
        <v>567</v>
      </c>
      <c r="C14" s="22" t="s">
        <v>437</v>
      </c>
      <c r="D14" s="22" t="s">
        <v>342</v>
      </c>
      <c r="E14" s="22" t="s">
        <v>568</v>
      </c>
    </row>
    <row r="15" spans="1:6">
      <c r="A15" s="89" t="s">
        <v>162</v>
      </c>
      <c r="B15" s="90">
        <f>SUM(F5:F11)</f>
        <v>63.971939999999996</v>
      </c>
      <c r="C15" s="111" t="s">
        <v>158</v>
      </c>
      <c r="D15" s="90">
        <f>'Referências atualizadas'!B34</f>
        <v>130</v>
      </c>
      <c r="E15" s="90">
        <f>D15*B15</f>
        <v>8316.3521999999994</v>
      </c>
    </row>
    <row r="16" spans="1:6">
      <c r="A16" s="89" t="s">
        <v>260</v>
      </c>
      <c r="B16" s="90">
        <f>B15*5</f>
        <v>319.85969999999998</v>
      </c>
      <c r="C16" s="111" t="s">
        <v>174</v>
      </c>
      <c r="D16" s="90">
        <f>'Referências atualizadas'!B33</f>
        <v>33</v>
      </c>
      <c r="E16" s="90">
        <f>D16*B16</f>
        <v>10555.3701</v>
      </c>
    </row>
    <row r="17" spans="1:5">
      <c r="A17" s="92" t="s">
        <v>220</v>
      </c>
      <c r="B17" s="90">
        <v>3</v>
      </c>
      <c r="C17" s="111" t="s">
        <v>570</v>
      </c>
      <c r="D17" s="90">
        <v>1800</v>
      </c>
      <c r="E17" s="90">
        <f>D17*B17</f>
        <v>5400</v>
      </c>
    </row>
    <row r="18" spans="1:5" ht="34.200000000000003">
      <c r="A18" s="92" t="s">
        <v>569</v>
      </c>
      <c r="B18" s="90"/>
      <c r="C18" s="111"/>
      <c r="D18" s="90"/>
      <c r="E18" s="90">
        <f>E16*0.1</f>
        <v>1055.53701</v>
      </c>
    </row>
    <row r="19" spans="1:5" ht="22.8">
      <c r="A19" s="92" t="s">
        <v>571</v>
      </c>
      <c r="B19" s="90"/>
      <c r="C19" s="111"/>
      <c r="D19" s="90"/>
      <c r="E19" s="90">
        <f>SUM(E15:E18)*0.1</f>
        <v>2532.7259310000004</v>
      </c>
    </row>
    <row r="20" spans="1:5">
      <c r="C20" s="98"/>
      <c r="D20" s="115" t="s">
        <v>292</v>
      </c>
      <c r="E20" s="112">
        <f>SUM(E15:E19)</f>
        <v>27859.985241000002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12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8"/>
  <sheetViews>
    <sheetView showGridLines="0" topLeftCell="A16" workbookViewId="0">
      <selection activeCell="Q34" sqref="Q34"/>
    </sheetView>
  </sheetViews>
  <sheetFormatPr defaultRowHeight="13.2"/>
  <cols>
    <col min="1" max="1" width="32.77734375" style="102" customWidth="1"/>
    <col min="2" max="2" width="15.77734375" style="102" hidden="1" customWidth="1"/>
    <col min="3" max="3" width="11.21875" style="106" hidden="1" customWidth="1"/>
    <col min="4" max="4" width="11.5546875" style="101" hidden="1" customWidth="1"/>
    <col min="5" max="5" width="11.5546875" style="102" hidden="1" customWidth="1"/>
    <col min="6" max="7" width="0" style="102" hidden="1" customWidth="1"/>
    <col min="8" max="8" width="8.88671875" style="102"/>
    <col min="9" max="9" width="0" style="102" hidden="1" customWidth="1"/>
    <col min="10" max="10" width="23" style="116" customWidth="1"/>
    <col min="11" max="11" width="10.5546875" style="102" bestFit="1" customWidth="1"/>
    <col min="12" max="16384" width="8.88671875" style="102"/>
  </cols>
  <sheetData>
    <row r="2" spans="1:10" ht="13.8">
      <c r="A2" s="99" t="s">
        <v>232</v>
      </c>
      <c r="B2" s="99"/>
      <c r="C2" s="100"/>
    </row>
    <row r="4" spans="1:10" ht="26.4">
      <c r="A4" s="103" t="s">
        <v>225</v>
      </c>
      <c r="B4" s="103" t="s">
        <v>227</v>
      </c>
      <c r="C4" s="104" t="s">
        <v>527</v>
      </c>
      <c r="D4" s="104" t="s">
        <v>528</v>
      </c>
      <c r="E4" s="105" t="s">
        <v>561</v>
      </c>
      <c r="F4" s="105" t="s">
        <v>529</v>
      </c>
      <c r="G4" s="105" t="s">
        <v>530</v>
      </c>
      <c r="H4" s="105" t="s">
        <v>336</v>
      </c>
      <c r="I4" s="105" t="s">
        <v>532</v>
      </c>
      <c r="J4" s="117" t="s">
        <v>577</v>
      </c>
    </row>
    <row r="5" spans="1:10">
      <c r="A5" s="107" t="s">
        <v>536</v>
      </c>
      <c r="B5" s="107" t="s">
        <v>535</v>
      </c>
      <c r="C5" s="108">
        <v>1.25</v>
      </c>
      <c r="D5" s="108">
        <v>4.2</v>
      </c>
      <c r="E5" s="108">
        <v>2.9</v>
      </c>
      <c r="F5" s="109"/>
      <c r="G5" s="109"/>
      <c r="H5" s="108">
        <f t="shared" ref="H5:H13" si="0">C5*D5+F5-G5</f>
        <v>5.25</v>
      </c>
      <c r="I5" s="108">
        <f t="shared" ref="I5:I13" si="1">(C5+D5)*2*E5</f>
        <v>31.61</v>
      </c>
      <c r="J5" s="118" t="s">
        <v>331</v>
      </c>
    </row>
    <row r="6" spans="1:10">
      <c r="A6" s="107" t="s">
        <v>538</v>
      </c>
      <c r="B6" s="107" t="s">
        <v>535</v>
      </c>
      <c r="C6" s="108">
        <v>1.4</v>
      </c>
      <c r="D6" s="108">
        <v>2.4500000000000002</v>
      </c>
      <c r="E6" s="108">
        <v>2.9</v>
      </c>
      <c r="F6" s="109"/>
      <c r="G6" s="109"/>
      <c r="H6" s="108">
        <f t="shared" si="0"/>
        <v>3.43</v>
      </c>
      <c r="I6" s="108">
        <f t="shared" si="1"/>
        <v>22.33</v>
      </c>
      <c r="J6" s="118" t="s">
        <v>330</v>
      </c>
    </row>
    <row r="7" spans="1:10">
      <c r="A7" s="107" t="s">
        <v>543</v>
      </c>
      <c r="B7" s="107" t="s">
        <v>535</v>
      </c>
      <c r="C7" s="108">
        <v>0</v>
      </c>
      <c r="D7" s="108">
        <v>0</v>
      </c>
      <c r="E7" s="108"/>
      <c r="F7" s="108">
        <v>62.28</v>
      </c>
      <c r="G7" s="108"/>
      <c r="H7" s="108">
        <f t="shared" si="0"/>
        <v>62.28</v>
      </c>
      <c r="I7" s="108">
        <f t="shared" si="1"/>
        <v>0</v>
      </c>
      <c r="J7" s="118" t="s">
        <v>331</v>
      </c>
    </row>
    <row r="8" spans="1:10">
      <c r="A8" s="107" t="s">
        <v>544</v>
      </c>
      <c r="B8" s="107" t="s">
        <v>535</v>
      </c>
      <c r="C8" s="108">
        <v>0</v>
      </c>
      <c r="D8" s="108">
        <v>0</v>
      </c>
      <c r="E8" s="108"/>
      <c r="F8" s="109">
        <v>33.96</v>
      </c>
      <c r="G8" s="109"/>
      <c r="H8" s="108">
        <f t="shared" si="0"/>
        <v>33.96</v>
      </c>
      <c r="I8" s="108">
        <f t="shared" si="1"/>
        <v>0</v>
      </c>
      <c r="J8" s="118" t="s">
        <v>331</v>
      </c>
    </row>
    <row r="9" spans="1:10">
      <c r="A9" s="107" t="s">
        <v>545</v>
      </c>
      <c r="B9" s="107" t="s">
        <v>535</v>
      </c>
      <c r="C9" s="108">
        <v>0</v>
      </c>
      <c r="D9" s="108">
        <v>0</v>
      </c>
      <c r="E9" s="108">
        <v>2.9</v>
      </c>
      <c r="F9" s="109">
        <v>8.4499999999999993</v>
      </c>
      <c r="G9" s="109"/>
      <c r="H9" s="108">
        <f t="shared" si="0"/>
        <v>8.4499999999999993</v>
      </c>
      <c r="I9" s="108">
        <f t="shared" si="1"/>
        <v>0</v>
      </c>
      <c r="J9" s="118" t="s">
        <v>331</v>
      </c>
    </row>
    <row r="10" spans="1:10">
      <c r="A10" s="107" t="s">
        <v>335</v>
      </c>
      <c r="B10" s="107" t="s">
        <v>535</v>
      </c>
      <c r="C10" s="108">
        <v>1.3</v>
      </c>
      <c r="D10" s="108">
        <v>3</v>
      </c>
      <c r="E10" s="108">
        <v>2.9</v>
      </c>
      <c r="F10" s="108"/>
      <c r="G10" s="108"/>
      <c r="H10" s="108">
        <f t="shared" si="0"/>
        <v>3.9000000000000004</v>
      </c>
      <c r="I10" s="108">
        <f t="shared" si="1"/>
        <v>24.939999999999998</v>
      </c>
      <c r="J10" s="118" t="s">
        <v>330</v>
      </c>
    </row>
    <row r="11" spans="1:10">
      <c r="A11" s="107" t="s">
        <v>546</v>
      </c>
      <c r="B11" s="107" t="s">
        <v>535</v>
      </c>
      <c r="C11" s="108">
        <v>1.95</v>
      </c>
      <c r="D11" s="108">
        <v>1.2</v>
      </c>
      <c r="E11" s="108">
        <v>2.9</v>
      </c>
      <c r="F11" s="108"/>
      <c r="G11" s="108"/>
      <c r="H11" s="108">
        <f t="shared" si="0"/>
        <v>2.34</v>
      </c>
      <c r="I11" s="108">
        <f t="shared" si="1"/>
        <v>18.27</v>
      </c>
      <c r="J11" s="118" t="s">
        <v>330</v>
      </c>
    </row>
    <row r="12" spans="1:10">
      <c r="A12" s="107" t="s">
        <v>547</v>
      </c>
      <c r="B12" s="107" t="s">
        <v>296</v>
      </c>
      <c r="C12" s="108">
        <v>26.73</v>
      </c>
      <c r="D12" s="108">
        <v>2</v>
      </c>
      <c r="E12" s="108"/>
      <c r="F12" s="109"/>
      <c r="G12" s="109"/>
      <c r="H12" s="108">
        <f t="shared" si="0"/>
        <v>53.46</v>
      </c>
      <c r="I12" s="108">
        <f t="shared" si="1"/>
        <v>0</v>
      </c>
      <c r="J12" s="118" t="s">
        <v>331</v>
      </c>
    </row>
    <row r="13" spans="1:10">
      <c r="A13" s="107" t="s">
        <v>551</v>
      </c>
      <c r="B13" s="107" t="s">
        <v>549</v>
      </c>
      <c r="C13" s="108"/>
      <c r="D13" s="108"/>
      <c r="E13" s="108">
        <v>2.75</v>
      </c>
      <c r="F13" s="109">
        <v>4.93</v>
      </c>
      <c r="G13" s="109"/>
      <c r="H13" s="108">
        <f t="shared" si="0"/>
        <v>4.93</v>
      </c>
      <c r="I13" s="108">
        <f t="shared" si="1"/>
        <v>0</v>
      </c>
      <c r="J13" s="118" t="s">
        <v>331</v>
      </c>
    </row>
    <row r="14" spans="1:10" hidden="1">
      <c r="A14" s="107"/>
      <c r="B14" s="107" t="s">
        <v>549</v>
      </c>
      <c r="C14" s="108"/>
      <c r="D14" s="108"/>
      <c r="E14" s="108">
        <v>2.75</v>
      </c>
      <c r="F14" s="109"/>
      <c r="G14" s="109"/>
      <c r="H14" s="108"/>
      <c r="I14" s="108"/>
      <c r="J14" s="118"/>
    </row>
    <row r="15" spans="1:10" hidden="1">
      <c r="A15" s="107"/>
      <c r="B15" s="107" t="s">
        <v>549</v>
      </c>
      <c r="C15" s="108"/>
      <c r="D15" s="108"/>
      <c r="E15" s="108">
        <v>2.75</v>
      </c>
      <c r="F15" s="109"/>
      <c r="G15" s="109"/>
      <c r="H15" s="108"/>
      <c r="I15" s="108"/>
      <c r="J15" s="118"/>
    </row>
    <row r="16" spans="1:10">
      <c r="A16" s="107" t="s">
        <v>552</v>
      </c>
      <c r="B16" s="107" t="s">
        <v>549</v>
      </c>
      <c r="C16" s="108">
        <v>5.6</v>
      </c>
      <c r="D16" s="108">
        <v>1.95</v>
      </c>
      <c r="E16" s="108">
        <v>2.75</v>
      </c>
      <c r="F16" s="109"/>
      <c r="G16" s="109"/>
      <c r="H16" s="108">
        <f t="shared" ref="H16:H20" si="2">C16*D16+F16-G16</f>
        <v>10.92</v>
      </c>
      <c r="I16" s="108">
        <f t="shared" ref="I16:I20" si="3">(C16+D16)*2*E16</f>
        <v>41.524999999999999</v>
      </c>
      <c r="J16" s="118" t="s">
        <v>330</v>
      </c>
    </row>
    <row r="17" spans="1:11">
      <c r="A17" s="107" t="s">
        <v>554</v>
      </c>
      <c r="B17" s="107" t="s">
        <v>549</v>
      </c>
      <c r="C17" s="108">
        <v>2.5499999999999998</v>
      </c>
      <c r="D17" s="108">
        <v>1.5</v>
      </c>
      <c r="E17" s="108">
        <v>2.75</v>
      </c>
      <c r="F17" s="109"/>
      <c r="G17" s="109"/>
      <c r="H17" s="108">
        <f t="shared" si="2"/>
        <v>3.8249999999999997</v>
      </c>
      <c r="I17" s="108">
        <f t="shared" si="3"/>
        <v>22.274999999999999</v>
      </c>
      <c r="J17" s="118" t="s">
        <v>330</v>
      </c>
    </row>
    <row r="18" spans="1:11">
      <c r="A18" s="107" t="s">
        <v>555</v>
      </c>
      <c r="B18" s="107" t="s">
        <v>549</v>
      </c>
      <c r="C18" s="108">
        <v>0.9</v>
      </c>
      <c r="D18" s="108">
        <v>5.25</v>
      </c>
      <c r="E18" s="108">
        <v>2.75</v>
      </c>
      <c r="F18" s="109"/>
      <c r="G18" s="109"/>
      <c r="H18" s="108">
        <f t="shared" si="2"/>
        <v>4.7250000000000005</v>
      </c>
      <c r="I18" s="108">
        <f t="shared" si="3"/>
        <v>33.825000000000003</v>
      </c>
      <c r="J18" s="118" t="s">
        <v>331</v>
      </c>
    </row>
    <row r="19" spans="1:11">
      <c r="A19" s="107" t="s">
        <v>557</v>
      </c>
      <c r="B19" s="107" t="s">
        <v>549</v>
      </c>
      <c r="C19" s="108">
        <v>1.5</v>
      </c>
      <c r="D19" s="108">
        <v>2.8</v>
      </c>
      <c r="E19" s="108">
        <v>2.75</v>
      </c>
      <c r="F19" s="109"/>
      <c r="G19" s="109"/>
      <c r="H19" s="108">
        <f t="shared" si="2"/>
        <v>4.1999999999999993</v>
      </c>
      <c r="I19" s="108">
        <f t="shared" si="3"/>
        <v>23.65</v>
      </c>
      <c r="J19" s="118" t="s">
        <v>330</v>
      </c>
    </row>
    <row r="20" spans="1:11">
      <c r="A20" s="107" t="s">
        <v>560</v>
      </c>
      <c r="B20" s="107" t="s">
        <v>549</v>
      </c>
      <c r="C20" s="108"/>
      <c r="D20" s="108"/>
      <c r="E20" s="108">
        <v>2.75</v>
      </c>
      <c r="F20" s="109">
        <v>7.7</v>
      </c>
      <c r="G20" s="109"/>
      <c r="H20" s="108">
        <f t="shared" si="2"/>
        <v>7.7</v>
      </c>
      <c r="I20" s="108">
        <f t="shared" si="3"/>
        <v>0</v>
      </c>
      <c r="J20" s="118" t="s">
        <v>331</v>
      </c>
    </row>
    <row r="21" spans="1:11">
      <c r="A21" s="119" t="s">
        <v>582</v>
      </c>
    </row>
    <row r="22" spans="1:11">
      <c r="A22" s="107" t="s">
        <v>233</v>
      </c>
      <c r="B22" s="107" t="s">
        <v>549</v>
      </c>
      <c r="C22" s="108"/>
      <c r="D22" s="108"/>
      <c r="E22" s="108">
        <v>2.75</v>
      </c>
      <c r="F22" s="109">
        <v>7.7</v>
      </c>
      <c r="G22" s="109"/>
      <c r="H22" s="108">
        <v>44.7</v>
      </c>
      <c r="I22" s="108">
        <f t="shared" ref="I22" si="4">(C22+D22)*2*E22</f>
        <v>0</v>
      </c>
      <c r="J22" s="118" t="s">
        <v>330</v>
      </c>
    </row>
    <row r="23" spans="1:11">
      <c r="A23" s="119" t="s">
        <v>579</v>
      </c>
    </row>
    <row r="24" spans="1:11">
      <c r="A24" s="107" t="s">
        <v>578</v>
      </c>
      <c r="B24" s="107" t="s">
        <v>549</v>
      </c>
      <c r="C24" s="108"/>
      <c r="D24" s="108"/>
      <c r="E24" s="108">
        <v>2.75</v>
      </c>
      <c r="F24" s="109">
        <v>7.7</v>
      </c>
      <c r="G24" s="109"/>
      <c r="H24" s="108">
        <v>237.58</v>
      </c>
      <c r="I24" s="108">
        <f t="shared" ref="I24" si="5">(C24+D24)*2*E24</f>
        <v>0</v>
      </c>
      <c r="J24" s="118" t="s">
        <v>332</v>
      </c>
    </row>
    <row r="27" spans="1:11">
      <c r="A27" s="103" t="s">
        <v>580</v>
      </c>
      <c r="H27" s="105" t="s">
        <v>161</v>
      </c>
      <c r="J27" s="105" t="s">
        <v>581</v>
      </c>
      <c r="K27" s="105" t="s">
        <v>160</v>
      </c>
    </row>
    <row r="28" spans="1:11">
      <c r="A28" s="118" t="s">
        <v>331</v>
      </c>
      <c r="H28" s="108">
        <f>SUMIF($J$5:$J$24,A28,$H$5:$H$24)</f>
        <v>180.755</v>
      </c>
      <c r="J28" s="108">
        <f>'Referências atualizadas'!B46</f>
        <v>79</v>
      </c>
      <c r="K28" s="108">
        <f>H28*J28</f>
        <v>14279.645</v>
      </c>
    </row>
    <row r="29" spans="1:11">
      <c r="A29" s="118" t="s">
        <v>330</v>
      </c>
      <c r="H29" s="108">
        <f>SUMIF($J$5:$J$24,A29,$H$5:$H$24)</f>
        <v>73.314999999999998</v>
      </c>
      <c r="J29" s="108">
        <f>'Referências atualizadas'!B48</f>
        <v>75</v>
      </c>
      <c r="K29" s="108">
        <f>H29*J29</f>
        <v>5498.625</v>
      </c>
    </row>
    <row r="30" spans="1:11">
      <c r="A30" s="118" t="s">
        <v>332</v>
      </c>
      <c r="H30" s="108">
        <f>SUMIF($J$5:$J$24,A30,$H$5:$H$24)</f>
        <v>237.58</v>
      </c>
      <c r="J30" s="108">
        <f>'Referências atualizadas'!B47</f>
        <v>85</v>
      </c>
      <c r="K30" s="108">
        <f>H30*J30</f>
        <v>20194.3</v>
      </c>
    </row>
    <row r="31" spans="1:11" ht="6" customHeight="1"/>
    <row r="32" spans="1:11">
      <c r="J32" s="121" t="s">
        <v>584</v>
      </c>
      <c r="K32" s="120">
        <f>SUM(K28:K30)</f>
        <v>39972.57</v>
      </c>
    </row>
    <row r="33" spans="1:11">
      <c r="J33" s="121" t="s">
        <v>585</v>
      </c>
      <c r="K33" s="120">
        <v>1.35</v>
      </c>
    </row>
    <row r="34" spans="1:11">
      <c r="J34" s="122" t="s">
        <v>586</v>
      </c>
      <c r="K34" s="123">
        <f>K32*K33</f>
        <v>53962.969500000007</v>
      </c>
    </row>
    <row r="35" spans="1:11" ht="46.2" customHeight="1"/>
    <row r="37" spans="1:11">
      <c r="A37" s="119" t="s">
        <v>606</v>
      </c>
      <c r="B37" s="128"/>
      <c r="C37" s="129"/>
      <c r="D37" s="130"/>
      <c r="E37" s="128"/>
      <c r="F37" s="128"/>
      <c r="G37" s="128"/>
      <c r="H37" s="128"/>
      <c r="I37" s="128"/>
      <c r="J37" s="131"/>
      <c r="K37" s="132">
        <f>K30*1.35</f>
        <v>27262.305</v>
      </c>
    </row>
    <row r="38" spans="1:11" ht="61.8" customHeight="1">
      <c r="A38" s="143" t="s">
        <v>605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</row>
  </sheetData>
  <mergeCells count="1">
    <mergeCell ref="A38:K3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1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VIABILIDADE</vt:lpstr>
      <vt:lpstr>Referências atualizadas</vt:lpstr>
      <vt:lpstr>Planilhamento Básico</vt:lpstr>
      <vt:lpstr>Fundação</vt:lpstr>
      <vt:lpstr>Arrimos</vt:lpstr>
      <vt:lpstr>Estrutura</vt:lpstr>
      <vt:lpstr>Alvenaria</vt:lpstr>
      <vt:lpstr>Rev. Argamassados</vt:lpstr>
      <vt:lpstr>Impermeabilizações</vt:lpstr>
      <vt:lpstr>Acabamentos</vt:lpstr>
      <vt:lpstr>Esquadrias</vt:lpstr>
      <vt:lpstr>Louças e metais</vt:lpstr>
      <vt:lpstr>Forros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2023-02-28T10:35:31Z</dcterms:modified>
</cp:coreProperties>
</file>