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f0dca7426ecefa/Treinamentos/Cursos EAD/Estruturas Metálicas/Aulas Estruturas/Versão 2021/Aulas e arquivos prontos/Calculo NV 1 - Ligações/Arquivos/Aula 13/"/>
    </mc:Choice>
  </mc:AlternateContent>
  <xr:revisionPtr revIDLastSave="19" documentId="13_ncr:1_{B88C9789-B7A4-42D4-8344-BE0F6ACE35BD}" xr6:coauthVersionLast="47" xr6:coauthVersionMax="47" xr10:uidLastSave="{A4648052-8C92-45C5-80A1-489B82F649AA}"/>
  <bookViews>
    <workbookView xWindow="18855" yWindow="2145" windowWidth="50940" windowHeight="16650" activeTab="3" xr2:uid="{699CBA16-94A9-49DF-9506-408B1020CFFF}"/>
  </bookViews>
  <sheets>
    <sheet name="TIPO T1" sheetId="1" r:id="rId1"/>
    <sheet name="TIPO T2" sheetId="10" r:id="rId2"/>
    <sheet name="TIPO T3" sheetId="13" r:id="rId3"/>
    <sheet name="TIPO T4" sheetId="14" r:id="rId4"/>
    <sheet name="Tensão de Materiais" sheetId="8" r:id="rId5"/>
    <sheet name="Tipos de Furos" sheetId="6" r:id="rId6"/>
    <sheet name="Pintura e Superficies" sheetId="9" r:id="rId7"/>
    <sheet name="Material parafusos A3" sheetId="4" r:id="rId8"/>
    <sheet name="Tipo de esforços parafusos" sheetId="7" state="hidden" r:id="rId9"/>
    <sheet name="Diametro e bordas padrao" sheetId="2" r:id="rId10"/>
    <sheet name="TABELA 1 COEF AÇÕES" sheetId="3" r:id="rId11"/>
    <sheet name="TABELA 3 COEF RESISTENCIA" sheetId="5" r:id="rId12"/>
  </sheets>
  <definedNames>
    <definedName name="área_do_perfil" localSheetId="3">'TIPO T4'!$AC$46</definedName>
    <definedName name="área_do_perfil">'TIPO T3'!$V$22</definedName>
    <definedName name="borda_esqueda">'TIPO T2'!$V$3</definedName>
    <definedName name="borda_esquerda" localSheetId="3">'TIPO T4'!$U$3</definedName>
    <definedName name="borda_esquerda">'TIPO T3'!$V$3</definedName>
    <definedName name="borda_esquerda_t1">'TIPO T1'!$V$8</definedName>
    <definedName name="borda_esquerda_t2">'TIPO T2'!$V$3</definedName>
    <definedName name="borda_esquerda_t3" localSheetId="3">'TIPO T4'!$U$3</definedName>
    <definedName name="borda_esquerda_t3">'TIPO T3'!$V$3</definedName>
    <definedName name="CG">'TIPO T2'!$V$11</definedName>
    <definedName name="COTA_M0">#REF!</definedName>
    <definedName name="COTA_M1">#REF!</definedName>
    <definedName name="COTA_M11">#REF!</definedName>
    <definedName name="COTA_M12">#REF!</definedName>
    <definedName name="COTA_M2">#REF!</definedName>
    <definedName name="COTA_M3">#REF!</definedName>
    <definedName name="COTA_M4">#REF!</definedName>
    <definedName name="COTA_M5">#REF!</definedName>
    <definedName name="COTA_M6">#REF!</definedName>
    <definedName name="COTA_M7">#REF!</definedName>
    <definedName name="COTA_M8">#REF!</definedName>
    <definedName name="COTA_M9">#REF!</definedName>
    <definedName name="excentricidade" localSheetId="3">'TIPO T4'!$U$12</definedName>
    <definedName name="excentricidade">'TIPO T3'!$V$12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4" l="1"/>
  <c r="K45" i="10"/>
  <c r="W3" i="14"/>
  <c r="W4" i="14"/>
  <c r="U28" i="14"/>
  <c r="W28" i="14" s="1"/>
  <c r="C53" i="14" l="1"/>
  <c r="D53" i="14"/>
  <c r="E53" i="14"/>
  <c r="F53" i="14"/>
  <c r="G53" i="14"/>
  <c r="H53" i="14"/>
  <c r="I53" i="14"/>
  <c r="J53" i="14"/>
  <c r="C54" i="14"/>
  <c r="D54" i="14"/>
  <c r="E54" i="14"/>
  <c r="F54" i="14"/>
  <c r="G54" i="14"/>
  <c r="H54" i="14"/>
  <c r="I54" i="14"/>
  <c r="J54" i="14"/>
  <c r="C55" i="14"/>
  <c r="D55" i="14"/>
  <c r="E55" i="14"/>
  <c r="F55" i="14"/>
  <c r="G55" i="14"/>
  <c r="H55" i="14"/>
  <c r="I55" i="14"/>
  <c r="J55" i="14"/>
  <c r="C56" i="14"/>
  <c r="D56" i="14"/>
  <c r="E56" i="14"/>
  <c r="F56" i="14"/>
  <c r="G56" i="14"/>
  <c r="H56" i="14"/>
  <c r="I56" i="14"/>
  <c r="J56" i="14"/>
  <c r="C57" i="14"/>
  <c r="D57" i="14"/>
  <c r="E57" i="14"/>
  <c r="F57" i="14"/>
  <c r="G57" i="14"/>
  <c r="H57" i="14"/>
  <c r="I57" i="14"/>
  <c r="J57" i="14"/>
  <c r="C58" i="14"/>
  <c r="D58" i="14"/>
  <c r="E58" i="14"/>
  <c r="F58" i="14"/>
  <c r="G58" i="14"/>
  <c r="H58" i="14"/>
  <c r="I58" i="14"/>
  <c r="J58" i="14"/>
  <c r="C59" i="14"/>
  <c r="D59" i="14"/>
  <c r="E59" i="14"/>
  <c r="F59" i="14"/>
  <c r="G59" i="14"/>
  <c r="H59" i="14"/>
  <c r="I59" i="14"/>
  <c r="J59" i="14"/>
  <c r="C60" i="14"/>
  <c r="D60" i="14"/>
  <c r="E60" i="14"/>
  <c r="F60" i="14"/>
  <c r="G60" i="14"/>
  <c r="H60" i="14"/>
  <c r="I60" i="14"/>
  <c r="J60" i="14"/>
  <c r="U16" i="14"/>
  <c r="U27" i="14"/>
  <c r="U26" i="14"/>
  <c r="AC42" i="14"/>
  <c r="AC41" i="14"/>
  <c r="AC37" i="14"/>
  <c r="AC32" i="14"/>
  <c r="AC30" i="14"/>
  <c r="AC22" i="14"/>
  <c r="AC21" i="14"/>
  <c r="U12" i="14"/>
  <c r="U13" i="14" s="1"/>
  <c r="W9" i="14"/>
  <c r="U7" i="14"/>
  <c r="U5" i="14"/>
  <c r="AC4" i="14"/>
  <c r="AC6" i="14" s="1"/>
  <c r="X3" i="14"/>
  <c r="V13" i="13"/>
  <c r="V12" i="13"/>
  <c r="Y8" i="1"/>
  <c r="Y3" i="10"/>
  <c r="Y3" i="13"/>
  <c r="X8" i="1"/>
  <c r="Y9" i="13"/>
  <c r="R34" i="13"/>
  <c r="R33" i="13"/>
  <c r="R29" i="13"/>
  <c r="R24" i="13"/>
  <c r="R22" i="13"/>
  <c r="R18" i="13"/>
  <c r="K45" i="13" s="1"/>
  <c r="R17" i="13"/>
  <c r="V7" i="13"/>
  <c r="V5" i="13"/>
  <c r="R4" i="13"/>
  <c r="X3" i="13"/>
  <c r="X3" i="10"/>
  <c r="V15" i="10"/>
  <c r="V6" i="10"/>
  <c r="V7" i="10"/>
  <c r="V5" i="10"/>
  <c r="R34" i="10"/>
  <c r="R33" i="10"/>
  <c r="R29" i="10"/>
  <c r="R24" i="10"/>
  <c r="R22" i="10"/>
  <c r="R18" i="10"/>
  <c r="R17" i="10"/>
  <c r="R4" i="10"/>
  <c r="R5" i="10" s="1"/>
  <c r="AD3" i="10" s="1"/>
  <c r="V13" i="1"/>
  <c r="V4" i="1"/>
  <c r="V9" i="1" s="1"/>
  <c r="R4" i="1"/>
  <c r="R5" i="1" s="1"/>
  <c r="X18" i="1" s="1"/>
  <c r="B14" i="2"/>
  <c r="B11" i="2"/>
  <c r="B7" i="2"/>
  <c r="B5" i="2"/>
  <c r="B3" i="2"/>
  <c r="B2" i="2"/>
  <c r="R33" i="1"/>
  <c r="R24" i="1"/>
  <c r="R34" i="1"/>
  <c r="R29" i="1"/>
  <c r="R22" i="1"/>
  <c r="R18" i="1"/>
  <c r="R17" i="1"/>
  <c r="K51" i="14" l="1"/>
  <c r="B50" i="14" s="1"/>
  <c r="K50" i="14"/>
  <c r="K45" i="14"/>
  <c r="U25" i="14"/>
  <c r="K47" i="14"/>
  <c r="K57" i="14" s="1"/>
  <c r="U24" i="14"/>
  <c r="X4" i="14"/>
  <c r="AC5" i="14"/>
  <c r="U23" i="14"/>
  <c r="K46" i="14"/>
  <c r="AB6" i="13"/>
  <c r="M45" i="13"/>
  <c r="K46" i="10"/>
  <c r="X4" i="10"/>
  <c r="R6" i="13"/>
  <c r="X4" i="13"/>
  <c r="Y4" i="13"/>
  <c r="R5" i="13"/>
  <c r="AD4" i="10"/>
  <c r="AD2" i="10"/>
  <c r="K39" i="10" s="1"/>
  <c r="M45" i="10"/>
  <c r="AB6" i="10"/>
  <c r="M46" i="10"/>
  <c r="AD5" i="10"/>
  <c r="R6" i="10"/>
  <c r="AB8" i="10" s="1"/>
  <c r="Y4" i="10"/>
  <c r="X15" i="1"/>
  <c r="K39" i="1" s="1"/>
  <c r="K41" i="1"/>
  <c r="M42" i="1"/>
  <c r="X19" i="1"/>
  <c r="Y7" i="1"/>
  <c r="X7" i="1"/>
  <c r="K45" i="1"/>
  <c r="M45" i="1" s="1"/>
  <c r="R6" i="1"/>
  <c r="X16" i="1"/>
  <c r="K46" i="1"/>
  <c r="M46" i="1" s="1"/>
  <c r="M46" i="14" l="1"/>
  <c r="K56" i="14"/>
  <c r="M45" i="14"/>
  <c r="K55" i="14"/>
  <c r="M51" i="14"/>
  <c r="K60" i="14"/>
  <c r="K49" i="14"/>
  <c r="K59" i="14" s="1"/>
  <c r="K48" i="14"/>
  <c r="B45" i="14" s="1"/>
  <c r="M47" i="14"/>
  <c r="W22" i="14"/>
  <c r="W21" i="14"/>
  <c r="W19" i="14"/>
  <c r="W20" i="14"/>
  <c r="AB8" i="13"/>
  <c r="AB7" i="13"/>
  <c r="K47" i="13"/>
  <c r="M47" i="13" s="1"/>
  <c r="K49" i="10"/>
  <c r="M49" i="10" s="1"/>
  <c r="AD4" i="13"/>
  <c r="AD3" i="13"/>
  <c r="AD2" i="13"/>
  <c r="AD5" i="13"/>
  <c r="K49" i="13"/>
  <c r="M49" i="13" s="1"/>
  <c r="K47" i="10"/>
  <c r="M47" i="10" s="1"/>
  <c r="AB7" i="10"/>
  <c r="K48" i="10" s="1"/>
  <c r="M48" i="10" s="1"/>
  <c r="M39" i="10"/>
  <c r="M42" i="10"/>
  <c r="K41" i="10"/>
  <c r="M40" i="10"/>
  <c r="K40" i="10"/>
  <c r="K44" i="10" s="1"/>
  <c r="K42" i="10"/>
  <c r="K43" i="10" s="1"/>
  <c r="M41" i="10"/>
  <c r="K47" i="1"/>
  <c r="M47" i="1" s="1"/>
  <c r="K42" i="1"/>
  <c r="K43" i="1" s="1"/>
  <c r="M41" i="1"/>
  <c r="M39" i="1"/>
  <c r="M40" i="1"/>
  <c r="K40" i="1"/>
  <c r="K49" i="1"/>
  <c r="M49" i="1" s="1"/>
  <c r="K48" i="1"/>
  <c r="M48" i="1" s="1"/>
  <c r="M48" i="14" l="1"/>
  <c r="K58" i="14"/>
  <c r="M49" i="14"/>
  <c r="N40" i="14"/>
  <c r="K40" i="14"/>
  <c r="N43" i="14"/>
  <c r="K42" i="14"/>
  <c r="K39" i="14"/>
  <c r="K41" i="14" s="1"/>
  <c r="K53" i="14" s="1"/>
  <c r="N39" i="14"/>
  <c r="K43" i="14"/>
  <c r="N42" i="14"/>
  <c r="K48" i="13"/>
  <c r="M39" i="13"/>
  <c r="K39" i="13"/>
  <c r="M48" i="13"/>
  <c r="K42" i="13"/>
  <c r="M41" i="13"/>
  <c r="M40" i="13"/>
  <c r="K40" i="13"/>
  <c r="M42" i="13"/>
  <c r="K41" i="13"/>
  <c r="K44" i="1"/>
  <c r="M44" i="1" s="1"/>
  <c r="M43" i="1"/>
  <c r="L51" i="1"/>
  <c r="K51" i="1"/>
  <c r="K50" i="1"/>
  <c r="K43" i="13" l="1"/>
  <c r="M41" i="14"/>
  <c r="K44" i="13"/>
  <c r="M44" i="13" s="1"/>
  <c r="K50" i="10"/>
  <c r="M44" i="10"/>
  <c r="K51" i="10"/>
  <c r="M43" i="10"/>
  <c r="L51" i="10"/>
  <c r="L50" i="1"/>
  <c r="U35" i="1" s="1"/>
  <c r="U27" i="1"/>
  <c r="U30" i="1"/>
  <c r="U38" i="1"/>
  <c r="B44" i="14" l="1"/>
  <c r="K54" i="14"/>
  <c r="K61" i="14" s="1"/>
  <c r="M44" i="14"/>
  <c r="K51" i="13"/>
  <c r="M43" i="13"/>
  <c r="L51" i="13"/>
  <c r="K50" i="13"/>
  <c r="U26" i="10"/>
  <c r="L50" i="10"/>
  <c r="U34" i="10" s="1"/>
  <c r="U37" i="10"/>
  <c r="U29" i="10"/>
  <c r="U48" i="14" l="1"/>
  <c r="U40" i="14"/>
  <c r="U26" i="13"/>
  <c r="L50" i="13"/>
  <c r="U34" i="13" s="1"/>
  <c r="U29" i="13"/>
  <c r="U37" i="13"/>
  <c r="U43" i="14"/>
  <c r="U5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U2" authorId="0" shapeId="0" xr:uid="{E45DE26A-2CAB-4F6B-89FB-7BB86D932664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Diametro nominal do parafuso
</t>
        </r>
      </text>
    </comment>
    <comment ref="U3" authorId="0" shapeId="0" xr:uid="{713DF6EC-1D86-4D64-BC4C-C6006C8DA110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 xml:space="preserve">Distância entre furos na vertical
</t>
        </r>
      </text>
    </comment>
    <comment ref="U4" authorId="0" shapeId="0" xr:uid="{02AC60B5-EEF6-4D75-B743-E6A5FBC273FD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furos na vertical</t>
        </r>
      </text>
    </comment>
    <comment ref="U5" authorId="0" shapeId="0" xr:uid="{806C54E4-3A3A-46A9-B00E-3BF2639E048F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de borda externa na vertical</t>
        </r>
      </text>
    </comment>
    <comment ref="U7" authorId="0" shapeId="0" xr:uid="{20AE3737-2532-40F4-A0E6-24D7D1F0879E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bordas internas horizontal</t>
        </r>
      </text>
    </comment>
    <comment ref="U8" authorId="0" shapeId="0" xr:uid="{CEC6FFB5-B42A-456D-A37D-D1994DDC0F2D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 bordas externa horizontal</t>
        </r>
      </text>
    </comment>
    <comment ref="X8" authorId="0" shapeId="0" xr:uid="{308C4FA9-012A-4BC4-8485-4C127F4214A8}">
      <text>
        <r>
          <rPr>
            <b/>
            <sz val="9"/>
            <color indexed="81"/>
            <rFont val="Segoe UI"/>
            <charset val="1"/>
          </rPr>
          <t>Benzor:</t>
        </r>
        <r>
          <rPr>
            <sz val="9"/>
            <color indexed="81"/>
            <rFont val="Segoe UI"/>
            <charset val="1"/>
          </rPr>
          <t xml:space="preserve">
12t ou 150mm</t>
        </r>
      </text>
    </comment>
    <comment ref="U9" authorId="0" shapeId="0" xr:uid="{5AC2375D-A562-48E4-8419-95D003D8737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largura da chapa</t>
        </r>
      </text>
    </comment>
    <comment ref="U10" authorId="0" shapeId="0" xr:uid="{3F603AB6-91A4-4E79-A3F7-C84814E1FEF0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chapa central</t>
        </r>
      </text>
    </comment>
    <comment ref="U11" authorId="0" shapeId="0" xr:uid="{0C6C1260-7528-4D97-8C0D-A02D77744AE9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Espessura da Cobre junta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U2" authorId="0" shapeId="0" xr:uid="{0C28B6FA-E093-47E1-9B12-EB8F0B45BE94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Diametro nominal do parafuso
</t>
        </r>
      </text>
    </comment>
    <comment ref="U3" authorId="0" shapeId="0" xr:uid="{C975DB78-3380-41EB-A2EF-1FFDE17C3D92}">
      <text>
        <r>
          <rPr>
            <b/>
            <sz val="9"/>
            <color indexed="81"/>
            <rFont val="Segoe UI"/>
            <family val="2"/>
          </rPr>
          <t>Benzor</t>
        </r>
        <r>
          <rPr>
            <sz val="9"/>
            <color indexed="81"/>
            <rFont val="Segoe UI"/>
            <family val="2"/>
          </rPr>
          <t xml:space="preserve">:Borda externa esquerda
</t>
        </r>
      </text>
    </comment>
    <comment ref="X3" authorId="0" shapeId="0" xr:uid="{A92A63B9-6478-4D6B-9008-AA249A1B56F8}">
      <text>
        <r>
          <rPr>
            <b/>
            <sz val="9"/>
            <color indexed="81"/>
            <rFont val="Segoe UI"/>
            <charset val="1"/>
          </rPr>
          <t>Benzor:</t>
        </r>
        <r>
          <rPr>
            <sz val="9"/>
            <color indexed="81"/>
            <rFont val="Segoe UI"/>
            <charset val="1"/>
          </rPr>
          <t xml:space="preserve">
12t ou 150mm</t>
        </r>
      </text>
    </comment>
    <comment ref="U4" authorId="0" shapeId="0" xr:uid="{42CE7A5D-6E87-40F1-A15B-C38F32BDF4C1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U5" authorId="0" shapeId="0" xr:uid="{ADA01A7B-F053-4B57-B3EF-0961CA248EF7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U6" authorId="0" shapeId="0" xr:uid="{230C4582-4803-4693-8862-2E48989D52F3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AA6" authorId="0" shapeId="0" xr:uid="{1AEBFB60-00F6-4769-9DDE-E1B7FD27B130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Bruta</t>
        </r>
      </text>
    </comment>
    <comment ref="U7" authorId="0" shapeId="0" xr:uid="{C8099BDE-FB34-4B33-BDDF-8A2717FAD80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AA7" authorId="0" shapeId="0" xr:uid="{7508C375-B3B5-4486-904B-966ED58968E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Liquida</t>
        </r>
      </text>
    </comment>
    <comment ref="U8" authorId="0" shapeId="0" xr:uid="{CFA41DA2-8A66-44AF-9F5D-E3832C0DDA8D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 bordas externa horizontal direita</t>
        </r>
      </text>
    </comment>
    <comment ref="AA8" authorId="0" shapeId="0" xr:uid="{2D18CC29-D569-499A-B70B-A477C0FEE089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tracionada</t>
        </r>
      </text>
    </comment>
    <comment ref="U9" authorId="0" shapeId="0" xr:uid="{49EB8F98-E3B4-4E21-8527-B68C1341DD8A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chapa</t>
        </r>
      </text>
    </comment>
    <comment ref="U10" authorId="0" shapeId="0" xr:uid="{517DF76B-782C-46E3-9319-671FBAF8DC2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cantoneira</t>
        </r>
      </text>
    </comment>
    <comment ref="U11" authorId="0" shapeId="0" xr:uid="{ED80B6B8-742C-44A4-8D57-8844663989B1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Centro de gravidade cantoneira
</t>
        </r>
      </text>
    </comment>
    <comment ref="U12" authorId="0" shapeId="0" xr:uid="{94E52657-4C96-4474-A972-E8A7C4328BC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Distancia entre centro do furo da cantoneira e borda inferior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U2" authorId="0" shapeId="0" xr:uid="{56DC5160-D4B8-4F45-873C-EE561725F0F7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Diametro nominal do parafuso
</t>
        </r>
      </text>
    </comment>
    <comment ref="U3" authorId="0" shapeId="0" xr:uid="{6990DB95-8283-4B5D-B0E8-ABA5707F38E2}">
      <text>
        <r>
          <rPr>
            <b/>
            <sz val="9"/>
            <color indexed="81"/>
            <rFont val="Segoe UI"/>
            <family val="2"/>
          </rPr>
          <t>Benzor</t>
        </r>
        <r>
          <rPr>
            <sz val="9"/>
            <color indexed="81"/>
            <rFont val="Segoe UI"/>
            <family val="2"/>
          </rPr>
          <t xml:space="preserve">:Borda externa esquerda
</t>
        </r>
      </text>
    </comment>
    <comment ref="X3" authorId="0" shapeId="0" xr:uid="{7F0E4F89-E8DC-4976-A87A-45D9AEB10DEB}">
      <text>
        <r>
          <rPr>
            <b/>
            <sz val="9"/>
            <color indexed="81"/>
            <rFont val="Segoe UI"/>
            <charset val="1"/>
          </rPr>
          <t>Benzor:</t>
        </r>
        <r>
          <rPr>
            <sz val="9"/>
            <color indexed="81"/>
            <rFont val="Segoe UI"/>
            <charset val="1"/>
          </rPr>
          <t xml:space="preserve">
12t ou 150mm</t>
        </r>
      </text>
    </comment>
    <comment ref="U4" authorId="0" shapeId="0" xr:uid="{9D31CBB1-49E9-44C7-8004-0921C493E6CB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U5" authorId="0" shapeId="0" xr:uid="{DDEEE6D7-0AF5-4B8E-9872-B14C08683EE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U6" authorId="0" shapeId="0" xr:uid="{15699695-7345-4320-BD91-ABD9D8A421CB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Altura do perfil U</t>
        </r>
      </text>
    </comment>
    <comment ref="AA6" authorId="0" shapeId="0" xr:uid="{8A90FEB4-55A1-4DFA-9C70-B960F863348E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Bruta</t>
        </r>
      </text>
    </comment>
    <comment ref="U7" authorId="0" shapeId="0" xr:uid="{646007D0-759E-4BA9-AB91-BB6D095A310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AA7" authorId="0" shapeId="0" xr:uid="{BFD19E0D-30CA-4331-B865-C5D7A185718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Liquida</t>
        </r>
      </text>
    </comment>
    <comment ref="U8" authorId="0" shapeId="0" xr:uid="{8AE22CBF-A729-43F0-BE3A-4E296D72E6CB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 bordas externa horizontal direita</t>
        </r>
      </text>
    </comment>
    <comment ref="AA8" authorId="0" shapeId="0" xr:uid="{60E7BEAA-8C23-490F-8DF1-3B18AB888E7B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tracionada</t>
        </r>
      </text>
    </comment>
    <comment ref="U9" authorId="0" shapeId="0" xr:uid="{A53C5735-4609-43A6-9CE7-52AC2A0E309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chapa GUSSET</t>
        </r>
      </text>
    </comment>
    <comment ref="U10" authorId="0" shapeId="0" xr:uid="{000654D6-2102-40DB-B37E-83B48B1041C0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Do perfil U</t>
        </r>
      </text>
    </comment>
    <comment ref="U11" authorId="0" shapeId="0" xr:uid="{3CDF2706-3A46-417E-8C94-B9264D76ED6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Centro de gravidade cantoneira
</t>
        </r>
      </text>
    </comment>
    <comment ref="U12" authorId="0" shapeId="0" xr:uid="{B14249A7-1CBA-47B9-89BD-55E78E2D5EE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Distancia entre centro do furo da cantoneira e borda inferior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T2" authorId="0" shapeId="0" xr:uid="{DA7DD6B0-A83C-4B85-ABA4-F85A187EFA5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Diametro nominal do parafuso
</t>
        </r>
      </text>
    </comment>
    <comment ref="T3" authorId="0" shapeId="0" xr:uid="{A4A4D084-4A03-487D-B2D2-D4021F4A732F}">
      <text>
        <r>
          <rPr>
            <b/>
            <sz val="9"/>
            <color indexed="81"/>
            <rFont val="Segoe UI"/>
            <family val="2"/>
          </rPr>
          <t>Benzor</t>
        </r>
        <r>
          <rPr>
            <sz val="9"/>
            <color indexed="81"/>
            <rFont val="Segoe UI"/>
            <family val="2"/>
          </rPr>
          <t xml:space="preserve">:Borda externa esquerda
</t>
        </r>
      </text>
    </comment>
    <comment ref="X3" authorId="0" shapeId="0" xr:uid="{108B3D75-870E-47FA-9788-0B1DD0D001CD}">
      <text>
        <r>
          <rPr>
            <b/>
            <sz val="9"/>
            <color indexed="81"/>
            <rFont val="Segoe UI"/>
            <charset val="1"/>
          </rPr>
          <t>Benzor:</t>
        </r>
        <r>
          <rPr>
            <sz val="9"/>
            <color indexed="81"/>
            <rFont val="Segoe UI"/>
            <charset val="1"/>
          </rPr>
          <t xml:space="preserve">
12t ou 150mm</t>
        </r>
      </text>
    </comment>
    <comment ref="T4" authorId="0" shapeId="0" xr:uid="{7D1889E2-B35D-4410-9C06-92EC5C01BB60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T5" authorId="0" shapeId="0" xr:uid="{839C62FB-4B84-4508-8BFB-15E718707E89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T6" authorId="0" shapeId="0" xr:uid="{B7553614-3DB3-43EC-A37A-1A17AFA70B5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Altura do perfil U</t>
        </r>
      </text>
    </comment>
    <comment ref="T7" authorId="0" shapeId="0" xr:uid="{41F3C610-BB70-4039-8479-825A0694642F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Distância entre furos internos</t>
        </r>
      </text>
    </comment>
    <comment ref="T8" authorId="0" shapeId="0" xr:uid="{C55A22A8-0EB4-403C-AF88-75C8AB6D7E60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>Distância  bordas externa horizontal direita</t>
        </r>
      </text>
    </comment>
    <comment ref="T9" authorId="0" shapeId="0" xr:uid="{869F9AD1-1129-42AE-8309-DE339B25DDC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da chapa GUSSET</t>
        </r>
      </text>
    </comment>
    <comment ref="T10" authorId="0" shapeId="0" xr:uid="{CE20FF25-A610-42C0-AFDF-22E603028C25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Espessura Do perfil U</t>
        </r>
      </text>
    </comment>
    <comment ref="T11" authorId="0" shapeId="0" xr:uid="{5D562ABD-492B-4567-8F4E-8730FCCD4C84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Centro de gravidade cantoneira
</t>
        </r>
      </text>
    </comment>
    <comment ref="T12" authorId="0" shapeId="0" xr:uid="{5AC52234-BBC3-4D83-BAEA-D385B74187C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Distancia entre centro do furo da cantoneira e borda inferior
</t>
        </r>
      </text>
    </comment>
    <comment ref="T23" authorId="0" shapeId="0" xr:uid="{9371262F-72A6-4184-8D6F-90F12E0359AD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Bruta</t>
        </r>
      </text>
    </comment>
    <comment ref="T24" authorId="0" shapeId="0" xr:uid="{1E515602-AD2F-49BE-B7B5-9A53FA0C9546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cisalhada Liquida</t>
        </r>
      </text>
    </comment>
    <comment ref="T25" authorId="0" shapeId="0" xr:uid="{0DAF15CC-72FD-4422-847E-00BB0510F213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>Área tracionada</t>
        </r>
      </text>
    </comment>
    <comment ref="T28" authorId="0" shapeId="0" xr:uid="{2A6B7149-8C53-44C1-B1FB-BC7A168C603B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Carga de Protensão
</t>
        </r>
      </text>
    </comment>
    <comment ref="T29" authorId="0" shapeId="0" xr:uid="{25D1482C-ED90-4564-A4D7-52AE050F2A1C}">
      <text>
        <r>
          <rPr>
            <b/>
            <sz val="9"/>
            <color indexed="81"/>
            <rFont val="Segoe UI"/>
            <family val="2"/>
          </rPr>
          <t>Benzor:</t>
        </r>
        <r>
          <rPr>
            <sz val="9"/>
            <color indexed="81"/>
            <rFont val="Segoe UI"/>
            <family val="2"/>
          </rPr>
          <t xml:space="preserve"> Carga de tração no parafuso - se existir
</t>
        </r>
      </text>
    </comment>
    <comment ref="T30" authorId="0" shapeId="0" xr:uid="{ED9CD77E-D5E0-4038-AD42-9F21D3942E6C}">
      <text>
        <r>
          <rPr>
            <b/>
            <sz val="9"/>
            <color indexed="81"/>
            <rFont val="Segoe UI"/>
            <family val="2"/>
          </rPr>
          <t xml:space="preserve">Benzor: </t>
        </r>
        <r>
          <rPr>
            <sz val="9"/>
            <color indexed="81"/>
            <rFont val="Segoe UI"/>
            <family val="2"/>
          </rPr>
          <t xml:space="preserve">Numero de faces de corte
</t>
        </r>
      </text>
    </comment>
  </commentList>
</comments>
</file>

<file path=xl/sharedStrings.xml><?xml version="1.0" encoding="utf-8"?>
<sst xmlns="http://schemas.openxmlformats.org/spreadsheetml/2006/main" count="563" uniqueCount="166">
  <si>
    <t>M1</t>
  </si>
  <si>
    <t>M2</t>
  </si>
  <si>
    <t>M3</t>
  </si>
  <si>
    <t>M4</t>
  </si>
  <si>
    <t>M5</t>
  </si>
  <si>
    <t>M6</t>
  </si>
  <si>
    <t>M7</t>
  </si>
  <si>
    <t>M8</t>
  </si>
  <si>
    <t>mm</t>
  </si>
  <si>
    <t>Diâmetro</t>
  </si>
  <si>
    <t>1/2"</t>
  </si>
  <si>
    <t>5/8"</t>
  </si>
  <si>
    <t>3/4"</t>
  </si>
  <si>
    <t>7/8"</t>
  </si>
  <si>
    <t>1"</t>
  </si>
  <si>
    <t>1 1/8"</t>
  </si>
  <si>
    <t>1 1/4"</t>
  </si>
  <si>
    <t>16mm</t>
  </si>
  <si>
    <t>Borda cortada com serra ou tesoura</t>
  </si>
  <si>
    <t>Borda laminada ou cortada no maçarico</t>
  </si>
  <si>
    <t>Tipo de Furo</t>
  </si>
  <si>
    <t>Material Parafuso</t>
  </si>
  <si>
    <t>Especificação</t>
  </si>
  <si>
    <t>ASTM A 307</t>
  </si>
  <si>
    <t>-</t>
  </si>
  <si>
    <t>Fyb</t>
  </si>
  <si>
    <t>Fub</t>
  </si>
  <si>
    <t>Diametro db</t>
  </si>
  <si>
    <t>1/2 a 4"</t>
  </si>
  <si>
    <t>12 A 36</t>
  </si>
  <si>
    <t>ISO 898-1 CLASSE 4.6</t>
  </si>
  <si>
    <t>16 A 24</t>
  </si>
  <si>
    <t>1/2" A 1"</t>
  </si>
  <si>
    <t>ASTM A325 (1)</t>
  </si>
  <si>
    <t>ASTM A325 (2)</t>
  </si>
  <si>
    <t>24 a 36</t>
  </si>
  <si>
    <t>1" a 1" 1/2</t>
  </si>
  <si>
    <t>ISO 4016 CLASSE 8.8</t>
  </si>
  <si>
    <t>ASTM A 490</t>
  </si>
  <si>
    <t>16 A 36</t>
  </si>
  <si>
    <t>1/2" A 1" 1/2</t>
  </si>
  <si>
    <t>Fy</t>
  </si>
  <si>
    <t>MPa</t>
  </si>
  <si>
    <t>Combinação</t>
  </si>
  <si>
    <t>Normal</t>
  </si>
  <si>
    <t>Ya1</t>
  </si>
  <si>
    <t>Ya2</t>
  </si>
  <si>
    <t>Especiais ou de construção</t>
  </si>
  <si>
    <t>Excepcionais</t>
  </si>
  <si>
    <t>Coeficiente Ya2</t>
  </si>
  <si>
    <t>KN</t>
  </si>
  <si>
    <t>d'</t>
  </si>
  <si>
    <t>d</t>
  </si>
  <si>
    <t>Tipo de esforço</t>
  </si>
  <si>
    <t>Forças de serviço é uma limitação de projeto</t>
  </si>
  <si>
    <t>Forças de serviço NÃO é uma limitação de projeto</t>
  </si>
  <si>
    <t>Tipo de furo</t>
  </si>
  <si>
    <t>Furo Padrão</t>
  </si>
  <si>
    <t>Furo alargado</t>
  </si>
  <si>
    <t>Furo pouco alongado</t>
  </si>
  <si>
    <t>Furo muito alongado</t>
  </si>
  <si>
    <t>X</t>
  </si>
  <si>
    <t>Furos muito alongados na direção perpendicular à da força</t>
  </si>
  <si>
    <t>Tensões de Materiais</t>
  </si>
  <si>
    <t>MR 250</t>
  </si>
  <si>
    <t>AR 350</t>
  </si>
  <si>
    <t>AR 350 COR</t>
  </si>
  <si>
    <t>AR 415</t>
  </si>
  <si>
    <t>Fu</t>
  </si>
  <si>
    <t>M9</t>
  </si>
  <si>
    <t>Material da chapa</t>
  </si>
  <si>
    <t>Resistência a tração na seção bruta</t>
  </si>
  <si>
    <t>Resistência a tração na seção liquida</t>
  </si>
  <si>
    <t>d''</t>
  </si>
  <si>
    <t>Resistência de pressão de apoio e rasgamento da chapa entre furos externos individual</t>
  </si>
  <si>
    <t>Resistência de pressão de apoio e rasgamento da chapa entre furos internos individual</t>
  </si>
  <si>
    <t>M10</t>
  </si>
  <si>
    <t>F1sd</t>
  </si>
  <si>
    <t>Diametro do furo calculado em mm</t>
  </si>
  <si>
    <t>20mm</t>
  </si>
  <si>
    <t>22mm</t>
  </si>
  <si>
    <t>24mm</t>
  </si>
  <si>
    <t>27mm</t>
  </si>
  <si>
    <t>30mm</t>
  </si>
  <si>
    <t>36mm</t>
  </si>
  <si>
    <t>Escolha o parafuso</t>
  </si>
  <si>
    <t>Escolha M2</t>
  </si>
  <si>
    <t>Escolha M4</t>
  </si>
  <si>
    <t>Taxa de aproveitamento da resistencia</t>
  </si>
  <si>
    <t>Status de aprovação da a ligação</t>
  </si>
  <si>
    <t>Tipos de Borda</t>
  </si>
  <si>
    <t>Tipo de borda</t>
  </si>
  <si>
    <t>Ligação pintada?</t>
  </si>
  <si>
    <t>Pintura</t>
  </si>
  <si>
    <t>Não</t>
  </si>
  <si>
    <t>Sim</t>
  </si>
  <si>
    <t>Escolha M9</t>
  </si>
  <si>
    <t>Escolha M10</t>
  </si>
  <si>
    <t>Resistência total ao corte duplo dos parafusos</t>
  </si>
  <si>
    <t>Resistência do bloco de Cisalhamento chapa principal'</t>
  </si>
  <si>
    <t>Resistência do bloco de Cisalhamento chapa principal''</t>
  </si>
  <si>
    <t>Resistência de pressão de apoio e rasgamento interno da cobre juntas</t>
  </si>
  <si>
    <t>Resistência de pressão de apoio e rasgamento externo da cobre juntas</t>
  </si>
  <si>
    <t>Resistência total da cobre junta</t>
  </si>
  <si>
    <t>F2sd</t>
  </si>
  <si>
    <t>a - entre bordas chapa central</t>
  </si>
  <si>
    <t>a - borda externa chapa central</t>
  </si>
  <si>
    <t>a - borda externa cobre juntas</t>
  </si>
  <si>
    <t>a - entre bordas cobre juntas</t>
  </si>
  <si>
    <t>Resistência total da chapa central</t>
  </si>
  <si>
    <t>Esforço máximo e tipo de falha limitadora</t>
  </si>
  <si>
    <t>Defina F corrigido por Ya2</t>
  </si>
  <si>
    <t>Coeficiente Ya1</t>
  </si>
  <si>
    <t>Área</t>
  </si>
  <si>
    <t>cm²</t>
  </si>
  <si>
    <t>M0</t>
  </si>
  <si>
    <t>Tipo de cantoneira</t>
  </si>
  <si>
    <t>Agv</t>
  </si>
  <si>
    <t>Anv</t>
  </si>
  <si>
    <t>Ant</t>
  </si>
  <si>
    <t>Resistência de pressão de apoio e rasgamento externo da chapa central</t>
  </si>
  <si>
    <t>Resistência de pressão de apoio e rasgamento da cantoneira entre furos externos individual</t>
  </si>
  <si>
    <t>Resistência de pressão de apoio e rasgamento da cantoneira entre furos internos individual</t>
  </si>
  <si>
    <t>Escolha M8</t>
  </si>
  <si>
    <t>Escolha M7</t>
  </si>
  <si>
    <t>a - borda externa cantoneiras</t>
  </si>
  <si>
    <t>a - entre bordas cantoneiras</t>
  </si>
  <si>
    <t>M11</t>
  </si>
  <si>
    <t>Escolha M11</t>
  </si>
  <si>
    <t>Resistência de pressão de apoio e rasgamento  interno da chapa central</t>
  </si>
  <si>
    <t>M12</t>
  </si>
  <si>
    <t>a - borda externa perfil U</t>
  </si>
  <si>
    <t>a - entre bordas interna perfil U</t>
  </si>
  <si>
    <t>a - borda externa chapa gusset</t>
  </si>
  <si>
    <t>a - entre bordas chapa gusset</t>
  </si>
  <si>
    <t>Resistência total da chapa gusset</t>
  </si>
  <si>
    <t>Resistência total da cantoneira</t>
  </si>
  <si>
    <t>Resistência de pressão de apoio e rasgamento do perfil U externos individual</t>
  </si>
  <si>
    <t>Resistência de pressão de apoio e rasgamento do perfil U entre furos internos individual</t>
  </si>
  <si>
    <t>Resistência de pressão de apoio e rasgamento externo da chapa gusset</t>
  </si>
  <si>
    <t>Resistência de pressão de apoio e rasgamento  interno da chapa gusset</t>
  </si>
  <si>
    <t>Resistência total do perfil U</t>
  </si>
  <si>
    <t>Escolha M12</t>
  </si>
  <si>
    <t>Escolha M6</t>
  </si>
  <si>
    <t>Perfil U</t>
  </si>
  <si>
    <t>Defina F corrigido por Ya2 - ELU</t>
  </si>
  <si>
    <t>FTB ASTM A325</t>
  </si>
  <si>
    <t>FTB ASTM A490</t>
  </si>
  <si>
    <t>1 1/2"</t>
  </si>
  <si>
    <t>Ch</t>
  </si>
  <si>
    <t>Tipo de Superficie</t>
  </si>
  <si>
    <t>Superficie Laminada, limpa e isenta de óleo e graxa e sem pinturas</t>
  </si>
  <si>
    <t>Superficies jateadas sem pintura</t>
  </si>
  <si>
    <t>Galvanizadas a quente</t>
  </si>
  <si>
    <t>Mi</t>
  </si>
  <si>
    <t>Ftb</t>
  </si>
  <si>
    <t>Fts</t>
  </si>
  <si>
    <t>Ftsd</t>
  </si>
  <si>
    <t>Defina F - ELS - raro de serviço</t>
  </si>
  <si>
    <t>Ns</t>
  </si>
  <si>
    <t>Ye</t>
  </si>
  <si>
    <t>Carga de resitencia por atrito (Necessário usar parafuso de Alta resistencia) / Unidade</t>
  </si>
  <si>
    <t>Carga de resitencia por atrito (Necessário usar parafuso de Alta resistencia) / Total</t>
  </si>
  <si>
    <t>ISO 4016 CLASSE 10.9</t>
  </si>
  <si>
    <t>Deseja usar ligação por atrito?</t>
  </si>
  <si>
    <t>Defina F - ELU - raro de 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</si>
</sst>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 tint="0.249977111117893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theme="2" tint="-0.89999084444715716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180">
        <stop position="0">
          <color rgb="FF7030A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gradientFill degree="180">
        <stop position="0">
          <color theme="1" tint="0.25098422193060094"/>
        </stop>
        <stop position="1">
          <color rgb="FF0BB533"/>
        </stop>
      </gradientFill>
    </fill>
    <fill>
      <patternFill patternType="solid">
        <fgColor rgb="FF00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auto="1"/>
      </patternFill>
    </fill>
    <fill>
      <patternFill patternType="solid">
        <fgColor rgb="FF6699FF"/>
        <bgColor auto="1"/>
      </patternFill>
    </fill>
    <fill>
      <patternFill patternType="solid">
        <fgColor rgb="FF0BB533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rgb="FF7030A0"/>
        <bgColor auto="1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2" fontId="0" fillId="0" borderId="0" xfId="0" applyNumberFormat="1"/>
    <xf numFmtId="0" fontId="2" fillId="6" borderId="1" xfId="0" applyFont="1" applyFill="1" applyBorder="1"/>
    <xf numFmtId="2" fontId="0" fillId="0" borderId="5" xfId="0" applyNumberFormat="1" applyBorder="1" applyAlignment="1">
      <alignment horizontal="center"/>
    </xf>
    <xf numFmtId="2" fontId="0" fillId="0" borderId="5" xfId="0" applyNumberFormat="1" applyBorder="1" applyAlignment="1"/>
    <xf numFmtId="2" fontId="0" fillId="0" borderId="7" xfId="0" applyNumberFormat="1" applyBorder="1" applyAlignment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6" borderId="13" xfId="0" applyFont="1" applyFill="1" applyBorder="1"/>
    <xf numFmtId="0" fontId="4" fillId="8" borderId="1" xfId="0" applyFont="1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1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10" fillId="5" borderId="1" xfId="0" applyFont="1" applyFill="1" applyBorder="1"/>
    <xf numFmtId="0" fontId="2" fillId="7" borderId="1" xfId="0" applyFont="1" applyFill="1" applyBorder="1"/>
    <xf numFmtId="2" fontId="0" fillId="4" borderId="10" xfId="0" applyNumberFormat="1" applyFill="1" applyBorder="1"/>
    <xf numFmtId="0" fontId="0" fillId="0" borderId="10" xfId="0" applyBorder="1"/>
    <xf numFmtId="0" fontId="0" fillId="0" borderId="0" xfId="0"/>
    <xf numFmtId="1" fontId="2" fillId="0" borderId="0" xfId="0" applyNumberFormat="1" applyFont="1" applyAlignment="1"/>
    <xf numFmtId="2" fontId="2" fillId="0" borderId="0" xfId="1" applyNumberFormat="1" applyFont="1" applyAlignment="1">
      <alignment horizontal="center"/>
    </xf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18" borderId="10" xfId="0" applyFill="1" applyBorder="1"/>
    <xf numFmtId="0" fontId="0" fillId="18" borderId="1" xfId="0" applyFill="1" applyBorder="1"/>
    <xf numFmtId="2" fontId="0" fillId="0" borderId="0" xfId="0" applyNumberFormat="1" applyAlignment="1">
      <alignment horizontal="center"/>
    </xf>
    <xf numFmtId="0" fontId="0" fillId="0" borderId="0" xfId="0" applyFill="1" applyBorder="1"/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1" fontId="0" fillId="19" borderId="0" xfId="0" applyNumberFormat="1" applyFill="1" applyAlignment="1">
      <alignment horizontal="center"/>
    </xf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7" fillId="5" borderId="2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wrapText="1"/>
    </xf>
    <xf numFmtId="0" fontId="0" fillId="5" borderId="1" xfId="0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1" fontId="17" fillId="0" borderId="0" xfId="0" applyNumberFormat="1" applyFont="1" applyAlignment="1"/>
    <xf numFmtId="2" fontId="17" fillId="0" borderId="0" xfId="1" applyNumberFormat="1" applyFont="1" applyAlignment="1">
      <alignment horizontal="center"/>
    </xf>
    <xf numFmtId="0" fontId="17" fillId="0" borderId="0" xfId="0" applyFont="1"/>
    <xf numFmtId="0" fontId="0" fillId="5" borderId="0" xfId="0" applyFill="1"/>
    <xf numFmtId="0" fontId="1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164" fontId="0" fillId="4" borderId="10" xfId="0" applyNumberFormat="1" applyFill="1" applyBorder="1"/>
    <xf numFmtId="0" fontId="14" fillId="5" borderId="10" xfId="0" applyFont="1" applyFill="1" applyBorder="1" applyAlignment="1">
      <alignment horizontal="left"/>
    </xf>
    <xf numFmtId="0" fontId="14" fillId="5" borderId="12" xfId="0" applyFont="1" applyFill="1" applyBorder="1" applyAlignment="1">
      <alignment horizontal="left"/>
    </xf>
    <xf numFmtId="0" fontId="14" fillId="5" borderId="11" xfId="0" applyFont="1" applyFill="1" applyBorder="1" applyAlignment="1">
      <alignment horizontal="left"/>
    </xf>
    <xf numFmtId="0" fontId="20" fillId="0" borderId="0" xfId="0" applyFont="1"/>
    <xf numFmtId="2" fontId="0" fillId="0" borderId="0" xfId="1" applyNumberFormat="1" applyFont="1"/>
    <xf numFmtId="0" fontId="0" fillId="2" borderId="0" xfId="0" applyFill="1"/>
    <xf numFmtId="0" fontId="0" fillId="2" borderId="0" xfId="0" applyFont="1" applyFill="1" applyAlignment="1"/>
    <xf numFmtId="9" fontId="2" fillId="0" borderId="0" xfId="1" applyFont="1" applyAlignment="1">
      <alignment horizontal="center"/>
    </xf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2" fillId="11" borderId="1" xfId="0" applyFont="1" applyFill="1" applyBorder="1"/>
    <xf numFmtId="0" fontId="4" fillId="7" borderId="1" xfId="0" applyFont="1" applyFill="1" applyBorder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7" fillId="5" borderId="2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2" fontId="15" fillId="10" borderId="2" xfId="0" applyNumberFormat="1" applyFont="1" applyFill="1" applyBorder="1" applyAlignment="1">
      <alignment horizontal="center" vertical="center" wrapText="1"/>
    </xf>
    <xf numFmtId="2" fontId="15" fillId="10" borderId="3" xfId="0" applyNumberFormat="1" applyFont="1" applyFill="1" applyBorder="1" applyAlignment="1">
      <alignment horizontal="center" vertical="center" wrapText="1"/>
    </xf>
    <xf numFmtId="2" fontId="15" fillId="10" borderId="4" xfId="0" applyNumberFormat="1" applyFont="1" applyFill="1" applyBorder="1" applyAlignment="1">
      <alignment horizontal="center" vertical="center" wrapText="1"/>
    </xf>
    <xf numFmtId="2" fontId="15" fillId="10" borderId="5" xfId="0" applyNumberFormat="1" applyFont="1" applyFill="1" applyBorder="1" applyAlignment="1">
      <alignment horizontal="center" vertical="center" wrapText="1"/>
    </xf>
    <xf numFmtId="2" fontId="15" fillId="10" borderId="0" xfId="0" applyNumberFormat="1" applyFont="1" applyFill="1" applyBorder="1" applyAlignment="1">
      <alignment horizontal="center" vertical="center" wrapText="1"/>
    </xf>
    <xf numFmtId="2" fontId="15" fillId="10" borderId="6" xfId="0" applyNumberFormat="1" applyFont="1" applyFill="1" applyBorder="1" applyAlignment="1">
      <alignment horizontal="center" vertical="center" wrapText="1"/>
    </xf>
    <xf numFmtId="2" fontId="15" fillId="10" borderId="7" xfId="0" applyNumberFormat="1" applyFont="1" applyFill="1" applyBorder="1" applyAlignment="1">
      <alignment horizontal="center" vertical="center" wrapText="1"/>
    </xf>
    <xf numFmtId="2" fontId="15" fillId="10" borderId="8" xfId="0" applyNumberFormat="1" applyFont="1" applyFill="1" applyBorder="1" applyAlignment="1">
      <alignment horizontal="center" vertical="center" wrapText="1"/>
    </xf>
    <xf numFmtId="2" fontId="15" fillId="10" borderId="9" xfId="0" applyNumberFormat="1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1" xfId="0" applyFill="1" applyBorder="1"/>
    <xf numFmtId="9" fontId="0" fillId="0" borderId="3" xfId="1" applyFont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12" xfId="0" applyNumberFormat="1" applyFont="1" applyFill="1" applyBorder="1" applyAlignment="1">
      <alignment horizontal="center" vertical="center"/>
    </xf>
    <xf numFmtId="2" fontId="8" fillId="6" borderId="11" xfId="0" applyNumberFormat="1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/>
    </xf>
    <xf numFmtId="0" fontId="9" fillId="14" borderId="10" xfId="0" applyFont="1" applyFill="1" applyBorder="1" applyAlignment="1">
      <alignment horizontal="left"/>
    </xf>
    <xf numFmtId="0" fontId="9" fillId="14" borderId="12" xfId="0" applyFont="1" applyFill="1" applyBorder="1" applyAlignment="1">
      <alignment horizontal="left"/>
    </xf>
    <xf numFmtId="0" fontId="9" fillId="14" borderId="11" xfId="0" applyFont="1" applyFill="1" applyBorder="1" applyAlignment="1">
      <alignment horizontal="left"/>
    </xf>
    <xf numFmtId="0" fontId="9" fillId="13" borderId="10" xfId="0" applyFont="1" applyFill="1" applyBorder="1" applyAlignment="1">
      <alignment horizontal="left"/>
    </xf>
    <xf numFmtId="0" fontId="9" fillId="13" borderId="12" xfId="0" applyFont="1" applyFill="1" applyBorder="1" applyAlignment="1">
      <alignment horizontal="left"/>
    </xf>
    <xf numFmtId="0" fontId="9" fillId="13" borderId="1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9" fillId="15" borderId="10" xfId="0" applyFont="1" applyFill="1" applyBorder="1" applyAlignment="1">
      <alignment horizontal="left"/>
    </xf>
    <xf numFmtId="0" fontId="9" fillId="15" borderId="12" xfId="0" applyFont="1" applyFill="1" applyBorder="1" applyAlignment="1">
      <alignment horizontal="left"/>
    </xf>
    <xf numFmtId="0" fontId="9" fillId="15" borderId="11" xfId="0" applyFont="1" applyFill="1" applyBorder="1" applyAlignment="1">
      <alignment horizontal="left"/>
    </xf>
    <xf numFmtId="0" fontId="9" fillId="16" borderId="10" xfId="0" applyFont="1" applyFill="1" applyBorder="1" applyAlignment="1">
      <alignment horizontal="left"/>
    </xf>
    <xf numFmtId="0" fontId="9" fillId="16" borderId="12" xfId="0" applyFont="1" applyFill="1" applyBorder="1" applyAlignment="1">
      <alignment horizontal="left"/>
    </xf>
    <xf numFmtId="0" fontId="9" fillId="16" borderId="11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left"/>
    </xf>
    <xf numFmtId="0" fontId="9" fillId="12" borderId="12" xfId="0" applyFont="1" applyFill="1" applyBorder="1" applyAlignment="1">
      <alignment horizontal="left"/>
    </xf>
    <xf numFmtId="0" fontId="9" fillId="12" borderId="11" xfId="0" applyFont="1" applyFill="1" applyBorder="1" applyAlignment="1">
      <alignment horizontal="left"/>
    </xf>
    <xf numFmtId="0" fontId="16" fillId="17" borderId="10" xfId="0" applyFont="1" applyFill="1" applyBorder="1" applyAlignment="1">
      <alignment horizontal="left"/>
    </xf>
    <xf numFmtId="0" fontId="16" fillId="17" borderId="12" xfId="0" applyFont="1" applyFill="1" applyBorder="1" applyAlignment="1">
      <alignment horizontal="left"/>
    </xf>
    <xf numFmtId="0" fontId="16" fillId="17" borderId="11" xfId="0" applyFont="1" applyFill="1" applyBorder="1" applyAlignment="1">
      <alignment horizontal="left"/>
    </xf>
    <xf numFmtId="0" fontId="9" fillId="12" borderId="1" xfId="0" applyFont="1" applyFill="1" applyBorder="1" applyAlignment="1">
      <alignment horizontal="left"/>
    </xf>
    <xf numFmtId="0" fontId="0" fillId="18" borderId="10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2" fillId="11" borderId="10" xfId="0" applyFont="1" applyFill="1" applyBorder="1"/>
    <xf numFmtId="0" fontId="2" fillId="11" borderId="12" xfId="0" applyFont="1" applyFill="1" applyBorder="1"/>
    <xf numFmtId="0" fontId="2" fillId="11" borderId="11" xfId="0" applyFont="1" applyFill="1" applyBorder="1"/>
    <xf numFmtId="0" fontId="14" fillId="5" borderId="10" xfId="0" applyFont="1" applyFill="1" applyBorder="1" applyAlignment="1">
      <alignment horizontal="center" wrapText="1"/>
    </xf>
    <xf numFmtId="0" fontId="14" fillId="5" borderId="12" xfId="0" applyFont="1" applyFill="1" applyBorder="1" applyAlignment="1">
      <alignment horizontal="center" wrapText="1"/>
    </xf>
    <xf numFmtId="0" fontId="14" fillId="5" borderId="1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21" fillId="7" borderId="0" xfId="0" applyFont="1" applyFill="1" applyBorder="1"/>
    <xf numFmtId="0" fontId="21" fillId="7" borderId="6" xfId="0" applyFont="1" applyFill="1" applyBorder="1"/>
    <xf numFmtId="9" fontId="2" fillId="0" borderId="6" xfId="1" applyFont="1" applyBorder="1" applyAlignment="1">
      <alignment horizontal="center" vertical="center"/>
    </xf>
    <xf numFmtId="0" fontId="13" fillId="20" borderId="10" xfId="0" applyFont="1" applyFill="1" applyBorder="1" applyAlignment="1">
      <alignment horizontal="left"/>
    </xf>
    <xf numFmtId="0" fontId="13" fillId="20" borderId="12" xfId="0" applyFont="1" applyFill="1" applyBorder="1" applyAlignment="1">
      <alignment horizontal="left"/>
    </xf>
    <xf numFmtId="0" fontId="13" fillId="20" borderId="11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6" xfId="0" applyFont="1" applyFill="1" applyBorder="1"/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38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  <color rgb="FF0BB533"/>
      <color rgb="FF0000FF"/>
      <color rgb="FFFF33CC"/>
      <color rgb="FFFF00FF"/>
      <color rgb="FF6699FF"/>
      <color rgb="FFFF66FF"/>
      <color rgb="FFCC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</xdr:colOff>
      <xdr:row>1</xdr:row>
      <xdr:rowOff>41412</xdr:rowOff>
    </xdr:from>
    <xdr:to>
      <xdr:col>15</xdr:col>
      <xdr:colOff>6568</xdr:colOff>
      <xdr:row>35</xdr:row>
      <xdr:rowOff>173934</xdr:rowOff>
    </xdr:to>
    <xdr:pic>
      <xdr:nvPicPr>
        <xdr:cNvPr id="245" name="Imagem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"/>
        <a:stretch/>
      </xdr:blipFill>
      <xdr:spPr>
        <a:xfrm>
          <a:off x="1222136" y="231912"/>
          <a:ext cx="7948139" cy="6655505"/>
        </a:xfrm>
        <a:prstGeom prst="rect">
          <a:avLst/>
        </a:prstGeom>
      </xdr:spPr>
    </xdr:pic>
    <xdr:clientData/>
  </xdr:twoCellAnchor>
  <xdr:twoCellAnchor>
    <xdr:from>
      <xdr:col>6</xdr:col>
      <xdr:colOff>17547</xdr:colOff>
      <xdr:row>6</xdr:row>
      <xdr:rowOff>90014</xdr:rowOff>
    </xdr:from>
    <xdr:to>
      <xdr:col>10</xdr:col>
      <xdr:colOff>576794</xdr:colOff>
      <xdr:row>15</xdr:row>
      <xdr:rowOff>73300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113547" y="1042514"/>
          <a:ext cx="2997647" cy="1697786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235516</xdr:colOff>
      <xdr:row>7</xdr:row>
      <xdr:rowOff>84367</xdr:rowOff>
    </xdr:from>
    <xdr:to>
      <xdr:col>6</xdr:col>
      <xdr:colOff>529301</xdr:colOff>
      <xdr:row>8</xdr:row>
      <xdr:rowOff>179617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331516" y="1227367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237357</xdr:colOff>
      <xdr:row>10</xdr:row>
      <xdr:rowOff>30528</xdr:rowOff>
    </xdr:from>
    <xdr:to>
      <xdr:col>6</xdr:col>
      <xdr:colOff>531142</xdr:colOff>
      <xdr:row>11</xdr:row>
      <xdr:rowOff>125778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33357" y="1745028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240156</xdr:colOff>
      <xdr:row>12</xdr:row>
      <xdr:rowOff>169147</xdr:rowOff>
    </xdr:from>
    <xdr:to>
      <xdr:col>6</xdr:col>
      <xdr:colOff>533941</xdr:colOff>
      <xdr:row>14</xdr:row>
      <xdr:rowOff>73897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36156" y="2264647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264417</xdr:colOff>
      <xdr:row>7</xdr:row>
      <xdr:rowOff>87456</xdr:rowOff>
    </xdr:from>
    <xdr:to>
      <xdr:col>7</xdr:col>
      <xdr:colOff>558202</xdr:colOff>
      <xdr:row>8</xdr:row>
      <xdr:rowOff>182706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970017" y="1230456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266258</xdr:colOff>
      <xdr:row>10</xdr:row>
      <xdr:rowOff>33617</xdr:rowOff>
    </xdr:from>
    <xdr:to>
      <xdr:col>7</xdr:col>
      <xdr:colOff>560043</xdr:colOff>
      <xdr:row>11</xdr:row>
      <xdr:rowOff>128867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971858" y="1748117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269056</xdr:colOff>
      <xdr:row>12</xdr:row>
      <xdr:rowOff>172236</xdr:rowOff>
    </xdr:from>
    <xdr:to>
      <xdr:col>7</xdr:col>
      <xdr:colOff>562841</xdr:colOff>
      <xdr:row>14</xdr:row>
      <xdr:rowOff>76986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974656" y="2267736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50223</xdr:colOff>
      <xdr:row>7</xdr:row>
      <xdr:rowOff>108566</xdr:rowOff>
    </xdr:from>
    <xdr:to>
      <xdr:col>9</xdr:col>
      <xdr:colOff>344008</xdr:colOff>
      <xdr:row>9</xdr:row>
      <xdr:rowOff>13316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975023" y="1251566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52063</xdr:colOff>
      <xdr:row>10</xdr:row>
      <xdr:rowOff>54727</xdr:rowOff>
    </xdr:from>
    <xdr:to>
      <xdr:col>9</xdr:col>
      <xdr:colOff>345848</xdr:colOff>
      <xdr:row>11</xdr:row>
      <xdr:rowOff>149977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976863" y="1769227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54862</xdr:colOff>
      <xdr:row>12</xdr:row>
      <xdr:rowOff>175328</xdr:rowOff>
    </xdr:from>
    <xdr:to>
      <xdr:col>9</xdr:col>
      <xdr:colOff>348647</xdr:colOff>
      <xdr:row>14</xdr:row>
      <xdr:rowOff>80078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979662" y="2270828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63759</xdr:colOff>
      <xdr:row>7</xdr:row>
      <xdr:rowOff>91059</xdr:rowOff>
    </xdr:from>
    <xdr:to>
      <xdr:col>10</xdr:col>
      <xdr:colOff>357544</xdr:colOff>
      <xdr:row>8</xdr:row>
      <xdr:rowOff>186309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598159" y="1234059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65600</xdr:colOff>
      <xdr:row>10</xdr:row>
      <xdr:rowOff>37220</xdr:rowOff>
    </xdr:from>
    <xdr:to>
      <xdr:col>10</xdr:col>
      <xdr:colOff>359385</xdr:colOff>
      <xdr:row>11</xdr:row>
      <xdr:rowOff>132470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600000" y="1751720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68399</xdr:colOff>
      <xdr:row>12</xdr:row>
      <xdr:rowOff>175839</xdr:rowOff>
    </xdr:from>
    <xdr:to>
      <xdr:col>10</xdr:col>
      <xdr:colOff>362184</xdr:colOff>
      <xdr:row>14</xdr:row>
      <xdr:rowOff>80589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602799" y="2271339"/>
          <a:ext cx="293785" cy="285750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2485</xdr:colOff>
      <xdr:row>16</xdr:row>
      <xdr:rowOff>49980</xdr:rowOff>
    </xdr:from>
    <xdr:to>
      <xdr:col>6</xdr:col>
      <xdr:colOff>370480</xdr:colOff>
      <xdr:row>16</xdr:row>
      <xdr:rowOff>49980</xdr:rowOff>
    </xdr:to>
    <xdr:cxnSp macro="">
      <xdr:nvCxnSpPr>
        <xdr:cNvPr id="43" name="Conector de Seta Reta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6098485" y="2907480"/>
          <a:ext cx="367995" cy="0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365251</xdr:colOff>
      <xdr:row>16</xdr:row>
      <xdr:rowOff>49980</xdr:rowOff>
    </xdr:from>
    <xdr:to>
      <xdr:col>7</xdr:col>
      <xdr:colOff>370700</xdr:colOff>
      <xdr:row>16</xdr:row>
      <xdr:rowOff>51294</xdr:rowOff>
    </xdr:to>
    <xdr:cxnSp macro="">
      <xdr:nvCxnSpPr>
        <xdr:cNvPr id="44" name="Conector de Seta Reta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V="1">
          <a:off x="6461251" y="2907480"/>
          <a:ext cx="615049" cy="131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353706</xdr:colOff>
      <xdr:row>16</xdr:row>
      <xdr:rowOff>50476</xdr:rowOff>
    </xdr:from>
    <xdr:to>
      <xdr:col>8</xdr:col>
      <xdr:colOff>275471</xdr:colOff>
      <xdr:row>16</xdr:row>
      <xdr:rowOff>52608</xdr:rowOff>
    </xdr:to>
    <xdr:cxnSp macro="">
      <xdr:nvCxnSpPr>
        <xdr:cNvPr id="46" name="Conector de Seta Reta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V="1">
          <a:off x="7059306" y="2907976"/>
          <a:ext cx="531365" cy="213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268560</xdr:colOff>
      <xdr:row>6</xdr:row>
      <xdr:rowOff>93608</xdr:rowOff>
    </xdr:from>
    <xdr:to>
      <xdr:col>8</xdr:col>
      <xdr:colOff>268560</xdr:colOff>
      <xdr:row>15</xdr:row>
      <xdr:rowOff>76894</xdr:rowOff>
    </xdr:to>
    <xdr:cxnSp macro="">
      <xdr:nvCxnSpPr>
        <xdr:cNvPr id="49" name="Conector ret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7583760" y="1046108"/>
          <a:ext cx="0" cy="169778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323634</xdr:colOff>
      <xdr:row>6</xdr:row>
      <xdr:rowOff>91452</xdr:rowOff>
    </xdr:from>
    <xdr:to>
      <xdr:col>8</xdr:col>
      <xdr:colOff>323634</xdr:colOff>
      <xdr:row>15</xdr:row>
      <xdr:rowOff>74738</xdr:rowOff>
    </xdr:to>
    <xdr:cxnSp macro="">
      <xdr:nvCxnSpPr>
        <xdr:cNvPr id="53" name="Conector re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7638834" y="1043952"/>
          <a:ext cx="0" cy="169778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6</xdr:row>
      <xdr:rowOff>86420</xdr:rowOff>
    </xdr:from>
    <xdr:to>
      <xdr:col>5</xdr:col>
      <xdr:colOff>464353</xdr:colOff>
      <xdr:row>15</xdr:row>
      <xdr:rowOff>97202</xdr:rowOff>
    </xdr:to>
    <xdr:cxnSp macro="">
      <xdr:nvCxnSpPr>
        <xdr:cNvPr id="55" name="Conector de Seta Reta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H="1">
          <a:off x="5943600" y="1038920"/>
          <a:ext cx="7153" cy="172528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218428</xdr:colOff>
      <xdr:row>8</xdr:row>
      <xdr:rowOff>28764</xdr:rowOff>
    </xdr:from>
    <xdr:to>
      <xdr:col>11</xdr:col>
      <xdr:colOff>225678</xdr:colOff>
      <xdr:row>10</xdr:row>
      <xdr:rowOff>185402</xdr:rowOff>
    </xdr:to>
    <xdr:cxnSp macro="">
      <xdr:nvCxnSpPr>
        <xdr:cNvPr id="62" name="Conector de Seta Reta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9362428" y="1362264"/>
          <a:ext cx="7250" cy="53763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357544</xdr:colOff>
      <xdr:row>8</xdr:row>
      <xdr:rowOff>36487</xdr:rowOff>
    </xdr:from>
    <xdr:to>
      <xdr:col>11</xdr:col>
      <xdr:colOff>228673</xdr:colOff>
      <xdr:row>8</xdr:row>
      <xdr:rowOff>43434</xdr:rowOff>
    </xdr:to>
    <xdr:cxnSp macro="">
      <xdr:nvCxnSpPr>
        <xdr:cNvPr id="66" name="Conector reto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stCxn id="29" idx="6"/>
        </xdr:cNvCxnSpPr>
      </xdr:nvCxnSpPr>
      <xdr:spPr>
        <a:xfrm flipV="1">
          <a:off x="8891944" y="1369987"/>
          <a:ext cx="480729" cy="6947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364045</xdr:colOff>
      <xdr:row>13</xdr:row>
      <xdr:rowOff>147856</xdr:rowOff>
    </xdr:from>
    <xdr:to>
      <xdr:col>11</xdr:col>
      <xdr:colOff>235174</xdr:colOff>
      <xdr:row>13</xdr:row>
      <xdr:rowOff>154803</xdr:rowOff>
    </xdr:to>
    <xdr:cxnSp macro="">
      <xdr:nvCxnSpPr>
        <xdr:cNvPr id="69" name="Conector reto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 flipV="1">
          <a:off x="8898445" y="2433856"/>
          <a:ext cx="480729" cy="6947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352381</xdr:colOff>
      <xdr:row>10</xdr:row>
      <xdr:rowOff>183025</xdr:rowOff>
    </xdr:from>
    <xdr:to>
      <xdr:col>11</xdr:col>
      <xdr:colOff>223510</xdr:colOff>
      <xdr:row>10</xdr:row>
      <xdr:rowOff>189972</xdr:rowOff>
    </xdr:to>
    <xdr:cxnSp macro="">
      <xdr:nvCxnSpPr>
        <xdr:cNvPr id="72" name="Conector reto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 flipV="1">
          <a:off x="8886781" y="1897525"/>
          <a:ext cx="480729" cy="6947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227176</xdr:colOff>
      <xdr:row>10</xdr:row>
      <xdr:rowOff>181164</xdr:rowOff>
    </xdr:from>
    <xdr:to>
      <xdr:col>11</xdr:col>
      <xdr:colOff>234426</xdr:colOff>
      <xdr:row>13</xdr:row>
      <xdr:rowOff>147302</xdr:rowOff>
    </xdr:to>
    <xdr:cxnSp macro="">
      <xdr:nvCxnSpPr>
        <xdr:cNvPr id="74" name="Conector de Seta Reta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9371176" y="1895664"/>
          <a:ext cx="7250" cy="53763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23171</xdr:colOff>
      <xdr:row>1</xdr:row>
      <xdr:rowOff>91485</xdr:rowOff>
    </xdr:from>
    <xdr:to>
      <xdr:col>12</xdr:col>
      <xdr:colOff>471170</xdr:colOff>
      <xdr:row>2</xdr:row>
      <xdr:rowOff>178075</xdr:rowOff>
    </xdr:to>
    <xdr:sp macro="" textlink="">
      <xdr:nvSpPr>
        <xdr:cNvPr id="75" name="Retângulo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9776771" y="91485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</a:t>
          </a:r>
        </a:p>
      </xdr:txBody>
    </xdr:sp>
    <xdr:clientData/>
  </xdr:twoCellAnchor>
  <xdr:twoCellAnchor>
    <xdr:from>
      <xdr:col>9</xdr:col>
      <xdr:colOff>197116</xdr:colOff>
      <xdr:row>2</xdr:row>
      <xdr:rowOff>39530</xdr:rowOff>
    </xdr:from>
    <xdr:to>
      <xdr:col>12</xdr:col>
      <xdr:colOff>23172</xdr:colOff>
      <xdr:row>7</xdr:row>
      <xdr:rowOff>108566</xdr:rowOff>
    </xdr:to>
    <xdr:cxnSp macro="">
      <xdr:nvCxnSpPr>
        <xdr:cNvPr id="77" name="Conector: Angulado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/>
          <a:stCxn id="26" idx="0"/>
          <a:endCxn id="75" idx="1"/>
        </xdr:cNvCxnSpPr>
      </xdr:nvCxnSpPr>
      <xdr:spPr>
        <a:xfrm rot="5400000" flipH="1" flipV="1">
          <a:off x="8438576" y="-86630"/>
          <a:ext cx="1021536" cy="1654856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24033</xdr:colOff>
      <xdr:row>3</xdr:row>
      <xdr:rowOff>53385</xdr:rowOff>
    </xdr:from>
    <xdr:to>
      <xdr:col>12</xdr:col>
      <xdr:colOff>472032</xdr:colOff>
      <xdr:row>4</xdr:row>
      <xdr:rowOff>139975</xdr:rowOff>
    </xdr:to>
    <xdr:sp macro="" textlink="">
      <xdr:nvSpPr>
        <xdr:cNvPr id="79" name="Retângulo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9777633" y="434385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M2</a:t>
          </a:r>
        </a:p>
      </xdr:txBody>
    </xdr:sp>
    <xdr:clientData/>
  </xdr:twoCellAnchor>
  <xdr:twoCellAnchor>
    <xdr:from>
      <xdr:col>12</xdr:col>
      <xdr:colOff>20587</xdr:colOff>
      <xdr:row>5</xdr:row>
      <xdr:rowOff>23944</xdr:rowOff>
    </xdr:from>
    <xdr:to>
      <xdr:col>12</xdr:col>
      <xdr:colOff>468586</xdr:colOff>
      <xdr:row>6</xdr:row>
      <xdr:rowOff>110534</xdr:rowOff>
    </xdr:to>
    <xdr:sp macro="" textlink="">
      <xdr:nvSpPr>
        <xdr:cNvPr id="80" name="Retângulo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9774187" y="785944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M3</a:t>
          </a:r>
        </a:p>
      </xdr:txBody>
    </xdr:sp>
    <xdr:clientData/>
  </xdr:twoCellAnchor>
  <xdr:twoCellAnchor>
    <xdr:from>
      <xdr:col>11</xdr:col>
      <xdr:colOff>345267</xdr:colOff>
      <xdr:row>4</xdr:row>
      <xdr:rowOff>1431</xdr:rowOff>
    </xdr:from>
    <xdr:to>
      <xdr:col>12</xdr:col>
      <xdr:colOff>24032</xdr:colOff>
      <xdr:row>9</xdr:row>
      <xdr:rowOff>85882</xdr:rowOff>
    </xdr:to>
    <xdr:cxnSp macro="">
      <xdr:nvCxnSpPr>
        <xdr:cNvPr id="81" name="Conector: Angulad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endCxn id="79" idx="1"/>
        </xdr:cNvCxnSpPr>
      </xdr:nvCxnSpPr>
      <xdr:spPr>
        <a:xfrm rot="5400000" flipH="1" flipV="1">
          <a:off x="9114974" y="947224"/>
          <a:ext cx="1036951" cy="288365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230480</xdr:colOff>
      <xdr:row>9</xdr:row>
      <xdr:rowOff>88428</xdr:rowOff>
    </xdr:from>
    <xdr:to>
      <xdr:col>11</xdr:col>
      <xdr:colOff>355911</xdr:colOff>
      <xdr:row>9</xdr:row>
      <xdr:rowOff>88428</xdr:rowOff>
    </xdr:to>
    <xdr:cxnSp macro="">
      <xdr:nvCxnSpPr>
        <xdr:cNvPr id="85" name="Conector reto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>
          <a:off x="9374480" y="1612428"/>
          <a:ext cx="125431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461833</xdr:colOff>
      <xdr:row>5</xdr:row>
      <xdr:rowOff>162489</xdr:rowOff>
    </xdr:from>
    <xdr:to>
      <xdr:col>12</xdr:col>
      <xdr:colOff>20588</xdr:colOff>
      <xdr:row>12</xdr:row>
      <xdr:rowOff>99634</xdr:rowOff>
    </xdr:to>
    <xdr:cxnSp macro="">
      <xdr:nvCxnSpPr>
        <xdr:cNvPr id="89" name="Conector: Angulado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endCxn id="80" idx="1"/>
        </xdr:cNvCxnSpPr>
      </xdr:nvCxnSpPr>
      <xdr:spPr>
        <a:xfrm rot="5400000" flipH="1" flipV="1">
          <a:off x="9054688" y="1475634"/>
          <a:ext cx="1270645" cy="168355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234382</xdr:colOff>
      <xdr:row>12</xdr:row>
      <xdr:rowOff>89549</xdr:rowOff>
    </xdr:from>
    <xdr:to>
      <xdr:col>11</xdr:col>
      <xdr:colOff>464616</xdr:colOff>
      <xdr:row>12</xdr:row>
      <xdr:rowOff>91229</xdr:rowOff>
    </xdr:to>
    <xdr:cxnSp macro="">
      <xdr:nvCxnSpPr>
        <xdr:cNvPr id="93" name="Conector ret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>
        <a:xfrm>
          <a:off x="9378382" y="2185049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29406</xdr:colOff>
      <xdr:row>18</xdr:row>
      <xdr:rowOff>87366</xdr:rowOff>
    </xdr:from>
    <xdr:to>
      <xdr:col>9</xdr:col>
      <xdr:colOff>477852</xdr:colOff>
      <xdr:row>19</xdr:row>
      <xdr:rowOff>173956</xdr:rowOff>
    </xdr:to>
    <xdr:sp macro="" textlink="">
      <xdr:nvSpPr>
        <xdr:cNvPr id="96" name="Retângul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7954206" y="33258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M5</a:t>
          </a:r>
        </a:p>
      </xdr:txBody>
    </xdr:sp>
    <xdr:clientData/>
  </xdr:twoCellAnchor>
  <xdr:twoCellAnchor>
    <xdr:from>
      <xdr:col>9</xdr:col>
      <xdr:colOff>30713</xdr:colOff>
      <xdr:row>20</xdr:row>
      <xdr:rowOff>95249</xdr:rowOff>
    </xdr:from>
    <xdr:to>
      <xdr:col>9</xdr:col>
      <xdr:colOff>479159</xdr:colOff>
      <xdr:row>21</xdr:row>
      <xdr:rowOff>181839</xdr:rowOff>
    </xdr:to>
    <xdr:sp macro="" textlink="">
      <xdr:nvSpPr>
        <xdr:cNvPr id="97" name="Retângulo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7955513" y="371474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M6</a:t>
          </a:r>
        </a:p>
      </xdr:txBody>
    </xdr:sp>
    <xdr:clientData/>
  </xdr:twoCellAnchor>
  <xdr:twoCellAnchor>
    <xdr:from>
      <xdr:col>7</xdr:col>
      <xdr:colOff>50445</xdr:colOff>
      <xdr:row>16</xdr:row>
      <xdr:rowOff>95963</xdr:rowOff>
    </xdr:from>
    <xdr:to>
      <xdr:col>9</xdr:col>
      <xdr:colOff>30713</xdr:colOff>
      <xdr:row>21</xdr:row>
      <xdr:rowOff>43294</xdr:rowOff>
    </xdr:to>
    <xdr:cxnSp macro="">
      <xdr:nvCxnSpPr>
        <xdr:cNvPr id="98" name="Conector: Angulado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endCxn id="97" idx="1"/>
        </xdr:cNvCxnSpPr>
      </xdr:nvCxnSpPr>
      <xdr:spPr>
        <a:xfrm>
          <a:off x="6756045" y="2953463"/>
          <a:ext cx="1199468" cy="899831"/>
        </a:xfrm>
        <a:prstGeom prst="bentConnector3">
          <a:avLst>
            <a:gd name="adj1" fmla="val 797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10768</xdr:colOff>
      <xdr:row>16</xdr:row>
      <xdr:rowOff>71001</xdr:rowOff>
    </xdr:from>
    <xdr:to>
      <xdr:col>9</xdr:col>
      <xdr:colOff>29406</xdr:colOff>
      <xdr:row>19</xdr:row>
      <xdr:rowOff>35411</xdr:rowOff>
    </xdr:to>
    <xdr:cxnSp macro="">
      <xdr:nvCxnSpPr>
        <xdr:cNvPr id="108" name="Conector: Angulado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endCxn id="96" idx="1"/>
        </xdr:cNvCxnSpPr>
      </xdr:nvCxnSpPr>
      <xdr:spPr>
        <a:xfrm>
          <a:off x="7325968" y="2928501"/>
          <a:ext cx="628238" cy="535910"/>
        </a:xfrm>
        <a:prstGeom prst="bentConnector3">
          <a:avLst>
            <a:gd name="adj1" fmla="val 184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162643</xdr:colOff>
      <xdr:row>16</xdr:row>
      <xdr:rowOff>64432</xdr:rowOff>
    </xdr:from>
    <xdr:to>
      <xdr:col>9</xdr:col>
      <xdr:colOff>32021</xdr:colOff>
      <xdr:row>23</xdr:row>
      <xdr:rowOff>44607</xdr:rowOff>
    </xdr:to>
    <xdr:cxnSp macro="">
      <xdr:nvCxnSpPr>
        <xdr:cNvPr id="116" name="Conector: Angulado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endCxn id="117" idx="1"/>
        </xdr:cNvCxnSpPr>
      </xdr:nvCxnSpPr>
      <xdr:spPr>
        <a:xfrm>
          <a:off x="6258643" y="2921932"/>
          <a:ext cx="1698178" cy="1313675"/>
        </a:xfrm>
        <a:prstGeom prst="bentConnector3">
          <a:avLst>
            <a:gd name="adj1" fmla="val 563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32021</xdr:colOff>
      <xdr:row>22</xdr:row>
      <xdr:rowOff>96562</xdr:rowOff>
    </xdr:from>
    <xdr:to>
      <xdr:col>9</xdr:col>
      <xdr:colOff>480467</xdr:colOff>
      <xdr:row>23</xdr:row>
      <xdr:rowOff>183152</xdr:rowOff>
    </xdr:to>
    <xdr:sp macro="" textlink="">
      <xdr:nvSpPr>
        <xdr:cNvPr id="117" name="Retângulo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7956821" y="4097062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M7</a:t>
          </a:r>
        </a:p>
      </xdr:txBody>
    </xdr:sp>
    <xdr:clientData/>
  </xdr:twoCellAnchor>
  <xdr:twoCellAnchor>
    <xdr:from>
      <xdr:col>9</xdr:col>
      <xdr:colOff>33328</xdr:colOff>
      <xdr:row>24</xdr:row>
      <xdr:rowOff>97875</xdr:rowOff>
    </xdr:from>
    <xdr:to>
      <xdr:col>9</xdr:col>
      <xdr:colOff>481774</xdr:colOff>
      <xdr:row>25</xdr:row>
      <xdr:rowOff>184465</xdr:rowOff>
    </xdr:to>
    <xdr:sp macro="" textlink="">
      <xdr:nvSpPr>
        <xdr:cNvPr id="120" name="Retângulo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7958128" y="4479375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M8</a:t>
          </a:r>
        </a:p>
      </xdr:txBody>
    </xdr:sp>
    <xdr:clientData/>
  </xdr:twoCellAnchor>
  <xdr:twoCellAnchor>
    <xdr:from>
      <xdr:col>5</xdr:col>
      <xdr:colOff>167650</xdr:colOff>
      <xdr:row>11</xdr:row>
      <xdr:rowOff>17138</xdr:rowOff>
    </xdr:from>
    <xdr:to>
      <xdr:col>9</xdr:col>
      <xdr:colOff>33327</xdr:colOff>
      <xdr:row>25</xdr:row>
      <xdr:rowOff>52488</xdr:rowOff>
    </xdr:to>
    <xdr:cxnSp macro="">
      <xdr:nvCxnSpPr>
        <xdr:cNvPr id="121" name="Conector: Angulado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>
        <a:xfrm rot="16200000" flipH="1">
          <a:off x="5454914" y="2121274"/>
          <a:ext cx="2702350" cy="2304077"/>
        </a:xfrm>
        <a:prstGeom prst="bentConnector3">
          <a:avLst>
            <a:gd name="adj1" fmla="val 99832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172139</xdr:colOff>
      <xdr:row>11</xdr:row>
      <xdr:rowOff>18604</xdr:rowOff>
    </xdr:from>
    <xdr:to>
      <xdr:col>5</xdr:col>
      <xdr:colOff>402373</xdr:colOff>
      <xdr:row>11</xdr:row>
      <xdr:rowOff>20284</xdr:rowOff>
    </xdr:to>
    <xdr:cxnSp macro="">
      <xdr:nvCxnSpPr>
        <xdr:cNvPr id="127" name="Conector reto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>
        <a:xfrm>
          <a:off x="5658539" y="1923604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16565</xdr:colOff>
      <xdr:row>28</xdr:row>
      <xdr:rowOff>49695</xdr:rowOff>
    </xdr:from>
    <xdr:to>
      <xdr:col>10</xdr:col>
      <xdr:colOff>612913</xdr:colOff>
      <xdr:row>29</xdr:row>
      <xdr:rowOff>8283</xdr:rowOff>
    </xdr:to>
    <xdr:sp macro="" textlink="">
      <xdr:nvSpPr>
        <xdr:cNvPr id="207" name="Retângulo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3694043" y="5193195"/>
          <a:ext cx="3048000" cy="149088"/>
        </a:xfrm>
        <a:prstGeom prst="rect">
          <a:avLst/>
        </a:prstGeom>
        <a:solidFill>
          <a:schemeClr val="accent5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599661</xdr:colOff>
      <xdr:row>29</xdr:row>
      <xdr:rowOff>28160</xdr:rowOff>
    </xdr:from>
    <xdr:to>
      <xdr:col>8</xdr:col>
      <xdr:colOff>265044</xdr:colOff>
      <xdr:row>29</xdr:row>
      <xdr:rowOff>140804</xdr:rowOff>
    </xdr:to>
    <xdr:sp macro="" textlink="">
      <xdr:nvSpPr>
        <xdr:cNvPr id="208" name="Retângulo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3051313" y="5362160"/>
          <a:ext cx="2117035" cy="11264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316606</xdr:colOff>
      <xdr:row>29</xdr:row>
      <xdr:rowOff>28160</xdr:rowOff>
    </xdr:from>
    <xdr:to>
      <xdr:col>11</xdr:col>
      <xdr:colOff>556426</xdr:colOff>
      <xdr:row>29</xdr:row>
      <xdr:rowOff>140804</xdr:rowOff>
    </xdr:to>
    <xdr:sp macro="" textlink="">
      <xdr:nvSpPr>
        <xdr:cNvPr id="213" name="Retângulo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189113" y="5362160"/>
          <a:ext cx="2067010" cy="11264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17393</xdr:colOff>
      <xdr:row>29</xdr:row>
      <xdr:rowOff>156375</xdr:rowOff>
    </xdr:from>
    <xdr:to>
      <xdr:col>11</xdr:col>
      <xdr:colOff>4141</xdr:colOff>
      <xdr:row>30</xdr:row>
      <xdr:rowOff>114963</xdr:rowOff>
    </xdr:to>
    <xdr:sp macro="" textlink="">
      <xdr:nvSpPr>
        <xdr:cNvPr id="214" name="Retângulo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3674993" y="5490375"/>
          <a:ext cx="3034748" cy="149088"/>
        </a:xfrm>
        <a:prstGeom prst="rect">
          <a:avLst/>
        </a:prstGeom>
        <a:solidFill>
          <a:schemeClr val="accent5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374431</xdr:colOff>
      <xdr:row>27</xdr:row>
      <xdr:rowOff>32845</xdr:rowOff>
    </xdr:from>
    <xdr:to>
      <xdr:col>6</xdr:col>
      <xdr:colOff>374432</xdr:colOff>
      <xdr:row>32</xdr:row>
      <xdr:rowOff>13138</xdr:rowOff>
    </xdr:to>
    <xdr:cxnSp macro="">
      <xdr:nvCxnSpPr>
        <xdr:cNvPr id="216" name="Conector reto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/>
      </xdr:nvCxnSpPr>
      <xdr:spPr>
        <a:xfrm>
          <a:off x="4039914" y="4985845"/>
          <a:ext cx="1" cy="932793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400706</xdr:colOff>
      <xdr:row>27</xdr:row>
      <xdr:rowOff>26276</xdr:rowOff>
    </xdr:from>
    <xdr:to>
      <xdr:col>7</xdr:col>
      <xdr:colOff>402021</xdr:colOff>
      <xdr:row>32</xdr:row>
      <xdr:rowOff>21021</xdr:rowOff>
    </xdr:to>
    <xdr:cxnSp macro="">
      <xdr:nvCxnSpPr>
        <xdr:cNvPr id="217" name="Conector reto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/>
      </xdr:nvCxnSpPr>
      <xdr:spPr>
        <a:xfrm>
          <a:off x="4677103" y="4979276"/>
          <a:ext cx="1315" cy="947245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199699</xdr:colOff>
      <xdr:row>27</xdr:row>
      <xdr:rowOff>15240</xdr:rowOff>
    </xdr:from>
    <xdr:to>
      <xdr:col>10</xdr:col>
      <xdr:colOff>201930</xdr:colOff>
      <xdr:row>32</xdr:row>
      <xdr:rowOff>9197</xdr:rowOff>
    </xdr:to>
    <xdr:cxnSp macro="">
      <xdr:nvCxnSpPr>
        <xdr:cNvPr id="218" name="Conector reto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/>
      </xdr:nvCxnSpPr>
      <xdr:spPr>
        <a:xfrm flipH="1">
          <a:off x="6295699" y="4968240"/>
          <a:ext cx="2231" cy="946457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179990</xdr:colOff>
      <xdr:row>27</xdr:row>
      <xdr:rowOff>30307</xdr:rowOff>
    </xdr:from>
    <xdr:to>
      <xdr:col>9</xdr:col>
      <xdr:colOff>190500</xdr:colOff>
      <xdr:row>32</xdr:row>
      <xdr:rowOff>15765</xdr:rowOff>
    </xdr:to>
    <xdr:cxnSp macro="">
      <xdr:nvCxnSpPr>
        <xdr:cNvPr id="219" name="Conector reto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/>
      </xdr:nvCxnSpPr>
      <xdr:spPr>
        <a:xfrm flipH="1">
          <a:off x="5674183" y="4983307"/>
          <a:ext cx="10510" cy="937958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588066</xdr:colOff>
      <xdr:row>28</xdr:row>
      <xdr:rowOff>140804</xdr:rowOff>
    </xdr:from>
    <xdr:to>
      <xdr:col>12</xdr:col>
      <xdr:colOff>563217</xdr:colOff>
      <xdr:row>30</xdr:row>
      <xdr:rowOff>41413</xdr:rowOff>
    </xdr:to>
    <xdr:sp macro="" textlink="">
      <xdr:nvSpPr>
        <xdr:cNvPr id="226" name="Seta: para a Direita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7330109" y="5284304"/>
          <a:ext cx="588065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596349</xdr:colOff>
      <xdr:row>28</xdr:row>
      <xdr:rowOff>135835</xdr:rowOff>
    </xdr:from>
    <xdr:to>
      <xdr:col>4</xdr:col>
      <xdr:colOff>566532</xdr:colOff>
      <xdr:row>30</xdr:row>
      <xdr:rowOff>36444</xdr:rowOff>
    </xdr:to>
    <xdr:sp macro="" textlink="">
      <xdr:nvSpPr>
        <xdr:cNvPr id="227" name="Seta: para a Direita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 flipH="1">
          <a:off x="2435088" y="5279335"/>
          <a:ext cx="583096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569816</xdr:colOff>
      <xdr:row>15</xdr:row>
      <xdr:rowOff>59764</xdr:rowOff>
    </xdr:from>
    <xdr:to>
      <xdr:col>11</xdr:col>
      <xdr:colOff>234043</xdr:colOff>
      <xdr:row>15</xdr:row>
      <xdr:rowOff>59871</xdr:rowOff>
    </xdr:to>
    <xdr:cxnSp macro="">
      <xdr:nvCxnSpPr>
        <xdr:cNvPr id="228" name="Conector reto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/>
      </xdr:nvCxnSpPr>
      <xdr:spPr>
        <a:xfrm>
          <a:off x="9104216" y="2726764"/>
          <a:ext cx="273827" cy="107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240199</xdr:colOff>
      <xdr:row>13</xdr:row>
      <xdr:rowOff>153950</xdr:rowOff>
    </xdr:from>
    <xdr:to>
      <xdr:col>11</xdr:col>
      <xdr:colOff>244929</xdr:colOff>
      <xdr:row>15</xdr:row>
      <xdr:rowOff>76200</xdr:rowOff>
    </xdr:to>
    <xdr:cxnSp macro="">
      <xdr:nvCxnSpPr>
        <xdr:cNvPr id="230" name="Conector de Seta Reta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/>
      </xdr:nvCxnSpPr>
      <xdr:spPr>
        <a:xfrm>
          <a:off x="9384199" y="2439950"/>
          <a:ext cx="4730" cy="303250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260658</xdr:colOff>
      <xdr:row>14</xdr:row>
      <xdr:rowOff>112568</xdr:rowOff>
    </xdr:from>
    <xdr:to>
      <xdr:col>12</xdr:col>
      <xdr:colOff>251113</xdr:colOff>
      <xdr:row>14</xdr:row>
      <xdr:rowOff>115825</xdr:rowOff>
    </xdr:to>
    <xdr:cxnSp macro="">
      <xdr:nvCxnSpPr>
        <xdr:cNvPr id="232" name="Conector reto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/>
      </xdr:nvCxnSpPr>
      <xdr:spPr>
        <a:xfrm flipV="1">
          <a:off x="9417647" y="2589068"/>
          <a:ext cx="600921" cy="325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242457</xdr:colOff>
      <xdr:row>8</xdr:row>
      <xdr:rowOff>103965</xdr:rowOff>
    </xdr:from>
    <xdr:to>
      <xdr:col>12</xdr:col>
      <xdr:colOff>243273</xdr:colOff>
      <xdr:row>14</xdr:row>
      <xdr:rowOff>103909</xdr:rowOff>
    </xdr:to>
    <xdr:cxnSp macro="">
      <xdr:nvCxnSpPr>
        <xdr:cNvPr id="234" name="Conector: Angulado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endCxn id="237" idx="2"/>
        </xdr:cNvCxnSpPr>
      </xdr:nvCxnSpPr>
      <xdr:spPr>
        <a:xfrm rot="5400000" flipH="1" flipV="1">
          <a:off x="9438848" y="2008529"/>
          <a:ext cx="1142944" cy="816"/>
        </a:xfrm>
        <a:prstGeom prst="bentConnector3">
          <a:avLst>
            <a:gd name="adj1" fmla="val 5000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19273</xdr:colOff>
      <xdr:row>7</xdr:row>
      <xdr:rowOff>17375</xdr:rowOff>
    </xdr:from>
    <xdr:to>
      <xdr:col>12</xdr:col>
      <xdr:colOff>467272</xdr:colOff>
      <xdr:row>8</xdr:row>
      <xdr:rowOff>103965</xdr:rowOff>
    </xdr:to>
    <xdr:sp macro="" textlink="">
      <xdr:nvSpPr>
        <xdr:cNvPr id="237" name="Retângulo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9793894" y="1160375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M4</a:t>
          </a:r>
        </a:p>
      </xdr:txBody>
    </xdr:sp>
    <xdr:clientData/>
  </xdr:twoCellAnchor>
  <xdr:twoCellAnchor>
    <xdr:from>
      <xdr:col>13</xdr:col>
      <xdr:colOff>7450</xdr:colOff>
      <xdr:row>28</xdr:row>
      <xdr:rowOff>117223</xdr:rowOff>
    </xdr:from>
    <xdr:to>
      <xdr:col>13</xdr:col>
      <xdr:colOff>513521</xdr:colOff>
      <xdr:row>30</xdr:row>
      <xdr:rowOff>13313</xdr:rowOff>
    </xdr:to>
    <xdr:sp macro="" textlink="">
      <xdr:nvSpPr>
        <xdr:cNvPr id="246" name="Retângulo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11379472" y="5451223"/>
          <a:ext cx="506071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3</xdr:col>
      <xdr:colOff>24848</xdr:colOff>
      <xdr:row>28</xdr:row>
      <xdr:rowOff>144813</xdr:rowOff>
    </xdr:from>
    <xdr:to>
      <xdr:col>3</xdr:col>
      <xdr:colOff>548727</xdr:colOff>
      <xdr:row>30</xdr:row>
      <xdr:rowOff>40903</xdr:rowOff>
    </xdr:to>
    <xdr:sp macro="" textlink="">
      <xdr:nvSpPr>
        <xdr:cNvPr id="248" name="Retângulo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5267739" y="5478813"/>
          <a:ext cx="52387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5</xdr:col>
      <xdr:colOff>475692</xdr:colOff>
      <xdr:row>15</xdr:row>
      <xdr:rowOff>72383</xdr:rowOff>
    </xdr:from>
    <xdr:to>
      <xdr:col>6</xdr:col>
      <xdr:colOff>28755</xdr:colOff>
      <xdr:row>15</xdr:row>
      <xdr:rowOff>75481</xdr:rowOff>
    </xdr:to>
    <xdr:cxnSp macro="">
      <xdr:nvCxnSpPr>
        <xdr:cNvPr id="249" name="Conector reto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/>
      </xdr:nvCxnSpPr>
      <xdr:spPr>
        <a:xfrm flipH="1" flipV="1">
          <a:off x="5975032" y="2739383"/>
          <a:ext cx="164100" cy="3098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10783</xdr:colOff>
      <xdr:row>15</xdr:row>
      <xdr:rowOff>74613</xdr:rowOff>
    </xdr:from>
    <xdr:to>
      <xdr:col>6</xdr:col>
      <xdr:colOff>11155</xdr:colOff>
      <xdr:row>16</xdr:row>
      <xdr:rowOff>68292</xdr:rowOff>
    </xdr:to>
    <xdr:cxnSp macro="">
      <xdr:nvCxnSpPr>
        <xdr:cNvPr id="251" name="Conector reto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/>
      </xdr:nvCxnSpPr>
      <xdr:spPr>
        <a:xfrm flipV="1">
          <a:off x="6121160" y="2741613"/>
          <a:ext cx="372" cy="184179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371655</xdr:colOff>
      <xdr:row>15</xdr:row>
      <xdr:rowOff>58079</xdr:rowOff>
    </xdr:from>
    <xdr:to>
      <xdr:col>7</xdr:col>
      <xdr:colOff>372027</xdr:colOff>
      <xdr:row>16</xdr:row>
      <xdr:rowOff>51758</xdr:rowOff>
    </xdr:to>
    <xdr:cxnSp macro="">
      <xdr:nvCxnSpPr>
        <xdr:cNvPr id="253" name="Conector reto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/>
      </xdr:nvCxnSpPr>
      <xdr:spPr>
        <a:xfrm flipV="1">
          <a:off x="7093070" y="2725079"/>
          <a:ext cx="372" cy="184179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368060</xdr:colOff>
      <xdr:row>15</xdr:row>
      <xdr:rowOff>61674</xdr:rowOff>
    </xdr:from>
    <xdr:to>
      <xdr:col>6</xdr:col>
      <xdr:colOff>368432</xdr:colOff>
      <xdr:row>16</xdr:row>
      <xdr:rowOff>55353</xdr:rowOff>
    </xdr:to>
    <xdr:cxnSp macro="">
      <xdr:nvCxnSpPr>
        <xdr:cNvPr id="254" name="Conector reto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/>
      </xdr:nvCxnSpPr>
      <xdr:spPr>
        <a:xfrm flipV="1">
          <a:off x="6478437" y="2728674"/>
          <a:ext cx="372" cy="184179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261667</xdr:colOff>
      <xdr:row>15</xdr:row>
      <xdr:rowOff>63112</xdr:rowOff>
    </xdr:from>
    <xdr:to>
      <xdr:col>8</xdr:col>
      <xdr:colOff>262039</xdr:colOff>
      <xdr:row>16</xdr:row>
      <xdr:rowOff>56791</xdr:rowOff>
    </xdr:to>
    <xdr:cxnSp macro="">
      <xdr:nvCxnSpPr>
        <xdr:cNvPr id="255" name="Conector reto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/>
      </xdr:nvCxnSpPr>
      <xdr:spPr>
        <a:xfrm flipV="1">
          <a:off x="7594120" y="2730112"/>
          <a:ext cx="372" cy="184179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457269</xdr:colOff>
      <xdr:row>6</xdr:row>
      <xdr:rowOff>86879</xdr:rowOff>
    </xdr:from>
    <xdr:to>
      <xdr:col>6</xdr:col>
      <xdr:colOff>37171</xdr:colOff>
      <xdr:row>6</xdr:row>
      <xdr:rowOff>88280</xdr:rowOff>
    </xdr:to>
    <xdr:cxnSp macro="">
      <xdr:nvCxnSpPr>
        <xdr:cNvPr id="257" name="Conector reto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/>
      </xdr:nvCxnSpPr>
      <xdr:spPr>
        <a:xfrm>
          <a:off x="5935306" y="1039379"/>
          <a:ext cx="188572" cy="1401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130059</xdr:colOff>
      <xdr:row>23</xdr:row>
      <xdr:rowOff>140805</xdr:rowOff>
    </xdr:from>
    <xdr:to>
      <xdr:col>11</xdr:col>
      <xdr:colOff>546651</xdr:colOff>
      <xdr:row>29</xdr:row>
      <xdr:rowOff>28161</xdr:rowOff>
    </xdr:to>
    <xdr:cxnSp macro="">
      <xdr:nvCxnSpPr>
        <xdr:cNvPr id="265" name="Conector: Angulado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stCxn id="213" idx="0"/>
        </xdr:cNvCxnSpPr>
      </xdr:nvCxnSpPr>
      <xdr:spPr>
        <a:xfrm rot="5400000" flipH="1" flipV="1">
          <a:off x="9571808" y="4522730"/>
          <a:ext cx="1030356" cy="1029505"/>
        </a:xfrm>
        <a:prstGeom prst="bentConnector3">
          <a:avLst>
            <a:gd name="adj1" fmla="val 50000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321562</xdr:colOff>
      <xdr:row>22</xdr:row>
      <xdr:rowOff>23331</xdr:rowOff>
    </xdr:from>
    <xdr:to>
      <xdr:col>12</xdr:col>
      <xdr:colOff>157095</xdr:colOff>
      <xdr:row>23</xdr:row>
      <xdr:rowOff>109921</xdr:rowOff>
    </xdr:to>
    <xdr:sp macro="" textlink="">
      <xdr:nvSpPr>
        <xdr:cNvPr id="268" name="Retângulo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10376649" y="4214331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M9</a:t>
          </a:r>
        </a:p>
      </xdr:txBody>
    </xdr:sp>
    <xdr:clientData/>
  </xdr:twoCellAnchor>
  <xdr:twoCellAnchor>
    <xdr:from>
      <xdr:col>3</xdr:col>
      <xdr:colOff>554068</xdr:colOff>
      <xdr:row>22</xdr:row>
      <xdr:rowOff>85073</xdr:rowOff>
    </xdr:from>
    <xdr:to>
      <xdr:col>8</xdr:col>
      <xdr:colOff>314739</xdr:colOff>
      <xdr:row>28</xdr:row>
      <xdr:rowOff>49695</xdr:rowOff>
    </xdr:to>
    <xdr:cxnSp macro="">
      <xdr:nvCxnSpPr>
        <xdr:cNvPr id="269" name="Conector: Angulado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stCxn id="207" idx="0"/>
          <a:endCxn id="271" idx="2"/>
        </xdr:cNvCxnSpPr>
      </xdr:nvCxnSpPr>
      <xdr:spPr>
        <a:xfrm rot="16200000" flipV="1">
          <a:off x="6655767" y="3417265"/>
          <a:ext cx="1107622" cy="2825237"/>
        </a:xfrm>
        <a:prstGeom prst="bentConnector3">
          <a:avLst>
            <a:gd name="adj1" fmla="val 30557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329845</xdr:colOff>
      <xdr:row>20</xdr:row>
      <xdr:rowOff>188983</xdr:rowOff>
    </xdr:from>
    <xdr:to>
      <xdr:col>4</xdr:col>
      <xdr:colOff>165378</xdr:colOff>
      <xdr:row>22</xdr:row>
      <xdr:rowOff>85073</xdr:rowOff>
    </xdr:to>
    <xdr:sp macro="" textlink="">
      <xdr:nvSpPr>
        <xdr:cNvPr id="271" name="Retângulo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5572736" y="3998983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11</xdr:col>
      <xdr:colOff>40360</xdr:colOff>
      <xdr:row>28</xdr:row>
      <xdr:rowOff>27797</xdr:rowOff>
    </xdr:from>
    <xdr:to>
      <xdr:col>11</xdr:col>
      <xdr:colOff>458931</xdr:colOff>
      <xdr:row>29</xdr:row>
      <xdr:rowOff>25976</xdr:rowOff>
    </xdr:to>
    <xdr:sp macro="" textlink="">
      <xdr:nvSpPr>
        <xdr:cNvPr id="71" name="Seta: para a Direita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755485" y="5361797"/>
          <a:ext cx="418571" cy="188679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158613</xdr:colOff>
      <xdr:row>28</xdr:row>
      <xdr:rowOff>49672</xdr:rowOff>
    </xdr:from>
    <xdr:to>
      <xdr:col>6</xdr:col>
      <xdr:colOff>9524</xdr:colOff>
      <xdr:row>29</xdr:row>
      <xdr:rowOff>28575</xdr:rowOff>
    </xdr:to>
    <xdr:sp macro="" textlink="">
      <xdr:nvSpPr>
        <xdr:cNvPr id="73" name="Seta: para a Direita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 flipH="1">
          <a:off x="3206613" y="5383672"/>
          <a:ext cx="460511" cy="169403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569841</xdr:colOff>
      <xdr:row>27</xdr:row>
      <xdr:rowOff>53574</xdr:rowOff>
    </xdr:from>
    <xdr:to>
      <xdr:col>11</xdr:col>
      <xdr:colOff>465446</xdr:colOff>
      <xdr:row>28</xdr:row>
      <xdr:rowOff>140164</xdr:rowOff>
    </xdr:to>
    <xdr:sp macro="" textlink="">
      <xdr:nvSpPr>
        <xdr:cNvPr id="76" name="Retângulo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674500" y="5197074"/>
          <a:ext cx="506071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  <xdr:twoCellAnchor>
    <xdr:from>
      <xdr:col>5</xdr:col>
      <xdr:colOff>149954</xdr:colOff>
      <xdr:row>27</xdr:row>
      <xdr:rowOff>72504</xdr:rowOff>
    </xdr:from>
    <xdr:to>
      <xdr:col>6</xdr:col>
      <xdr:colOff>63368</xdr:colOff>
      <xdr:row>28</xdr:row>
      <xdr:rowOff>159094</xdr:rowOff>
    </xdr:to>
    <xdr:sp macro="" textlink="">
      <xdr:nvSpPr>
        <xdr:cNvPr id="78" name="Retângulo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3202284" y="5216004"/>
          <a:ext cx="523879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28575</xdr:rowOff>
    </xdr:from>
    <xdr:to>
      <xdr:col>12</xdr:col>
      <xdr:colOff>325965</xdr:colOff>
      <xdr:row>26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219075"/>
          <a:ext cx="6317190" cy="4838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0</xdr:rowOff>
    </xdr:from>
    <xdr:to>
      <xdr:col>17</xdr:col>
      <xdr:colOff>350804</xdr:colOff>
      <xdr:row>17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0"/>
          <a:ext cx="6923054" cy="327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</xdr:colOff>
      <xdr:row>1</xdr:row>
      <xdr:rowOff>41412</xdr:rowOff>
    </xdr:from>
    <xdr:to>
      <xdr:col>14</xdr:col>
      <xdr:colOff>353951</xdr:colOff>
      <xdr:row>35</xdr:row>
      <xdr:rowOff>178806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"/>
        <a:stretch/>
      </xdr:blipFill>
      <xdr:spPr>
        <a:xfrm>
          <a:off x="1222136" y="231912"/>
          <a:ext cx="7948139" cy="6655505"/>
        </a:xfrm>
        <a:prstGeom prst="rect">
          <a:avLst/>
        </a:prstGeom>
      </xdr:spPr>
    </xdr:pic>
    <xdr:clientData/>
  </xdr:twoCellAnchor>
  <xdr:twoCellAnchor>
    <xdr:from>
      <xdr:col>3</xdr:col>
      <xdr:colOff>139389</xdr:colOff>
      <xdr:row>4</xdr:row>
      <xdr:rowOff>32864</xdr:rowOff>
    </xdr:from>
    <xdr:to>
      <xdr:col>8</xdr:col>
      <xdr:colOff>139390</xdr:colOff>
      <xdr:row>13</xdr:row>
      <xdr:rowOff>16150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65401" y="794864"/>
          <a:ext cx="3043355" cy="1697786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111767</xdr:colOff>
      <xdr:row>15</xdr:row>
      <xdr:rowOff>17434</xdr:rowOff>
    </xdr:from>
    <xdr:to>
      <xdr:col>5</xdr:col>
      <xdr:colOff>355022</xdr:colOff>
      <xdr:row>15</xdr:row>
      <xdr:rowOff>21647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3164097" y="2874934"/>
          <a:ext cx="243255" cy="4213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343602</xdr:colOff>
      <xdr:row>15</xdr:row>
      <xdr:rowOff>20987</xdr:rowOff>
    </xdr:from>
    <xdr:to>
      <xdr:col>6</xdr:col>
      <xdr:colOff>90921</xdr:colOff>
      <xdr:row>15</xdr:row>
      <xdr:rowOff>25977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3395932" y="2878487"/>
          <a:ext cx="357784" cy="4990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96292</xdr:colOff>
      <xdr:row>18</xdr:row>
      <xdr:rowOff>138782</xdr:rowOff>
    </xdr:from>
    <xdr:to>
      <xdr:col>4</xdr:col>
      <xdr:colOff>544291</xdr:colOff>
      <xdr:row>20</xdr:row>
      <xdr:rowOff>34872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539947" y="356778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M2</a:t>
          </a:r>
        </a:p>
      </xdr:txBody>
    </xdr:sp>
    <xdr:clientData/>
  </xdr:twoCellAnchor>
  <xdr:twoCellAnchor>
    <xdr:from>
      <xdr:col>4</xdr:col>
      <xdr:colOff>99415</xdr:colOff>
      <xdr:row>20</xdr:row>
      <xdr:rowOff>56788</xdr:rowOff>
    </xdr:from>
    <xdr:to>
      <xdr:col>4</xdr:col>
      <xdr:colOff>547414</xdr:colOff>
      <xdr:row>21</xdr:row>
      <xdr:rowOff>143378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543070" y="3866788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M3</a:t>
          </a:r>
        </a:p>
      </xdr:txBody>
    </xdr:sp>
    <xdr:clientData/>
  </xdr:twoCellAnchor>
  <xdr:twoCellAnchor>
    <xdr:from>
      <xdr:col>4</xdr:col>
      <xdr:colOff>546378</xdr:colOff>
      <xdr:row>15</xdr:row>
      <xdr:rowOff>45984</xdr:rowOff>
    </xdr:from>
    <xdr:to>
      <xdr:col>5</xdr:col>
      <xdr:colOff>256193</xdr:colOff>
      <xdr:row>17</xdr:row>
      <xdr:rowOff>163304</xdr:rowOff>
    </xdr:to>
    <xdr:cxnSp macro="">
      <xdr:nvCxnSpPr>
        <xdr:cNvPr id="31" name="Conector: Angulad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endCxn id="70" idx="3"/>
        </xdr:cNvCxnSpPr>
      </xdr:nvCxnSpPr>
      <xdr:spPr>
        <a:xfrm rot="5400000">
          <a:off x="2901238" y="2992279"/>
          <a:ext cx="498320" cy="320729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95096</xdr:colOff>
      <xdr:row>23</xdr:row>
      <xdr:rowOff>87366</xdr:rowOff>
    </xdr:from>
    <xdr:to>
      <xdr:col>4</xdr:col>
      <xdr:colOff>543542</xdr:colOff>
      <xdr:row>24</xdr:row>
      <xdr:rowOff>173956</xdr:rowOff>
    </xdr:to>
    <xdr:sp macro="" textlink="">
      <xdr:nvSpPr>
        <xdr:cNvPr id="35" name="Retângulo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2538751" y="44688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M5</a:t>
          </a:r>
        </a:p>
      </xdr:txBody>
    </xdr:sp>
    <xdr:clientData/>
  </xdr:twoCellAnchor>
  <xdr:twoCellAnchor>
    <xdr:from>
      <xdr:col>4</xdr:col>
      <xdr:colOff>89834</xdr:colOff>
      <xdr:row>25</xdr:row>
      <xdr:rowOff>3284</xdr:rowOff>
    </xdr:from>
    <xdr:to>
      <xdr:col>4</xdr:col>
      <xdr:colOff>538280</xdr:colOff>
      <xdr:row>26</xdr:row>
      <xdr:rowOff>89874</xdr:rowOff>
    </xdr:to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533489" y="4765784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M6</a:t>
          </a:r>
        </a:p>
      </xdr:txBody>
    </xdr:sp>
    <xdr:clientData/>
  </xdr:twoCellAnchor>
  <xdr:twoCellAnchor>
    <xdr:from>
      <xdr:col>4</xdr:col>
      <xdr:colOff>91142</xdr:colOff>
      <xdr:row>26</xdr:row>
      <xdr:rowOff>116269</xdr:rowOff>
    </xdr:from>
    <xdr:to>
      <xdr:col>4</xdr:col>
      <xdr:colOff>539588</xdr:colOff>
      <xdr:row>27</xdr:row>
      <xdr:rowOff>156876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534797" y="506926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M7</a:t>
          </a:r>
        </a:p>
      </xdr:txBody>
    </xdr:sp>
    <xdr:clientData/>
  </xdr:twoCellAnchor>
  <xdr:twoCellAnchor>
    <xdr:from>
      <xdr:col>4</xdr:col>
      <xdr:colOff>85880</xdr:colOff>
      <xdr:row>27</xdr:row>
      <xdr:rowOff>183271</xdr:rowOff>
    </xdr:from>
    <xdr:to>
      <xdr:col>4</xdr:col>
      <xdr:colOff>534326</xdr:colOff>
      <xdr:row>29</xdr:row>
      <xdr:rowOff>79361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2529535" y="5372754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M8</a:t>
          </a:r>
        </a:p>
      </xdr:txBody>
    </xdr:sp>
    <xdr:clientData/>
  </xdr:twoCellAnchor>
  <xdr:twoCellAnchor>
    <xdr:from>
      <xdr:col>5</xdr:col>
      <xdr:colOff>172139</xdr:colOff>
      <xdr:row>11</xdr:row>
      <xdr:rowOff>18604</xdr:rowOff>
    </xdr:from>
    <xdr:to>
      <xdr:col>5</xdr:col>
      <xdr:colOff>402373</xdr:colOff>
      <xdr:row>11</xdr:row>
      <xdr:rowOff>20284</xdr:rowOff>
    </xdr:to>
    <xdr:cxnSp macro="">
      <xdr:nvCxnSpPr>
        <xdr:cNvPr id="43" name="Conector reto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3220139" y="2114104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179293</xdr:colOff>
      <xdr:row>4</xdr:row>
      <xdr:rowOff>118392</xdr:rowOff>
    </xdr:from>
    <xdr:to>
      <xdr:col>3</xdr:col>
      <xdr:colOff>128624</xdr:colOff>
      <xdr:row>6</xdr:row>
      <xdr:rowOff>19001</xdr:rowOff>
    </xdr:to>
    <xdr:sp macro="" textlink="">
      <xdr:nvSpPr>
        <xdr:cNvPr id="52" name="Seta: para a Direita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flipH="1">
          <a:off x="1389528" y="880392"/>
          <a:ext cx="554449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98101</xdr:colOff>
      <xdr:row>21</xdr:row>
      <xdr:rowOff>168462</xdr:rowOff>
    </xdr:from>
    <xdr:to>
      <xdr:col>4</xdr:col>
      <xdr:colOff>546100</xdr:colOff>
      <xdr:row>23</xdr:row>
      <xdr:rowOff>64552</xdr:rowOff>
    </xdr:to>
    <xdr:sp macro="" textlink="">
      <xdr:nvSpPr>
        <xdr:cNvPr id="58" name="Retângulo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2541756" y="416896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M4</a:t>
          </a:r>
        </a:p>
      </xdr:txBody>
    </xdr:sp>
    <xdr:clientData/>
  </xdr:twoCellAnchor>
  <xdr:twoCellAnchor>
    <xdr:from>
      <xdr:col>2</xdr:col>
      <xdr:colOff>231567</xdr:colOff>
      <xdr:row>3</xdr:row>
      <xdr:rowOff>5164</xdr:rowOff>
    </xdr:from>
    <xdr:to>
      <xdr:col>3</xdr:col>
      <xdr:colOff>132520</xdr:colOff>
      <xdr:row>4</xdr:row>
      <xdr:rowOff>91754</xdr:rowOff>
    </xdr:to>
    <xdr:sp macro="" textlink="">
      <xdr:nvSpPr>
        <xdr:cNvPr id="59" name="Retângulo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441802" y="576664"/>
          <a:ext cx="506071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  <xdr:twoCellAnchor>
    <xdr:from>
      <xdr:col>5</xdr:col>
      <xdr:colOff>457269</xdr:colOff>
      <xdr:row>6</xdr:row>
      <xdr:rowOff>86879</xdr:rowOff>
    </xdr:from>
    <xdr:to>
      <xdr:col>6</xdr:col>
      <xdr:colOff>37171</xdr:colOff>
      <xdr:row>6</xdr:row>
      <xdr:rowOff>88280</xdr:rowOff>
    </xdr:to>
    <xdr:cxnSp macro="">
      <xdr:nvCxnSpPr>
        <xdr:cNvPr id="66" name="Conector reto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>
        <a:xfrm>
          <a:off x="3505269" y="1229879"/>
          <a:ext cx="189502" cy="1401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15</xdr:row>
      <xdr:rowOff>108728</xdr:rowOff>
    </xdr:from>
    <xdr:to>
      <xdr:col>4</xdr:col>
      <xdr:colOff>544664</xdr:colOff>
      <xdr:row>17</xdr:row>
      <xdr:rowOff>4818</xdr:rowOff>
    </xdr:to>
    <xdr:sp macro="" textlink="">
      <xdr:nvSpPr>
        <xdr:cNvPr id="68" name="Retângulo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541872" y="296622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M0</a:t>
          </a:r>
        </a:p>
      </xdr:txBody>
    </xdr:sp>
    <xdr:clientData/>
  </xdr:twoCellAnchor>
  <xdr:twoCellAnchor>
    <xdr:from>
      <xdr:col>3</xdr:col>
      <xdr:colOff>139388</xdr:colOff>
      <xdr:row>8</xdr:row>
      <xdr:rowOff>119756</xdr:rowOff>
    </xdr:from>
    <xdr:to>
      <xdr:col>4</xdr:col>
      <xdr:colOff>91141</xdr:colOff>
      <xdr:row>27</xdr:row>
      <xdr:rowOff>18330</xdr:rowOff>
    </xdr:to>
    <xdr:cxnSp macro="">
      <xdr:nvCxnSpPr>
        <xdr:cNvPr id="69" name="Conector: Angulado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>
          <a:cxnSpLocks/>
          <a:stCxn id="3" idx="1"/>
          <a:endCxn id="40" idx="1"/>
        </xdr:cNvCxnSpPr>
      </xdr:nvCxnSpPr>
      <xdr:spPr>
        <a:xfrm rot="10800000" flipH="1" flipV="1">
          <a:off x="1972129" y="1643756"/>
          <a:ext cx="562667" cy="3564057"/>
        </a:xfrm>
        <a:prstGeom prst="bentConnector3">
          <a:avLst>
            <a:gd name="adj1" fmla="val -40628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99931</xdr:colOff>
      <xdr:row>17</xdr:row>
      <xdr:rowOff>24758</xdr:rowOff>
    </xdr:from>
    <xdr:to>
      <xdr:col>4</xdr:col>
      <xdr:colOff>546378</xdr:colOff>
      <xdr:row>18</xdr:row>
      <xdr:rowOff>111348</xdr:rowOff>
    </xdr:to>
    <xdr:sp macro="" textlink="">
      <xdr:nvSpPr>
        <xdr:cNvPr id="70" name="Retângulo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2543586" y="326325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8</xdr:col>
      <xdr:colOff>572447</xdr:colOff>
      <xdr:row>9</xdr:row>
      <xdr:rowOff>73780</xdr:rowOff>
    </xdr:from>
    <xdr:to>
      <xdr:col>9</xdr:col>
      <xdr:colOff>380104</xdr:colOff>
      <xdr:row>10</xdr:row>
      <xdr:rowOff>71959</xdr:rowOff>
    </xdr:to>
    <xdr:sp macro="" textlink="">
      <xdr:nvSpPr>
        <xdr:cNvPr id="71" name="Seta: para a Direita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5459757" y="1788280"/>
          <a:ext cx="418571" cy="188679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556703</xdr:colOff>
      <xdr:row>8</xdr:row>
      <xdr:rowOff>86419</xdr:rowOff>
    </xdr:from>
    <xdr:to>
      <xdr:col>9</xdr:col>
      <xdr:colOff>452308</xdr:colOff>
      <xdr:row>9</xdr:row>
      <xdr:rowOff>173009</xdr:rowOff>
    </xdr:to>
    <xdr:sp macro="" textlink="">
      <xdr:nvSpPr>
        <xdr:cNvPr id="73" name="Retângulo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5444013" y="1610419"/>
          <a:ext cx="506519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5</xdr:col>
      <xdr:colOff>128175</xdr:colOff>
      <xdr:row>7</xdr:row>
      <xdr:rowOff>90014</xdr:rowOff>
    </xdr:from>
    <xdr:to>
      <xdr:col>8</xdr:col>
      <xdr:colOff>555638</xdr:colOff>
      <xdr:row>11</xdr:row>
      <xdr:rowOff>66675</xdr:rowOff>
    </xdr:to>
    <xdr:sp macro="" textlink="">
      <xdr:nvSpPr>
        <xdr:cNvPr id="75" name="Retângulo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3182744" y="1423514"/>
          <a:ext cx="2260204" cy="73866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134171</xdr:colOff>
      <xdr:row>6</xdr:row>
      <xdr:rowOff>124810</xdr:rowOff>
    </xdr:from>
    <xdr:to>
      <xdr:col>8</xdr:col>
      <xdr:colOff>566854</xdr:colOff>
      <xdr:row>7</xdr:row>
      <xdr:rowOff>85958</xdr:rowOff>
    </xdr:to>
    <xdr:sp macro="" textlink="">
      <xdr:nvSpPr>
        <xdr:cNvPr id="76" name="Retângulo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3188740" y="1267810"/>
          <a:ext cx="2265424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67988</xdr:colOff>
      <xdr:row>4</xdr:row>
      <xdr:rowOff>19707</xdr:rowOff>
    </xdr:from>
    <xdr:to>
      <xdr:col>11</xdr:col>
      <xdr:colOff>273307</xdr:colOff>
      <xdr:row>13</xdr:row>
      <xdr:rowOff>13138</xdr:rowOff>
    </xdr:to>
    <xdr:sp macro="" textlink="">
      <xdr:nvSpPr>
        <xdr:cNvPr id="77" name="Retângulo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6788040" y="781707"/>
          <a:ext cx="205319" cy="1707931"/>
        </a:xfrm>
        <a:prstGeom prst="rect">
          <a:avLst/>
        </a:prstGeom>
        <a:solidFill>
          <a:srgbClr val="FFFF00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277772</xdr:colOff>
      <xdr:row>6</xdr:row>
      <xdr:rowOff>140267</xdr:rowOff>
    </xdr:from>
    <xdr:to>
      <xdr:col>11</xdr:col>
      <xdr:colOff>426982</xdr:colOff>
      <xdr:row>11</xdr:row>
      <xdr:rowOff>78828</xdr:rowOff>
    </xdr:to>
    <xdr:sp macro="" textlink="">
      <xdr:nvSpPr>
        <xdr:cNvPr id="78" name="Retângulo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6997824" y="1283267"/>
          <a:ext cx="149210" cy="89106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282417</xdr:colOff>
      <xdr:row>6</xdr:row>
      <xdr:rowOff>126452</xdr:rowOff>
    </xdr:from>
    <xdr:to>
      <xdr:col>12</xdr:col>
      <xdr:colOff>272892</xdr:colOff>
      <xdr:row>7</xdr:row>
      <xdr:rowOff>98534</xdr:rowOff>
    </xdr:to>
    <xdr:sp macro="" textlink="">
      <xdr:nvSpPr>
        <xdr:cNvPr id="79" name="Retângulo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7002469" y="1269452"/>
          <a:ext cx="601389" cy="162582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540673</xdr:colOff>
      <xdr:row>6</xdr:row>
      <xdr:rowOff>121217</xdr:rowOff>
    </xdr:from>
    <xdr:to>
      <xdr:col>11</xdr:col>
      <xdr:colOff>65688</xdr:colOff>
      <xdr:row>11</xdr:row>
      <xdr:rowOff>78828</xdr:rowOff>
    </xdr:to>
    <xdr:sp macro="" textlink="">
      <xdr:nvSpPr>
        <xdr:cNvPr id="80" name="Retângulo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6649811" y="1264217"/>
          <a:ext cx="135929" cy="91011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77514</xdr:colOff>
      <xdr:row>6</xdr:row>
      <xdr:rowOff>116927</xdr:rowOff>
    </xdr:from>
    <xdr:to>
      <xdr:col>11</xdr:col>
      <xdr:colOff>67988</xdr:colOff>
      <xdr:row>7</xdr:row>
      <xdr:rowOff>98534</xdr:rowOff>
    </xdr:to>
    <xdr:sp macro="" textlink="">
      <xdr:nvSpPr>
        <xdr:cNvPr id="81" name="Retângulo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6430689" y="1259927"/>
          <a:ext cx="600074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534167</xdr:colOff>
      <xdr:row>8</xdr:row>
      <xdr:rowOff>164224</xdr:rowOff>
    </xdr:from>
    <xdr:to>
      <xdr:col>11</xdr:col>
      <xdr:colOff>433550</xdr:colOff>
      <xdr:row>9</xdr:row>
      <xdr:rowOff>168071</xdr:rowOff>
    </xdr:to>
    <xdr:sp macro="" textlink="">
      <xdr:nvSpPr>
        <xdr:cNvPr id="82" name="Retângulo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6887342" y="1688224"/>
          <a:ext cx="508983" cy="19434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604025</xdr:colOff>
      <xdr:row>8</xdr:row>
      <xdr:rowOff>176562</xdr:rowOff>
    </xdr:from>
    <xdr:to>
      <xdr:col>6</xdr:col>
      <xdr:colOff>190501</xdr:colOff>
      <xdr:row>9</xdr:row>
      <xdr:rowOff>185855</xdr:rowOff>
    </xdr:to>
    <xdr:sp macro="" textlink="">
      <xdr:nvSpPr>
        <xdr:cNvPr id="86" name="Elips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3647379" y="1700562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324316</xdr:colOff>
      <xdr:row>8</xdr:row>
      <xdr:rowOff>170986</xdr:rowOff>
    </xdr:from>
    <xdr:to>
      <xdr:col>6</xdr:col>
      <xdr:colOff>519462</xdr:colOff>
      <xdr:row>9</xdr:row>
      <xdr:rowOff>180279</xdr:rowOff>
    </xdr:to>
    <xdr:sp macro="" textlink="">
      <xdr:nvSpPr>
        <xdr:cNvPr id="87" name="Elips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3976340" y="1694986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272276</xdr:colOff>
      <xdr:row>8</xdr:row>
      <xdr:rowOff>165410</xdr:rowOff>
    </xdr:from>
    <xdr:to>
      <xdr:col>5</xdr:col>
      <xdr:colOff>467422</xdr:colOff>
      <xdr:row>9</xdr:row>
      <xdr:rowOff>174703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3315630" y="1689410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35313</xdr:colOff>
      <xdr:row>8</xdr:row>
      <xdr:rowOff>170056</xdr:rowOff>
    </xdr:from>
    <xdr:to>
      <xdr:col>7</xdr:col>
      <xdr:colOff>230459</xdr:colOff>
      <xdr:row>9</xdr:row>
      <xdr:rowOff>179349</xdr:rowOff>
    </xdr:to>
    <xdr:sp macro="" textlink="">
      <xdr:nvSpPr>
        <xdr:cNvPr id="89" name="Elips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4296008" y="1694056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364274</xdr:colOff>
      <xdr:row>8</xdr:row>
      <xdr:rowOff>169127</xdr:rowOff>
    </xdr:from>
    <xdr:to>
      <xdr:col>7</xdr:col>
      <xdr:colOff>559420</xdr:colOff>
      <xdr:row>9</xdr:row>
      <xdr:rowOff>178420</xdr:rowOff>
    </xdr:to>
    <xdr:sp macro="" textlink="">
      <xdr:nvSpPr>
        <xdr:cNvPr id="90" name="Elips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4624969" y="1693127"/>
          <a:ext cx="195146" cy="199793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78827</xdr:colOff>
      <xdr:row>10</xdr:row>
      <xdr:rowOff>2555</xdr:rowOff>
    </xdr:from>
    <xdr:to>
      <xdr:col>6</xdr:col>
      <xdr:colOff>85966</xdr:colOff>
      <xdr:row>15</xdr:row>
      <xdr:rowOff>6569</xdr:rowOff>
    </xdr:to>
    <xdr:cxnSp macro="">
      <xdr:nvCxnSpPr>
        <xdr:cNvPr id="64" name="Conector reto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 flipV="1">
          <a:off x="3744310" y="1907555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408589</xdr:colOff>
      <xdr:row>9</xdr:row>
      <xdr:rowOff>181231</xdr:rowOff>
    </xdr:from>
    <xdr:to>
      <xdr:col>6</xdr:col>
      <xdr:colOff>415728</xdr:colOff>
      <xdr:row>14</xdr:row>
      <xdr:rowOff>185245</xdr:rowOff>
    </xdr:to>
    <xdr:cxnSp macro="">
      <xdr:nvCxnSpPr>
        <xdr:cNvPr id="95" name="Conector reto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V="1">
          <a:off x="4074072" y="1895731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136245</xdr:colOff>
      <xdr:row>9</xdr:row>
      <xdr:rowOff>186875</xdr:rowOff>
    </xdr:from>
    <xdr:to>
      <xdr:col>7</xdr:col>
      <xdr:colOff>143384</xdr:colOff>
      <xdr:row>15</xdr:row>
      <xdr:rowOff>389</xdr:rowOff>
    </xdr:to>
    <xdr:cxnSp macro="">
      <xdr:nvCxnSpPr>
        <xdr:cNvPr id="97" name="Conector reto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CxnSpPr/>
      </xdr:nvCxnSpPr>
      <xdr:spPr>
        <a:xfrm flipV="1">
          <a:off x="4409506" y="1901375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446300</xdr:colOff>
      <xdr:row>9</xdr:row>
      <xdr:rowOff>183858</xdr:rowOff>
    </xdr:from>
    <xdr:to>
      <xdr:col>7</xdr:col>
      <xdr:colOff>453439</xdr:colOff>
      <xdr:row>14</xdr:row>
      <xdr:rowOff>187872</xdr:rowOff>
    </xdr:to>
    <xdr:cxnSp macro="">
      <xdr:nvCxnSpPr>
        <xdr:cNvPr id="98" name="Conector reto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CxnSpPr/>
      </xdr:nvCxnSpPr>
      <xdr:spPr>
        <a:xfrm flipV="1">
          <a:off x="4719561" y="1898358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118242</xdr:colOff>
      <xdr:row>11</xdr:row>
      <xdr:rowOff>73500</xdr:rowOff>
    </xdr:from>
    <xdr:to>
      <xdr:col>8</xdr:col>
      <xdr:colOff>130635</xdr:colOff>
      <xdr:row>15</xdr:row>
      <xdr:rowOff>19707</xdr:rowOff>
    </xdr:to>
    <xdr:cxnSp macro="">
      <xdr:nvCxnSpPr>
        <xdr:cNvPr id="99" name="Conector reto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CxnSpPr/>
      </xdr:nvCxnSpPr>
      <xdr:spPr>
        <a:xfrm flipV="1">
          <a:off x="5005552" y="2169000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350782</xdr:colOff>
      <xdr:row>9</xdr:row>
      <xdr:rowOff>175976</xdr:rowOff>
    </xdr:from>
    <xdr:to>
      <xdr:col>5</xdr:col>
      <xdr:colOff>357921</xdr:colOff>
      <xdr:row>14</xdr:row>
      <xdr:rowOff>179990</xdr:rowOff>
    </xdr:to>
    <xdr:cxnSp macro="">
      <xdr:nvCxnSpPr>
        <xdr:cNvPr id="101" name="Conector reto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 flipV="1">
          <a:off x="3405351" y="1890476"/>
          <a:ext cx="7139" cy="95651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132693</xdr:colOff>
      <xdr:row>11</xdr:row>
      <xdr:rowOff>55107</xdr:rowOff>
    </xdr:from>
    <xdr:to>
      <xdr:col>5</xdr:col>
      <xdr:colOff>145086</xdr:colOff>
      <xdr:row>15</xdr:row>
      <xdr:rowOff>1314</xdr:rowOff>
    </xdr:to>
    <xdr:cxnSp macro="">
      <xdr:nvCxnSpPr>
        <xdr:cNvPr id="102" name="Conector reto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CxnSpPr/>
      </xdr:nvCxnSpPr>
      <xdr:spPr>
        <a:xfrm flipV="1">
          <a:off x="3187262" y="2150607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84696</xdr:colOff>
      <xdr:row>15</xdr:row>
      <xdr:rowOff>17318</xdr:rowOff>
    </xdr:from>
    <xdr:to>
      <xdr:col>6</xdr:col>
      <xdr:colOff>415637</xdr:colOff>
      <xdr:row>15</xdr:row>
      <xdr:rowOff>17523</xdr:rowOff>
    </xdr:to>
    <xdr:cxnSp macro="">
      <xdr:nvCxnSpPr>
        <xdr:cNvPr id="106" name="Conector de Seta Ret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V="1">
          <a:off x="3747491" y="2874818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423266</xdr:colOff>
      <xdr:row>15</xdr:row>
      <xdr:rowOff>9731</xdr:rowOff>
    </xdr:from>
    <xdr:to>
      <xdr:col>8</xdr:col>
      <xdr:colOff>116898</xdr:colOff>
      <xdr:row>15</xdr:row>
      <xdr:rowOff>12989</xdr:rowOff>
    </xdr:to>
    <xdr:cxnSp macro="">
      <xdr:nvCxnSpPr>
        <xdr:cNvPr id="108" name="Conector de Seta Reta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CxnSpPr/>
      </xdr:nvCxnSpPr>
      <xdr:spPr>
        <a:xfrm>
          <a:off x="4696527" y="2867231"/>
          <a:ext cx="304098" cy="325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405948</xdr:colOff>
      <xdr:row>15</xdr:row>
      <xdr:rowOff>13854</xdr:rowOff>
    </xdr:from>
    <xdr:to>
      <xdr:col>7</xdr:col>
      <xdr:colOff>126423</xdr:colOff>
      <xdr:row>15</xdr:row>
      <xdr:rowOff>14059</xdr:rowOff>
    </xdr:to>
    <xdr:cxnSp macro="">
      <xdr:nvCxnSpPr>
        <xdr:cNvPr id="109" name="Conector de Seta Reta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/>
      </xdr:nvCxnSpPr>
      <xdr:spPr>
        <a:xfrm flipV="1">
          <a:off x="4068743" y="2871354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129723</xdr:colOff>
      <xdr:row>15</xdr:row>
      <xdr:rowOff>14720</xdr:rowOff>
    </xdr:from>
    <xdr:to>
      <xdr:col>7</xdr:col>
      <xdr:colOff>460664</xdr:colOff>
      <xdr:row>15</xdr:row>
      <xdr:rowOff>14925</xdr:rowOff>
    </xdr:to>
    <xdr:cxnSp macro="">
      <xdr:nvCxnSpPr>
        <xdr:cNvPr id="110" name="Conector de Seta Ret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4402984" y="2872220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544291</xdr:colOff>
      <xdr:row>15</xdr:row>
      <xdr:rowOff>32845</xdr:rowOff>
    </xdr:from>
    <xdr:to>
      <xdr:col>5</xdr:col>
      <xdr:colOff>525517</xdr:colOff>
      <xdr:row>19</xdr:row>
      <xdr:rowOff>86827</xdr:rowOff>
    </xdr:to>
    <xdr:cxnSp macro="">
      <xdr:nvCxnSpPr>
        <xdr:cNvPr id="118" name="Conector: Angulado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>
          <a:endCxn id="29" idx="3"/>
        </xdr:cNvCxnSpPr>
      </xdr:nvCxnSpPr>
      <xdr:spPr>
        <a:xfrm rot="5400000">
          <a:off x="2876025" y="3002266"/>
          <a:ext cx="815982" cy="592140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545606</xdr:colOff>
      <xdr:row>15</xdr:row>
      <xdr:rowOff>32844</xdr:rowOff>
    </xdr:from>
    <xdr:to>
      <xdr:col>6</xdr:col>
      <xdr:colOff>256190</xdr:colOff>
      <xdr:row>21</xdr:row>
      <xdr:rowOff>2743</xdr:rowOff>
    </xdr:to>
    <xdr:cxnSp macro="">
      <xdr:nvCxnSpPr>
        <xdr:cNvPr id="121" name="Conector: Angulado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CxnSpPr/>
      </xdr:nvCxnSpPr>
      <xdr:spPr>
        <a:xfrm rot="5400000">
          <a:off x="2899017" y="2980588"/>
          <a:ext cx="1112899" cy="932412"/>
        </a:xfrm>
        <a:prstGeom prst="bentConnector3">
          <a:avLst>
            <a:gd name="adj1" fmla="val 101353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540351</xdr:colOff>
      <xdr:row>15</xdr:row>
      <xdr:rowOff>13142</xdr:rowOff>
    </xdr:from>
    <xdr:to>
      <xdr:col>6</xdr:col>
      <xdr:colOff>584638</xdr:colOff>
      <xdr:row>22</xdr:row>
      <xdr:rowOff>115732</xdr:rowOff>
    </xdr:to>
    <xdr:cxnSp macro="">
      <xdr:nvCxnSpPr>
        <xdr:cNvPr id="124" name="Conector: Angulado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CxnSpPr/>
      </xdr:nvCxnSpPr>
      <xdr:spPr>
        <a:xfrm rot="5400000">
          <a:off x="2899019" y="2955629"/>
          <a:ext cx="1436090" cy="1266115"/>
        </a:xfrm>
        <a:prstGeom prst="bentConnector3">
          <a:avLst>
            <a:gd name="adj1" fmla="val 9985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541667</xdr:colOff>
      <xdr:row>15</xdr:row>
      <xdr:rowOff>19709</xdr:rowOff>
    </xdr:from>
    <xdr:to>
      <xdr:col>7</xdr:col>
      <xdr:colOff>315311</xdr:colOff>
      <xdr:row>24</xdr:row>
      <xdr:rowOff>25080</xdr:rowOff>
    </xdr:to>
    <xdr:cxnSp macro="">
      <xdr:nvCxnSpPr>
        <xdr:cNvPr id="127" name="Conector: Angulado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CxnSpPr/>
      </xdr:nvCxnSpPr>
      <xdr:spPr>
        <a:xfrm rot="5400000">
          <a:off x="2928579" y="2933952"/>
          <a:ext cx="1719871" cy="1606386"/>
        </a:xfrm>
        <a:prstGeom prst="bentConnector3">
          <a:avLst>
            <a:gd name="adj1" fmla="val 10003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529843</xdr:colOff>
      <xdr:row>15</xdr:row>
      <xdr:rowOff>13141</xdr:rowOff>
    </xdr:from>
    <xdr:to>
      <xdr:col>7</xdr:col>
      <xdr:colOff>578069</xdr:colOff>
      <xdr:row>25</xdr:row>
      <xdr:rowOff>138067</xdr:rowOff>
    </xdr:to>
    <xdr:cxnSp macro="">
      <xdr:nvCxnSpPr>
        <xdr:cNvPr id="130" name="Conector: Angulado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CxnSpPr/>
      </xdr:nvCxnSpPr>
      <xdr:spPr>
        <a:xfrm rot="5400000">
          <a:off x="2899019" y="2945120"/>
          <a:ext cx="2029926" cy="1880968"/>
        </a:xfrm>
        <a:prstGeom prst="bentConnector3">
          <a:avLst>
            <a:gd name="adj1" fmla="val 10015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98218</xdr:colOff>
      <xdr:row>9</xdr:row>
      <xdr:rowOff>74807</xdr:rowOff>
    </xdr:from>
    <xdr:to>
      <xdr:col>5</xdr:col>
      <xdr:colOff>272277</xdr:colOff>
      <xdr:row>16</xdr:row>
      <xdr:rowOff>56773</xdr:rowOff>
    </xdr:to>
    <xdr:cxnSp macro="">
      <xdr:nvCxnSpPr>
        <xdr:cNvPr id="133" name="Conector: Angulado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CxnSpPr>
          <a:stCxn id="88" idx="2"/>
          <a:endCxn id="68" idx="1"/>
        </xdr:cNvCxnSpPr>
      </xdr:nvCxnSpPr>
      <xdr:spPr>
        <a:xfrm rot="10800000" flipV="1">
          <a:off x="2541873" y="1789307"/>
          <a:ext cx="784973" cy="1315466"/>
        </a:xfrm>
        <a:prstGeom prst="bentConnector3">
          <a:avLst>
            <a:gd name="adj1" fmla="val 129122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275896</xdr:colOff>
      <xdr:row>11</xdr:row>
      <xdr:rowOff>169407</xdr:rowOff>
    </xdr:from>
    <xdr:to>
      <xdr:col>11</xdr:col>
      <xdr:colOff>279093</xdr:colOff>
      <xdr:row>15</xdr:row>
      <xdr:rowOff>13138</xdr:rowOff>
    </xdr:to>
    <xdr:cxnSp macro="">
      <xdr:nvCxnSpPr>
        <xdr:cNvPr id="146" name="Conector reto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CxnSpPr/>
      </xdr:nvCxnSpPr>
      <xdr:spPr>
        <a:xfrm flipV="1">
          <a:off x="6995948" y="2264907"/>
          <a:ext cx="3197" cy="6057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571500</xdr:colOff>
      <xdr:row>8</xdr:row>
      <xdr:rowOff>98463</xdr:rowOff>
    </xdr:from>
    <xdr:to>
      <xdr:col>11</xdr:col>
      <xdr:colOff>582579</xdr:colOff>
      <xdr:row>15</xdr:row>
      <xdr:rowOff>19707</xdr:rowOff>
    </xdr:to>
    <xdr:cxnSp macro="">
      <xdr:nvCxnSpPr>
        <xdr:cNvPr id="147" name="Conector reto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CxnSpPr/>
      </xdr:nvCxnSpPr>
      <xdr:spPr>
        <a:xfrm flipV="1">
          <a:off x="7291552" y="1622463"/>
          <a:ext cx="11079" cy="1254744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257966</xdr:colOff>
      <xdr:row>15</xdr:row>
      <xdr:rowOff>8151</xdr:rowOff>
    </xdr:from>
    <xdr:to>
      <xdr:col>11</xdr:col>
      <xdr:colOff>588907</xdr:colOff>
      <xdr:row>15</xdr:row>
      <xdr:rowOff>8356</xdr:rowOff>
    </xdr:to>
    <xdr:cxnSp macro="">
      <xdr:nvCxnSpPr>
        <xdr:cNvPr id="152" name="Conector de Seta Reta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CxnSpPr/>
      </xdr:nvCxnSpPr>
      <xdr:spPr>
        <a:xfrm flipV="1">
          <a:off x="6978018" y="2865651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551793</xdr:colOff>
      <xdr:row>8</xdr:row>
      <xdr:rowOff>32845</xdr:rowOff>
    </xdr:from>
    <xdr:to>
      <xdr:col>12</xdr:col>
      <xdr:colOff>0</xdr:colOff>
      <xdr:row>8</xdr:row>
      <xdr:rowOff>105103</xdr:rowOff>
    </xdr:to>
    <xdr:sp macro="" textlink="">
      <xdr:nvSpPr>
        <xdr:cNvPr id="153" name="Elipse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7271845" y="1556845"/>
          <a:ext cx="59121" cy="72258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269898</xdr:colOff>
      <xdr:row>6</xdr:row>
      <xdr:rowOff>129268</xdr:rowOff>
    </xdr:from>
    <xdr:to>
      <xdr:col>12</xdr:col>
      <xdr:colOff>489857</xdr:colOff>
      <xdr:row>6</xdr:row>
      <xdr:rowOff>133937</xdr:rowOff>
    </xdr:to>
    <xdr:cxnSp macro="">
      <xdr:nvCxnSpPr>
        <xdr:cNvPr id="154" name="Conector reto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CxnSpPr/>
      </xdr:nvCxnSpPr>
      <xdr:spPr>
        <a:xfrm flipH="1">
          <a:off x="7576934" y="1272268"/>
          <a:ext cx="219959" cy="4669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1851</xdr:colOff>
      <xdr:row>9</xdr:row>
      <xdr:rowOff>63706</xdr:rowOff>
    </xdr:from>
    <xdr:to>
      <xdr:col>12</xdr:col>
      <xdr:colOff>478577</xdr:colOff>
      <xdr:row>9</xdr:row>
      <xdr:rowOff>67695</xdr:rowOff>
    </xdr:to>
    <xdr:cxnSp macro="">
      <xdr:nvCxnSpPr>
        <xdr:cNvPr id="159" name="Conector reto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CxnSpPr/>
      </xdr:nvCxnSpPr>
      <xdr:spPr>
        <a:xfrm flipH="1">
          <a:off x="7327442" y="1778206"/>
          <a:ext cx="476726" cy="3989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428422</xdr:colOff>
      <xdr:row>11</xdr:row>
      <xdr:rowOff>71345</xdr:rowOff>
    </xdr:from>
    <xdr:to>
      <xdr:col>11</xdr:col>
      <xdr:colOff>547688</xdr:colOff>
      <xdr:row>11</xdr:row>
      <xdr:rowOff>71438</xdr:rowOff>
    </xdr:to>
    <xdr:cxnSp macro="">
      <xdr:nvCxnSpPr>
        <xdr:cNvPr id="161" name="Conector reto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CxnSpPr/>
      </xdr:nvCxnSpPr>
      <xdr:spPr>
        <a:xfrm flipH="1" flipV="1">
          <a:off x="7126538" y="2166845"/>
          <a:ext cx="119266" cy="93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597832</xdr:colOff>
      <xdr:row>11</xdr:row>
      <xdr:rowOff>71437</xdr:rowOff>
    </xdr:from>
    <xdr:to>
      <xdr:col>12</xdr:col>
      <xdr:colOff>500062</xdr:colOff>
      <xdr:row>11</xdr:row>
      <xdr:rowOff>74067</xdr:rowOff>
    </xdr:to>
    <xdr:cxnSp macro="">
      <xdr:nvCxnSpPr>
        <xdr:cNvPr id="163" name="Conector reto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CxnSpPr/>
      </xdr:nvCxnSpPr>
      <xdr:spPr>
        <a:xfrm flipH="1">
          <a:off x="7295948" y="2166937"/>
          <a:ext cx="511150" cy="2630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490813</xdr:colOff>
      <xdr:row>6</xdr:row>
      <xdr:rowOff>134223</xdr:rowOff>
    </xdr:from>
    <xdr:to>
      <xdr:col>12</xdr:col>
      <xdr:colOff>497898</xdr:colOff>
      <xdr:row>9</xdr:row>
      <xdr:rowOff>47625</xdr:rowOff>
    </xdr:to>
    <xdr:cxnSp macro="">
      <xdr:nvCxnSpPr>
        <xdr:cNvPr id="165" name="Conector de Seta Reta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CxnSpPr/>
      </xdr:nvCxnSpPr>
      <xdr:spPr>
        <a:xfrm>
          <a:off x="7816404" y="1277223"/>
          <a:ext cx="7085" cy="48490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496660</xdr:colOff>
      <xdr:row>9</xdr:row>
      <xdr:rowOff>47625</xdr:rowOff>
    </xdr:from>
    <xdr:to>
      <xdr:col>12</xdr:col>
      <xdr:colOff>497898</xdr:colOff>
      <xdr:row>11</xdr:row>
      <xdr:rowOff>64634</xdr:rowOff>
    </xdr:to>
    <xdr:cxnSp macro="">
      <xdr:nvCxnSpPr>
        <xdr:cNvPr id="167" name="Conector de Seta Reta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CxnSpPr/>
      </xdr:nvCxnSpPr>
      <xdr:spPr>
        <a:xfrm flipH="1">
          <a:off x="7822251" y="1762125"/>
          <a:ext cx="1238" cy="39800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534327</xdr:colOff>
      <xdr:row>7</xdr:row>
      <xdr:rowOff>22535</xdr:rowOff>
    </xdr:from>
    <xdr:to>
      <xdr:col>10</xdr:col>
      <xdr:colOff>81582</xdr:colOff>
      <xdr:row>28</xdr:row>
      <xdr:rowOff>131315</xdr:rowOff>
    </xdr:to>
    <xdr:cxnSp macro="">
      <xdr:nvCxnSpPr>
        <xdr:cNvPr id="169" name="Conector: Angulado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CxnSpPr>
          <a:cxnSpLocks/>
          <a:endCxn id="41" idx="3"/>
        </xdr:cNvCxnSpPr>
      </xdr:nvCxnSpPr>
      <xdr:spPr>
        <a:xfrm rot="5400000">
          <a:off x="2506719" y="1827298"/>
          <a:ext cx="4155263" cy="3212738"/>
        </a:xfrm>
        <a:prstGeom prst="bentConnector2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86166</xdr:colOff>
      <xdr:row>29</xdr:row>
      <xdr:rowOff>105014</xdr:rowOff>
    </xdr:from>
    <xdr:to>
      <xdr:col>4</xdr:col>
      <xdr:colOff>534612</xdr:colOff>
      <xdr:row>31</xdr:row>
      <xdr:rowOff>1104</xdr:rowOff>
    </xdr:to>
    <xdr:sp macro="" textlink="">
      <xdr:nvSpPr>
        <xdr:cNvPr id="171" name="Retângulo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2537818" y="5679210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M9</a:t>
          </a:r>
        </a:p>
      </xdr:txBody>
    </xdr:sp>
    <xdr:clientData/>
  </xdr:twoCellAnchor>
  <xdr:twoCellAnchor>
    <xdr:from>
      <xdr:col>4</xdr:col>
      <xdr:colOff>538412</xdr:colOff>
      <xdr:row>15</xdr:row>
      <xdr:rowOff>8286</xdr:rowOff>
    </xdr:from>
    <xdr:to>
      <xdr:col>11</xdr:col>
      <xdr:colOff>438979</xdr:colOff>
      <xdr:row>30</xdr:row>
      <xdr:rowOff>63524</xdr:rowOff>
    </xdr:to>
    <xdr:cxnSp macro="">
      <xdr:nvCxnSpPr>
        <xdr:cNvPr id="172" name="Conector: Angulado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CxnSpPr/>
      </xdr:nvCxnSpPr>
      <xdr:spPr>
        <a:xfrm rot="10800000" flipV="1">
          <a:off x="2990064" y="2865786"/>
          <a:ext cx="4190958" cy="2962434"/>
        </a:xfrm>
        <a:prstGeom prst="bentConnector3">
          <a:avLst>
            <a:gd name="adj1" fmla="val -1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97761</xdr:colOff>
      <xdr:row>17</xdr:row>
      <xdr:rowOff>116610</xdr:rowOff>
    </xdr:from>
    <xdr:to>
      <xdr:col>13</xdr:col>
      <xdr:colOff>546207</xdr:colOff>
      <xdr:row>19</xdr:row>
      <xdr:rowOff>12700</xdr:rowOff>
    </xdr:to>
    <xdr:sp macro="" textlink="">
      <xdr:nvSpPr>
        <xdr:cNvPr id="175" name="Retângulo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8065631" y="3355110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13</xdr:col>
      <xdr:colOff>92791</xdr:colOff>
      <xdr:row>19</xdr:row>
      <xdr:rowOff>61945</xdr:rowOff>
    </xdr:from>
    <xdr:to>
      <xdr:col>13</xdr:col>
      <xdr:colOff>541237</xdr:colOff>
      <xdr:row>20</xdr:row>
      <xdr:rowOff>148535</xdr:rowOff>
    </xdr:to>
    <xdr:sp macro="" textlink="">
      <xdr:nvSpPr>
        <xdr:cNvPr id="176" name="Retângulo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8060661" y="3681445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M11</a:t>
          </a:r>
        </a:p>
      </xdr:txBody>
    </xdr:sp>
    <xdr:clientData/>
  </xdr:twoCellAnchor>
  <xdr:twoCellAnchor>
    <xdr:from>
      <xdr:col>12</xdr:col>
      <xdr:colOff>515219</xdr:colOff>
      <xdr:row>10</xdr:row>
      <xdr:rowOff>38969</xdr:rowOff>
    </xdr:from>
    <xdr:to>
      <xdr:col>13</xdr:col>
      <xdr:colOff>546207</xdr:colOff>
      <xdr:row>18</xdr:row>
      <xdr:rowOff>64655</xdr:rowOff>
    </xdr:to>
    <xdr:cxnSp macro="">
      <xdr:nvCxnSpPr>
        <xdr:cNvPr id="177" name="Conector: Angulado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CxnSpPr>
          <a:endCxn id="175" idx="3"/>
        </xdr:cNvCxnSpPr>
      </xdr:nvCxnSpPr>
      <xdr:spPr>
        <a:xfrm rot="16200000" flipH="1">
          <a:off x="7386694" y="2398085"/>
          <a:ext cx="1549686" cy="641454"/>
        </a:xfrm>
        <a:prstGeom prst="bentConnector4">
          <a:avLst>
            <a:gd name="adj1" fmla="val 270"/>
            <a:gd name="adj2" fmla="val 135638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512162</xdr:colOff>
      <xdr:row>8</xdr:row>
      <xdr:rowOff>5352</xdr:rowOff>
    </xdr:from>
    <xdr:to>
      <xdr:col>13</xdr:col>
      <xdr:colOff>541236</xdr:colOff>
      <xdr:row>20</xdr:row>
      <xdr:rowOff>9990</xdr:rowOff>
    </xdr:to>
    <xdr:cxnSp macro="">
      <xdr:nvCxnSpPr>
        <xdr:cNvPr id="184" name="Conector: Angulado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CxnSpPr>
          <a:endCxn id="176" idx="3"/>
        </xdr:cNvCxnSpPr>
      </xdr:nvCxnSpPr>
      <xdr:spPr>
        <a:xfrm rot="16200000" flipH="1">
          <a:off x="6945351" y="2357575"/>
          <a:ext cx="2290638" cy="634191"/>
        </a:xfrm>
        <a:prstGeom prst="bentConnector4">
          <a:avLst>
            <a:gd name="adj1" fmla="val 502"/>
            <a:gd name="adj2" fmla="val 15724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22289</xdr:colOff>
      <xdr:row>0</xdr:row>
      <xdr:rowOff>173296</xdr:rowOff>
    </xdr:from>
    <xdr:to>
      <xdr:col>15</xdr:col>
      <xdr:colOff>0</xdr:colOff>
      <xdr:row>36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"/>
        <a:stretch/>
      </xdr:blipFill>
      <xdr:spPr>
        <a:xfrm>
          <a:off x="1245500" y="173296"/>
          <a:ext cx="8184250" cy="6734836"/>
        </a:xfrm>
        <a:prstGeom prst="rect">
          <a:avLst/>
        </a:prstGeom>
      </xdr:spPr>
    </xdr:pic>
    <xdr:clientData/>
  </xdr:twoCellAnchor>
  <xdr:twoCellAnchor>
    <xdr:from>
      <xdr:col>3</xdr:col>
      <xdr:colOff>139389</xdr:colOff>
      <xdr:row>4</xdr:row>
      <xdr:rowOff>32864</xdr:rowOff>
    </xdr:from>
    <xdr:to>
      <xdr:col>8</xdr:col>
      <xdr:colOff>139390</xdr:colOff>
      <xdr:row>13</xdr:row>
      <xdr:rowOff>16150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968189" y="794864"/>
          <a:ext cx="3048001" cy="1697786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111767</xdr:colOff>
      <xdr:row>15</xdr:row>
      <xdr:rowOff>16099</xdr:rowOff>
    </xdr:from>
    <xdr:to>
      <xdr:col>5</xdr:col>
      <xdr:colOff>335387</xdr:colOff>
      <xdr:row>15</xdr:row>
      <xdr:rowOff>17434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3157084" y="2873599"/>
          <a:ext cx="223620" cy="133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330687</xdr:colOff>
      <xdr:row>15</xdr:row>
      <xdr:rowOff>16144</xdr:rowOff>
    </xdr:from>
    <xdr:to>
      <xdr:col>6</xdr:col>
      <xdr:colOff>100093</xdr:colOff>
      <xdr:row>15</xdr:row>
      <xdr:rowOff>17758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3381916" y="2873644"/>
          <a:ext cx="379652" cy="161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96292</xdr:colOff>
      <xdr:row>18</xdr:row>
      <xdr:rowOff>138782</xdr:rowOff>
    </xdr:from>
    <xdr:to>
      <xdr:col>4</xdr:col>
      <xdr:colOff>544291</xdr:colOff>
      <xdr:row>20</xdr:row>
      <xdr:rowOff>34872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534692" y="356778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M2</a:t>
          </a:r>
        </a:p>
      </xdr:txBody>
    </xdr:sp>
    <xdr:clientData/>
  </xdr:twoCellAnchor>
  <xdr:twoCellAnchor>
    <xdr:from>
      <xdr:col>4</xdr:col>
      <xdr:colOff>99415</xdr:colOff>
      <xdr:row>20</xdr:row>
      <xdr:rowOff>56788</xdr:rowOff>
    </xdr:from>
    <xdr:to>
      <xdr:col>4</xdr:col>
      <xdr:colOff>547414</xdr:colOff>
      <xdr:row>21</xdr:row>
      <xdr:rowOff>143378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537815" y="3866788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M3</a:t>
          </a:r>
        </a:p>
      </xdr:txBody>
    </xdr:sp>
    <xdr:clientData/>
  </xdr:twoCellAnchor>
  <xdr:twoCellAnchor>
    <xdr:from>
      <xdr:col>4</xdr:col>
      <xdr:colOff>546378</xdr:colOff>
      <xdr:row>15</xdr:row>
      <xdr:rowOff>45984</xdr:rowOff>
    </xdr:from>
    <xdr:to>
      <xdr:col>5</xdr:col>
      <xdr:colOff>256193</xdr:colOff>
      <xdr:row>17</xdr:row>
      <xdr:rowOff>163304</xdr:rowOff>
    </xdr:to>
    <xdr:cxnSp macro="">
      <xdr:nvCxnSpPr>
        <xdr:cNvPr id="8" name="Conector: Angulad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>
          <a:endCxn id="20" idx="3"/>
        </xdr:cNvCxnSpPr>
      </xdr:nvCxnSpPr>
      <xdr:spPr>
        <a:xfrm rot="5400000">
          <a:off x="2895326" y="2992936"/>
          <a:ext cx="498320" cy="319415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95096</xdr:colOff>
      <xdr:row>23</xdr:row>
      <xdr:rowOff>87366</xdr:rowOff>
    </xdr:from>
    <xdr:to>
      <xdr:col>4</xdr:col>
      <xdr:colOff>543542</xdr:colOff>
      <xdr:row>24</xdr:row>
      <xdr:rowOff>173956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533496" y="44688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M5</a:t>
          </a:r>
        </a:p>
      </xdr:txBody>
    </xdr:sp>
    <xdr:clientData/>
  </xdr:twoCellAnchor>
  <xdr:twoCellAnchor>
    <xdr:from>
      <xdr:col>4</xdr:col>
      <xdr:colOff>89834</xdr:colOff>
      <xdr:row>25</xdr:row>
      <xdr:rowOff>3284</xdr:rowOff>
    </xdr:from>
    <xdr:to>
      <xdr:col>4</xdr:col>
      <xdr:colOff>538280</xdr:colOff>
      <xdr:row>26</xdr:row>
      <xdr:rowOff>89874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528234" y="4765784"/>
          <a:ext cx="448446" cy="324715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M6</a:t>
          </a:r>
        </a:p>
      </xdr:txBody>
    </xdr:sp>
    <xdr:clientData/>
  </xdr:twoCellAnchor>
  <xdr:twoCellAnchor>
    <xdr:from>
      <xdr:col>4</xdr:col>
      <xdr:colOff>91142</xdr:colOff>
      <xdr:row>26</xdr:row>
      <xdr:rowOff>116269</xdr:rowOff>
    </xdr:from>
    <xdr:to>
      <xdr:col>4</xdr:col>
      <xdr:colOff>539588</xdr:colOff>
      <xdr:row>27</xdr:row>
      <xdr:rowOff>156876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529542" y="5116894"/>
          <a:ext cx="448446" cy="231107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M7</a:t>
          </a:r>
        </a:p>
      </xdr:txBody>
    </xdr:sp>
    <xdr:clientData/>
  </xdr:twoCellAnchor>
  <xdr:twoCellAnchor>
    <xdr:from>
      <xdr:col>4</xdr:col>
      <xdr:colOff>85880</xdr:colOff>
      <xdr:row>27</xdr:row>
      <xdr:rowOff>183271</xdr:rowOff>
    </xdr:from>
    <xdr:to>
      <xdr:col>4</xdr:col>
      <xdr:colOff>534326</xdr:colOff>
      <xdr:row>29</xdr:row>
      <xdr:rowOff>79361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524280" y="537439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M8</a:t>
          </a:r>
        </a:p>
      </xdr:txBody>
    </xdr:sp>
    <xdr:clientData/>
  </xdr:twoCellAnchor>
  <xdr:twoCellAnchor>
    <xdr:from>
      <xdr:col>5</xdr:col>
      <xdr:colOff>172139</xdr:colOff>
      <xdr:row>11</xdr:row>
      <xdr:rowOff>18604</xdr:rowOff>
    </xdr:from>
    <xdr:to>
      <xdr:col>5</xdr:col>
      <xdr:colOff>402373</xdr:colOff>
      <xdr:row>11</xdr:row>
      <xdr:rowOff>20284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220139" y="2114104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179293</xdr:colOff>
      <xdr:row>4</xdr:row>
      <xdr:rowOff>118392</xdr:rowOff>
    </xdr:from>
    <xdr:to>
      <xdr:col>3</xdr:col>
      <xdr:colOff>128624</xdr:colOff>
      <xdr:row>6</xdr:row>
      <xdr:rowOff>19001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flipH="1">
          <a:off x="1398493" y="880392"/>
          <a:ext cx="558931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98101</xdr:colOff>
      <xdr:row>21</xdr:row>
      <xdr:rowOff>168462</xdr:rowOff>
    </xdr:from>
    <xdr:to>
      <xdr:col>4</xdr:col>
      <xdr:colOff>546100</xdr:colOff>
      <xdr:row>23</xdr:row>
      <xdr:rowOff>64552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536501" y="416896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M4</a:t>
          </a:r>
        </a:p>
      </xdr:txBody>
    </xdr:sp>
    <xdr:clientData/>
  </xdr:twoCellAnchor>
  <xdr:twoCellAnchor>
    <xdr:from>
      <xdr:col>2</xdr:col>
      <xdr:colOff>231567</xdr:colOff>
      <xdr:row>3</xdr:row>
      <xdr:rowOff>5164</xdr:rowOff>
    </xdr:from>
    <xdr:to>
      <xdr:col>3</xdr:col>
      <xdr:colOff>132520</xdr:colOff>
      <xdr:row>4</xdr:row>
      <xdr:rowOff>91754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450767" y="576664"/>
          <a:ext cx="510553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  <xdr:twoCellAnchor>
    <xdr:from>
      <xdr:col>5</xdr:col>
      <xdr:colOff>457269</xdr:colOff>
      <xdr:row>6</xdr:row>
      <xdr:rowOff>86879</xdr:rowOff>
    </xdr:from>
    <xdr:to>
      <xdr:col>6</xdr:col>
      <xdr:colOff>37171</xdr:colOff>
      <xdr:row>6</xdr:row>
      <xdr:rowOff>88280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3505269" y="1229879"/>
          <a:ext cx="189502" cy="1401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15</xdr:row>
      <xdr:rowOff>108728</xdr:rowOff>
    </xdr:from>
    <xdr:to>
      <xdr:col>4</xdr:col>
      <xdr:colOff>544664</xdr:colOff>
      <xdr:row>17</xdr:row>
      <xdr:rowOff>4818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536617" y="296622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M0</a:t>
          </a:r>
        </a:p>
      </xdr:txBody>
    </xdr:sp>
    <xdr:clientData/>
  </xdr:twoCellAnchor>
  <xdr:twoCellAnchor>
    <xdr:from>
      <xdr:col>3</xdr:col>
      <xdr:colOff>139388</xdr:colOff>
      <xdr:row>8</xdr:row>
      <xdr:rowOff>119756</xdr:rowOff>
    </xdr:from>
    <xdr:to>
      <xdr:col>4</xdr:col>
      <xdr:colOff>91141</xdr:colOff>
      <xdr:row>27</xdr:row>
      <xdr:rowOff>18330</xdr:rowOff>
    </xdr:to>
    <xdr:cxnSp macro="">
      <xdr:nvCxnSpPr>
        <xdr:cNvPr id="19" name="Conector: Angulad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cxnSpLocks/>
          <a:stCxn id="3" idx="1"/>
          <a:endCxn id="11" idx="1"/>
        </xdr:cNvCxnSpPr>
      </xdr:nvCxnSpPr>
      <xdr:spPr>
        <a:xfrm rot="10800000" flipH="1" flipV="1">
          <a:off x="1968188" y="1643756"/>
          <a:ext cx="561353" cy="3565699"/>
        </a:xfrm>
        <a:prstGeom prst="bentConnector3">
          <a:avLst>
            <a:gd name="adj1" fmla="val -40628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99931</xdr:colOff>
      <xdr:row>17</xdr:row>
      <xdr:rowOff>24758</xdr:rowOff>
    </xdr:from>
    <xdr:to>
      <xdr:col>4</xdr:col>
      <xdr:colOff>546378</xdr:colOff>
      <xdr:row>18</xdr:row>
      <xdr:rowOff>111348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538331" y="326325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8</xdr:col>
      <xdr:colOff>572447</xdr:colOff>
      <xdr:row>9</xdr:row>
      <xdr:rowOff>73780</xdr:rowOff>
    </xdr:from>
    <xdr:to>
      <xdr:col>9</xdr:col>
      <xdr:colOff>380104</xdr:colOff>
      <xdr:row>10</xdr:row>
      <xdr:rowOff>71959</xdr:rowOff>
    </xdr:to>
    <xdr:sp macro="" textlink="">
      <xdr:nvSpPr>
        <xdr:cNvPr id="21" name="Seta: para a Direita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449247" y="1788280"/>
          <a:ext cx="417257" cy="188679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556703</xdr:colOff>
      <xdr:row>8</xdr:row>
      <xdr:rowOff>86419</xdr:rowOff>
    </xdr:from>
    <xdr:to>
      <xdr:col>9</xdr:col>
      <xdr:colOff>452308</xdr:colOff>
      <xdr:row>9</xdr:row>
      <xdr:rowOff>173009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433503" y="1610419"/>
          <a:ext cx="505205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5</xdr:col>
      <xdr:colOff>128175</xdr:colOff>
      <xdr:row>6</xdr:row>
      <xdr:rowOff>41910</xdr:rowOff>
    </xdr:from>
    <xdr:to>
      <xdr:col>8</xdr:col>
      <xdr:colOff>555638</xdr:colOff>
      <xdr:row>11</xdr:row>
      <xdr:rowOff>66675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176175" y="1184910"/>
          <a:ext cx="2256263" cy="977265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128728</xdr:colOff>
      <xdr:row>5</xdr:row>
      <xdr:rowOff>80723</xdr:rowOff>
    </xdr:from>
    <xdr:to>
      <xdr:col>8</xdr:col>
      <xdr:colOff>561411</xdr:colOff>
      <xdr:row>6</xdr:row>
      <xdr:rowOff>41871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176728" y="1033223"/>
          <a:ext cx="2261483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67988</xdr:colOff>
      <xdr:row>4</xdr:row>
      <xdr:rowOff>19707</xdr:rowOff>
    </xdr:from>
    <xdr:to>
      <xdr:col>11</xdr:col>
      <xdr:colOff>273307</xdr:colOff>
      <xdr:row>13</xdr:row>
      <xdr:rowOff>13138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7030763" y="781707"/>
          <a:ext cx="205319" cy="1707931"/>
        </a:xfrm>
        <a:prstGeom prst="rect">
          <a:avLst/>
        </a:prstGeom>
        <a:solidFill>
          <a:srgbClr val="FFFF00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540673</xdr:colOff>
      <xdr:row>6</xdr:row>
      <xdr:rowOff>56168</xdr:rowOff>
    </xdr:from>
    <xdr:to>
      <xdr:col>11</xdr:col>
      <xdr:colOff>65688</xdr:colOff>
      <xdr:row>11</xdr:row>
      <xdr:rowOff>13779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887575" y="1199168"/>
          <a:ext cx="133686" cy="91011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72868</xdr:colOff>
      <xdr:row>5</xdr:row>
      <xdr:rowOff>70464</xdr:rowOff>
    </xdr:from>
    <xdr:to>
      <xdr:col>11</xdr:col>
      <xdr:colOff>63342</xdr:colOff>
      <xdr:row>6</xdr:row>
      <xdr:rowOff>52071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419770" y="1022964"/>
          <a:ext cx="599145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534168</xdr:colOff>
      <xdr:row>9</xdr:row>
      <xdr:rowOff>160788</xdr:rowOff>
    </xdr:from>
    <xdr:to>
      <xdr:col>11</xdr:col>
      <xdr:colOff>278781</xdr:colOff>
      <xdr:row>10</xdr:row>
      <xdr:rowOff>67861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905892" y="1875288"/>
          <a:ext cx="356218" cy="97573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266833</xdr:colOff>
      <xdr:row>6</xdr:row>
      <xdr:rowOff>142551</xdr:rowOff>
    </xdr:from>
    <xdr:to>
      <xdr:col>5</xdr:col>
      <xdr:colOff>381000</xdr:colOff>
      <xdr:row>7</xdr:row>
      <xdr:rowOff>64227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3314833" y="1285551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103322</xdr:colOff>
      <xdr:row>10</xdr:row>
      <xdr:rowOff>158213</xdr:rowOff>
    </xdr:from>
    <xdr:to>
      <xdr:col>6</xdr:col>
      <xdr:colOff>109779</xdr:colOff>
      <xdr:row>15</xdr:row>
      <xdr:rowOff>16144</xdr:rowOff>
    </xdr:to>
    <xdr:cxnSp macro="">
      <xdr:nvCxnSpPr>
        <xdr:cNvPr id="36" name="Conector reto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 flipV="1">
          <a:off x="3764797" y="2063213"/>
          <a:ext cx="6457" cy="8104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576147</xdr:colOff>
      <xdr:row>10</xdr:row>
      <xdr:rowOff>146959</xdr:rowOff>
    </xdr:from>
    <xdr:to>
      <xdr:col>6</xdr:col>
      <xdr:colOff>578277</xdr:colOff>
      <xdr:row>15</xdr:row>
      <xdr:rowOff>0</xdr:rowOff>
    </xdr:to>
    <xdr:cxnSp macro="">
      <xdr:nvCxnSpPr>
        <xdr:cNvPr id="37" name="Conector reto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>
          <a:endCxn id="94" idx="4"/>
        </xdr:cNvCxnSpPr>
      </xdr:nvCxnSpPr>
      <xdr:spPr>
        <a:xfrm flipV="1">
          <a:off x="4228171" y="2051959"/>
          <a:ext cx="2130" cy="80554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442175</xdr:colOff>
      <xdr:row>10</xdr:row>
      <xdr:rowOff>146463</xdr:rowOff>
    </xdr:from>
    <xdr:to>
      <xdr:col>7</xdr:col>
      <xdr:colOff>445698</xdr:colOff>
      <xdr:row>15</xdr:row>
      <xdr:rowOff>14378</xdr:rowOff>
    </xdr:to>
    <xdr:cxnSp macro="">
      <xdr:nvCxnSpPr>
        <xdr:cNvPr id="39" name="Conector reto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>
          <a:endCxn id="96" idx="4"/>
        </xdr:cNvCxnSpPr>
      </xdr:nvCxnSpPr>
      <xdr:spPr>
        <a:xfrm flipH="1" flipV="1">
          <a:off x="4719439" y="2051463"/>
          <a:ext cx="3523" cy="82041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118242</xdr:colOff>
      <xdr:row>11</xdr:row>
      <xdr:rowOff>73500</xdr:rowOff>
    </xdr:from>
    <xdr:to>
      <xdr:col>8</xdr:col>
      <xdr:colOff>130635</xdr:colOff>
      <xdr:row>15</xdr:row>
      <xdr:rowOff>19707</xdr:rowOff>
    </xdr:to>
    <xdr:cxnSp macro="">
      <xdr:nvCxnSpPr>
        <xdr:cNvPr id="40" name="Conector reto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V="1">
          <a:off x="4995042" y="2169000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329216</xdr:colOff>
      <xdr:row>10</xdr:row>
      <xdr:rowOff>152401</xdr:rowOff>
    </xdr:from>
    <xdr:to>
      <xdr:col>5</xdr:col>
      <xdr:colOff>329360</xdr:colOff>
      <xdr:row>14</xdr:row>
      <xdr:rowOff>187178</xdr:rowOff>
    </xdr:to>
    <xdr:cxnSp macro="">
      <xdr:nvCxnSpPr>
        <xdr:cNvPr id="41" name="Conector reto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>
          <a:endCxn id="73" idx="4"/>
        </xdr:cNvCxnSpPr>
      </xdr:nvCxnSpPr>
      <xdr:spPr>
        <a:xfrm flipV="1">
          <a:off x="3384405" y="2057401"/>
          <a:ext cx="144" cy="79677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132693</xdr:colOff>
      <xdr:row>11</xdr:row>
      <xdr:rowOff>55107</xdr:rowOff>
    </xdr:from>
    <xdr:to>
      <xdr:col>5</xdr:col>
      <xdr:colOff>145086</xdr:colOff>
      <xdr:row>15</xdr:row>
      <xdr:rowOff>1314</xdr:rowOff>
    </xdr:to>
    <xdr:cxnSp macro="">
      <xdr:nvCxnSpPr>
        <xdr:cNvPr id="42" name="Conector reto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V="1">
          <a:off x="3180693" y="2150607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106550</xdr:colOff>
      <xdr:row>15</xdr:row>
      <xdr:rowOff>12915</xdr:rowOff>
    </xdr:from>
    <xdr:to>
      <xdr:col>6</xdr:col>
      <xdr:colOff>566854</xdr:colOff>
      <xdr:row>15</xdr:row>
      <xdr:rowOff>13939</xdr:rowOff>
    </xdr:to>
    <xdr:cxnSp macro="">
      <xdr:nvCxnSpPr>
        <xdr:cNvPr id="43" name="Conector de Seta Reta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3758574" y="2870415"/>
          <a:ext cx="460304" cy="102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423266</xdr:colOff>
      <xdr:row>15</xdr:row>
      <xdr:rowOff>9731</xdr:rowOff>
    </xdr:from>
    <xdr:to>
      <xdr:col>8</xdr:col>
      <xdr:colOff>116898</xdr:colOff>
      <xdr:row>15</xdr:row>
      <xdr:rowOff>12989</xdr:rowOff>
    </xdr:to>
    <xdr:cxnSp macro="">
      <xdr:nvCxnSpPr>
        <xdr:cNvPr id="44" name="Conector de Seta Reta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4690466" y="2867231"/>
          <a:ext cx="303232" cy="325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585439</xdr:colOff>
      <xdr:row>15</xdr:row>
      <xdr:rowOff>13939</xdr:rowOff>
    </xdr:from>
    <xdr:to>
      <xdr:col>7</xdr:col>
      <xdr:colOff>460664</xdr:colOff>
      <xdr:row>15</xdr:row>
      <xdr:rowOff>14721</xdr:rowOff>
    </xdr:to>
    <xdr:cxnSp macro="">
      <xdr:nvCxnSpPr>
        <xdr:cNvPr id="46" name="Conector de Seta Reta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4237463" y="2871439"/>
          <a:ext cx="483896" cy="78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544291</xdr:colOff>
      <xdr:row>15</xdr:row>
      <xdr:rowOff>32845</xdr:rowOff>
    </xdr:from>
    <xdr:to>
      <xdr:col>5</xdr:col>
      <xdr:colOff>525517</xdr:colOff>
      <xdr:row>19</xdr:row>
      <xdr:rowOff>86827</xdr:rowOff>
    </xdr:to>
    <xdr:cxnSp macro="">
      <xdr:nvCxnSpPr>
        <xdr:cNvPr id="47" name="Conector: Angulado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>
          <a:endCxn id="6" idx="3"/>
        </xdr:cNvCxnSpPr>
      </xdr:nvCxnSpPr>
      <xdr:spPr>
        <a:xfrm rot="5400000">
          <a:off x="2870113" y="3002923"/>
          <a:ext cx="815982" cy="590826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568838</xdr:colOff>
      <xdr:row>15</xdr:row>
      <xdr:rowOff>28198</xdr:rowOff>
    </xdr:from>
    <xdr:to>
      <xdr:col>6</xdr:col>
      <xdr:colOff>279422</xdr:colOff>
      <xdr:row>20</xdr:row>
      <xdr:rowOff>188597</xdr:rowOff>
    </xdr:to>
    <xdr:cxnSp macro="">
      <xdr:nvCxnSpPr>
        <xdr:cNvPr id="48" name="Conector: Angulado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 rot="5400000">
          <a:off x="2911034" y="2978185"/>
          <a:ext cx="1112899" cy="927925"/>
        </a:xfrm>
        <a:prstGeom prst="bentConnector3">
          <a:avLst>
            <a:gd name="adj1" fmla="val 101353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416215</xdr:colOff>
      <xdr:row>15</xdr:row>
      <xdr:rowOff>19710</xdr:rowOff>
    </xdr:from>
    <xdr:to>
      <xdr:col>7</xdr:col>
      <xdr:colOff>189859</xdr:colOff>
      <xdr:row>24</xdr:row>
      <xdr:rowOff>25081</xdr:rowOff>
    </xdr:to>
    <xdr:cxnSp macro="">
      <xdr:nvCxnSpPr>
        <xdr:cNvPr id="50" name="Conector: Angulado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 rot="5400000">
          <a:off x="2790790" y="2937318"/>
          <a:ext cx="1719871" cy="1599656"/>
        </a:xfrm>
        <a:prstGeom prst="bentConnector3">
          <a:avLst>
            <a:gd name="adj1" fmla="val 10003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529843</xdr:colOff>
      <xdr:row>15</xdr:row>
      <xdr:rowOff>13141</xdr:rowOff>
    </xdr:from>
    <xdr:to>
      <xdr:col>7</xdr:col>
      <xdr:colOff>578069</xdr:colOff>
      <xdr:row>25</xdr:row>
      <xdr:rowOff>138067</xdr:rowOff>
    </xdr:to>
    <xdr:cxnSp macro="">
      <xdr:nvCxnSpPr>
        <xdr:cNvPr id="51" name="Conector: Angulado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 rot="5400000">
          <a:off x="2891793" y="2947091"/>
          <a:ext cx="2029926" cy="1877026"/>
        </a:xfrm>
        <a:prstGeom prst="bentConnector3">
          <a:avLst>
            <a:gd name="adj1" fmla="val 10015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7</xdr:row>
      <xdr:rowOff>8139</xdr:rowOff>
    </xdr:from>
    <xdr:to>
      <xdr:col>5</xdr:col>
      <xdr:colOff>266833</xdr:colOff>
      <xdr:row>16</xdr:row>
      <xdr:rowOff>56773</xdr:rowOff>
    </xdr:to>
    <xdr:cxnSp macro="">
      <xdr:nvCxnSpPr>
        <xdr:cNvPr id="52" name="Conector: Angulado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CxnSpPr>
          <a:stCxn id="33" idx="2"/>
          <a:endCxn id="18" idx="1"/>
        </xdr:cNvCxnSpPr>
      </xdr:nvCxnSpPr>
      <xdr:spPr>
        <a:xfrm rot="10800000" flipV="1">
          <a:off x="2536617" y="1341639"/>
          <a:ext cx="778216" cy="1763134"/>
        </a:xfrm>
        <a:prstGeom prst="bentConnector3">
          <a:avLst>
            <a:gd name="adj1" fmla="val 12937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65343</xdr:colOff>
      <xdr:row>11</xdr:row>
      <xdr:rowOff>134315</xdr:rowOff>
    </xdr:from>
    <xdr:to>
      <xdr:col>11</xdr:col>
      <xdr:colOff>68540</xdr:colOff>
      <xdr:row>14</xdr:row>
      <xdr:rowOff>168546</xdr:rowOff>
    </xdr:to>
    <xdr:cxnSp macro="">
      <xdr:nvCxnSpPr>
        <xdr:cNvPr id="53" name="Conector reto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 flipV="1">
          <a:off x="7048672" y="2229815"/>
          <a:ext cx="3197" cy="6057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406066</xdr:colOff>
      <xdr:row>8</xdr:row>
      <xdr:rowOff>130342</xdr:rowOff>
    </xdr:from>
    <xdr:to>
      <xdr:col>10</xdr:col>
      <xdr:colOff>411079</xdr:colOff>
      <xdr:row>14</xdr:row>
      <xdr:rowOff>160075</xdr:rowOff>
    </xdr:to>
    <xdr:cxnSp macro="">
      <xdr:nvCxnSpPr>
        <xdr:cNvPr id="54" name="Conector reto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 flipV="1">
          <a:off x="6777790" y="1654342"/>
          <a:ext cx="5013" cy="1172733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408360</xdr:colOff>
      <xdr:row>14</xdr:row>
      <xdr:rowOff>153533</xdr:rowOff>
    </xdr:from>
    <xdr:to>
      <xdr:col>11</xdr:col>
      <xdr:colOff>127696</xdr:colOff>
      <xdr:row>14</xdr:row>
      <xdr:rowOff>153738</xdr:rowOff>
    </xdr:to>
    <xdr:cxnSp macro="">
      <xdr:nvCxnSpPr>
        <xdr:cNvPr id="55" name="Conector de Seta Reta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 flipV="1">
          <a:off x="6780084" y="2820533"/>
          <a:ext cx="330941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376333</xdr:colOff>
      <xdr:row>8</xdr:row>
      <xdr:rowOff>72950</xdr:rowOff>
    </xdr:from>
    <xdr:to>
      <xdr:col>10</xdr:col>
      <xdr:colOff>436145</xdr:colOff>
      <xdr:row>8</xdr:row>
      <xdr:rowOff>145208</xdr:rowOff>
    </xdr:to>
    <xdr:sp macro="" textlink="">
      <xdr:nvSpPr>
        <xdr:cNvPr id="56" name="Elips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6748057" y="1596950"/>
          <a:ext cx="59812" cy="72258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64360</xdr:colOff>
      <xdr:row>5</xdr:row>
      <xdr:rowOff>70184</xdr:rowOff>
    </xdr:from>
    <xdr:to>
      <xdr:col>12</xdr:col>
      <xdr:colOff>421105</xdr:colOff>
      <xdr:row>5</xdr:row>
      <xdr:rowOff>73780</xdr:rowOff>
    </xdr:to>
    <xdr:cxnSp macro="">
      <xdr:nvCxnSpPr>
        <xdr:cNvPr id="57" name="Conector reto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 flipH="1">
          <a:off x="7047689" y="1022684"/>
          <a:ext cx="968350" cy="3596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277575</xdr:colOff>
      <xdr:row>10</xdr:row>
      <xdr:rowOff>15039</xdr:rowOff>
    </xdr:from>
    <xdr:to>
      <xdr:col>12</xdr:col>
      <xdr:colOff>501316</xdr:colOff>
      <xdr:row>10</xdr:row>
      <xdr:rowOff>17564</xdr:rowOff>
    </xdr:to>
    <xdr:cxnSp macro="">
      <xdr:nvCxnSpPr>
        <xdr:cNvPr id="58" name="Conector reto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 flipH="1">
          <a:off x="7260904" y="1920039"/>
          <a:ext cx="835346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61425</xdr:colOff>
      <xdr:row>11</xdr:row>
      <xdr:rowOff>135355</xdr:rowOff>
    </xdr:from>
    <xdr:to>
      <xdr:col>12</xdr:col>
      <xdr:colOff>506329</xdr:colOff>
      <xdr:row>11</xdr:row>
      <xdr:rowOff>144252</xdr:rowOff>
    </xdr:to>
    <xdr:cxnSp macro="">
      <xdr:nvCxnSpPr>
        <xdr:cNvPr id="60" name="Conector reto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 flipH="1">
          <a:off x="7044754" y="2230855"/>
          <a:ext cx="1056509" cy="889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425642</xdr:colOff>
      <xdr:row>5</xdr:row>
      <xdr:rowOff>59025</xdr:rowOff>
    </xdr:from>
    <xdr:to>
      <xdr:col>12</xdr:col>
      <xdr:colOff>426119</xdr:colOff>
      <xdr:row>6</xdr:row>
      <xdr:rowOff>170447</xdr:rowOff>
    </xdr:to>
    <xdr:cxnSp macro="">
      <xdr:nvCxnSpPr>
        <xdr:cNvPr id="61" name="Conector de Seta Reta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CxnSpPr/>
      </xdr:nvCxnSpPr>
      <xdr:spPr>
        <a:xfrm>
          <a:off x="8020576" y="1011525"/>
          <a:ext cx="477" cy="30192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501316</xdr:colOff>
      <xdr:row>10</xdr:row>
      <xdr:rowOff>10026</xdr:rowOff>
    </xdr:from>
    <xdr:to>
      <xdr:col>12</xdr:col>
      <xdr:colOff>506329</xdr:colOff>
      <xdr:row>11</xdr:row>
      <xdr:rowOff>135355</xdr:rowOff>
    </xdr:to>
    <xdr:cxnSp macro="">
      <xdr:nvCxnSpPr>
        <xdr:cNvPr id="62" name="Conector de Seta Reta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8096250" y="1915026"/>
          <a:ext cx="5013" cy="31582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534326</xdr:colOff>
      <xdr:row>10</xdr:row>
      <xdr:rowOff>133349</xdr:rowOff>
    </xdr:from>
    <xdr:to>
      <xdr:col>10</xdr:col>
      <xdr:colOff>523875</xdr:colOff>
      <xdr:row>28</xdr:row>
      <xdr:rowOff>131315</xdr:rowOff>
    </xdr:to>
    <xdr:cxnSp macro="">
      <xdr:nvCxnSpPr>
        <xdr:cNvPr id="63" name="Conector: Angulado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>
          <a:cxnSpLocks/>
          <a:endCxn id="12" idx="3"/>
        </xdr:cNvCxnSpPr>
      </xdr:nvCxnSpPr>
      <xdr:spPr>
        <a:xfrm rot="10800000" flipV="1">
          <a:off x="2972726" y="2038349"/>
          <a:ext cx="3904324" cy="3474591"/>
        </a:xfrm>
        <a:prstGeom prst="bentConnector3">
          <a:avLst>
            <a:gd name="adj1" fmla="val 15846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86166</xdr:colOff>
      <xdr:row>29</xdr:row>
      <xdr:rowOff>105014</xdr:rowOff>
    </xdr:from>
    <xdr:to>
      <xdr:col>4</xdr:col>
      <xdr:colOff>534612</xdr:colOff>
      <xdr:row>31</xdr:row>
      <xdr:rowOff>1104</xdr:rowOff>
    </xdr:to>
    <xdr:sp macro="" textlink="">
      <xdr:nvSpPr>
        <xdr:cNvPr id="64" name="Retângulo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2524566" y="567713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M9</a:t>
          </a:r>
        </a:p>
      </xdr:txBody>
    </xdr:sp>
    <xdr:clientData/>
  </xdr:twoCellAnchor>
  <xdr:twoCellAnchor>
    <xdr:from>
      <xdr:col>4</xdr:col>
      <xdr:colOff>538412</xdr:colOff>
      <xdr:row>14</xdr:row>
      <xdr:rowOff>171449</xdr:rowOff>
    </xdr:from>
    <xdr:to>
      <xdr:col>10</xdr:col>
      <xdr:colOff>542925</xdr:colOff>
      <xdr:row>30</xdr:row>
      <xdr:rowOff>63523</xdr:rowOff>
    </xdr:to>
    <xdr:cxnSp macro="">
      <xdr:nvCxnSpPr>
        <xdr:cNvPr id="65" name="Conector: Angulado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 rot="10800000" flipV="1">
          <a:off x="2976812" y="2838449"/>
          <a:ext cx="3919288" cy="2987699"/>
        </a:xfrm>
        <a:prstGeom prst="bentConnector3">
          <a:avLst>
            <a:gd name="adj1" fmla="val -307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388328</xdr:colOff>
      <xdr:row>16</xdr:row>
      <xdr:rowOff>71491</xdr:rowOff>
    </xdr:from>
    <xdr:to>
      <xdr:col>13</xdr:col>
      <xdr:colOff>305576</xdr:colOff>
      <xdr:row>17</xdr:row>
      <xdr:rowOff>158081</xdr:rowOff>
    </xdr:to>
    <xdr:sp macro="" textlink="">
      <xdr:nvSpPr>
        <xdr:cNvPr id="66" name="Retângulo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7942386" y="3119491"/>
          <a:ext cx="525382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13</xdr:col>
      <xdr:colOff>12584</xdr:colOff>
      <xdr:row>24</xdr:row>
      <xdr:rowOff>87013</xdr:rowOff>
    </xdr:from>
    <xdr:to>
      <xdr:col>13</xdr:col>
      <xdr:colOff>461030</xdr:colOff>
      <xdr:row>25</xdr:row>
      <xdr:rowOff>173603</xdr:rowOff>
    </xdr:to>
    <xdr:sp macro="" textlink="">
      <xdr:nvSpPr>
        <xdr:cNvPr id="67" name="Retângulo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8219123" y="4659013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M11</a:t>
          </a:r>
        </a:p>
      </xdr:txBody>
    </xdr:sp>
    <xdr:clientData/>
  </xdr:twoCellAnchor>
  <xdr:twoCellAnchor>
    <xdr:from>
      <xdr:col>12</xdr:col>
      <xdr:colOff>526384</xdr:colOff>
      <xdr:row>10</xdr:row>
      <xdr:rowOff>165436</xdr:rowOff>
    </xdr:from>
    <xdr:to>
      <xdr:col>13</xdr:col>
      <xdr:colOff>305576</xdr:colOff>
      <xdr:row>17</xdr:row>
      <xdr:rowOff>19536</xdr:rowOff>
    </xdr:to>
    <xdr:cxnSp macro="">
      <xdr:nvCxnSpPr>
        <xdr:cNvPr id="68" name="Conector: Angulado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>
          <a:endCxn id="66" idx="3"/>
        </xdr:cNvCxnSpPr>
      </xdr:nvCxnSpPr>
      <xdr:spPr>
        <a:xfrm rot="16200000" flipH="1">
          <a:off x="7680305" y="2470573"/>
          <a:ext cx="1187600" cy="387326"/>
        </a:xfrm>
        <a:prstGeom prst="bentConnector4">
          <a:avLst>
            <a:gd name="adj1" fmla="val 363"/>
            <a:gd name="adj2" fmla="val 15902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416095</xdr:colOff>
      <xdr:row>6</xdr:row>
      <xdr:rowOff>25068</xdr:rowOff>
    </xdr:from>
    <xdr:to>
      <xdr:col>13</xdr:col>
      <xdr:colOff>461029</xdr:colOff>
      <xdr:row>25</xdr:row>
      <xdr:rowOff>35058</xdr:rowOff>
    </xdr:to>
    <xdr:cxnSp macro="">
      <xdr:nvCxnSpPr>
        <xdr:cNvPr id="69" name="Conector: Angulado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>
          <a:endCxn id="67" idx="3"/>
        </xdr:cNvCxnSpPr>
      </xdr:nvCxnSpPr>
      <xdr:spPr>
        <a:xfrm rot="16200000" flipH="1">
          <a:off x="6524554" y="2654543"/>
          <a:ext cx="3629490" cy="656539"/>
        </a:xfrm>
        <a:prstGeom prst="bentConnector4">
          <a:avLst>
            <a:gd name="adj1" fmla="val 24"/>
            <a:gd name="adj2" fmla="val 176816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125889</xdr:colOff>
      <xdr:row>11</xdr:row>
      <xdr:rowOff>58549</xdr:rowOff>
    </xdr:from>
    <xdr:to>
      <xdr:col>8</xdr:col>
      <xdr:colOff>558572</xdr:colOff>
      <xdr:row>12</xdr:row>
      <xdr:rowOff>19697</xdr:rowOff>
    </xdr:to>
    <xdr:sp macro="" textlink="">
      <xdr:nvSpPr>
        <xdr:cNvPr id="70" name="Retângulo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3190454" y="2154049"/>
          <a:ext cx="2271422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272276</xdr:colOff>
      <xdr:row>10</xdr:row>
      <xdr:rowOff>40225</xdr:rowOff>
    </xdr:from>
    <xdr:to>
      <xdr:col>5</xdr:col>
      <xdr:colOff>386443</xdr:colOff>
      <xdr:row>10</xdr:row>
      <xdr:rowOff>152401</xdr:rowOff>
    </xdr:to>
    <xdr:sp macro="" textlink="">
      <xdr:nvSpPr>
        <xdr:cNvPr id="73" name="Elips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3320276" y="19452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528091</xdr:colOff>
      <xdr:row>6</xdr:row>
      <xdr:rowOff>136466</xdr:rowOff>
    </xdr:from>
    <xdr:to>
      <xdr:col>7</xdr:col>
      <xdr:colOff>32658</xdr:colOff>
      <xdr:row>7</xdr:row>
      <xdr:rowOff>58142</xdr:rowOff>
    </xdr:to>
    <xdr:sp macro="" textlink="">
      <xdr:nvSpPr>
        <xdr:cNvPr id="74" name="Elipse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4179753" y="1279466"/>
          <a:ext cx="113178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51296</xdr:colOff>
      <xdr:row>6</xdr:row>
      <xdr:rowOff>144184</xdr:rowOff>
    </xdr:from>
    <xdr:to>
      <xdr:col>6</xdr:col>
      <xdr:colOff>165463</xdr:colOff>
      <xdr:row>7</xdr:row>
      <xdr:rowOff>65860</xdr:rowOff>
    </xdr:to>
    <xdr:sp macro="" textlink="">
      <xdr:nvSpPr>
        <xdr:cNvPr id="75" name="Elips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3708896" y="1287184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386576</xdr:colOff>
      <xdr:row>6</xdr:row>
      <xdr:rowOff>140918</xdr:rowOff>
    </xdr:from>
    <xdr:to>
      <xdr:col>7</xdr:col>
      <xdr:colOff>500743</xdr:colOff>
      <xdr:row>7</xdr:row>
      <xdr:rowOff>62594</xdr:rowOff>
    </xdr:to>
    <xdr:sp macro="" textlink="">
      <xdr:nvSpPr>
        <xdr:cNvPr id="76" name="Elips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4653776" y="1283918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521658</xdr:colOff>
      <xdr:row>10</xdr:row>
      <xdr:rowOff>34783</xdr:rowOff>
    </xdr:from>
    <xdr:to>
      <xdr:col>7</xdr:col>
      <xdr:colOff>26225</xdr:colOff>
      <xdr:row>10</xdr:row>
      <xdr:rowOff>146959</xdr:rowOff>
    </xdr:to>
    <xdr:sp macro="" textlink="">
      <xdr:nvSpPr>
        <xdr:cNvPr id="94" name="Elips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4173320" y="1939783"/>
          <a:ext cx="113178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48129</xdr:colOff>
      <xdr:row>10</xdr:row>
      <xdr:rowOff>40225</xdr:rowOff>
    </xdr:from>
    <xdr:to>
      <xdr:col>6</xdr:col>
      <xdr:colOff>162296</xdr:colOff>
      <xdr:row>10</xdr:row>
      <xdr:rowOff>152401</xdr:rowOff>
    </xdr:to>
    <xdr:sp macro="" textlink="">
      <xdr:nvSpPr>
        <xdr:cNvPr id="95" name="Elips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3699791" y="19452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385091</xdr:colOff>
      <xdr:row>10</xdr:row>
      <xdr:rowOff>34287</xdr:rowOff>
    </xdr:from>
    <xdr:to>
      <xdr:col>7</xdr:col>
      <xdr:colOff>499258</xdr:colOff>
      <xdr:row>10</xdr:row>
      <xdr:rowOff>146463</xdr:rowOff>
    </xdr:to>
    <xdr:sp macro="" textlink="">
      <xdr:nvSpPr>
        <xdr:cNvPr id="96" name="Elips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4645364" y="1939287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522152</xdr:colOff>
      <xdr:row>9</xdr:row>
      <xdr:rowOff>2769</xdr:rowOff>
    </xdr:from>
    <xdr:to>
      <xdr:col>7</xdr:col>
      <xdr:colOff>26719</xdr:colOff>
      <xdr:row>9</xdr:row>
      <xdr:rowOff>114945</xdr:rowOff>
    </xdr:to>
    <xdr:sp macro="" textlink="">
      <xdr:nvSpPr>
        <xdr:cNvPr id="97" name="Elips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4173814" y="1717269"/>
          <a:ext cx="113178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48029</xdr:colOff>
      <xdr:row>9</xdr:row>
      <xdr:rowOff>2125</xdr:rowOff>
    </xdr:from>
    <xdr:to>
      <xdr:col>6</xdr:col>
      <xdr:colOff>162196</xdr:colOff>
      <xdr:row>9</xdr:row>
      <xdr:rowOff>114301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3705629" y="17166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388059</xdr:colOff>
      <xdr:row>8</xdr:row>
      <xdr:rowOff>188963</xdr:rowOff>
    </xdr:from>
    <xdr:to>
      <xdr:col>7</xdr:col>
      <xdr:colOff>502226</xdr:colOff>
      <xdr:row>9</xdr:row>
      <xdr:rowOff>110639</xdr:rowOff>
    </xdr:to>
    <xdr:sp macro="" textlink="">
      <xdr:nvSpPr>
        <xdr:cNvPr id="99" name="Elipse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4648332" y="1712963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524329</xdr:colOff>
      <xdr:row>7</xdr:row>
      <xdr:rowOff>156703</xdr:rowOff>
    </xdr:from>
    <xdr:to>
      <xdr:col>7</xdr:col>
      <xdr:colOff>28896</xdr:colOff>
      <xdr:row>8</xdr:row>
      <xdr:rowOff>78379</xdr:rowOff>
    </xdr:to>
    <xdr:sp macro="" textlink="">
      <xdr:nvSpPr>
        <xdr:cNvPr id="100" name="Elipse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4175991" y="1490203"/>
          <a:ext cx="113178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46396</xdr:colOff>
      <xdr:row>7</xdr:row>
      <xdr:rowOff>165955</xdr:rowOff>
    </xdr:from>
    <xdr:to>
      <xdr:col>6</xdr:col>
      <xdr:colOff>160563</xdr:colOff>
      <xdr:row>8</xdr:row>
      <xdr:rowOff>87631</xdr:rowOff>
    </xdr:to>
    <xdr:sp macro="" textlink="">
      <xdr:nvSpPr>
        <xdr:cNvPr id="101" name="Elipse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3703996" y="149945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385486</xdr:colOff>
      <xdr:row>7</xdr:row>
      <xdr:rowOff>162689</xdr:rowOff>
    </xdr:from>
    <xdr:to>
      <xdr:col>7</xdr:col>
      <xdr:colOff>499653</xdr:colOff>
      <xdr:row>8</xdr:row>
      <xdr:rowOff>84365</xdr:rowOff>
    </xdr:to>
    <xdr:sp macro="" textlink="">
      <xdr:nvSpPr>
        <xdr:cNvPr id="102" name="Elipse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4652686" y="1496189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439899</xdr:colOff>
      <xdr:row>6</xdr:row>
      <xdr:rowOff>146659</xdr:rowOff>
    </xdr:from>
    <xdr:to>
      <xdr:col>7</xdr:col>
      <xdr:colOff>444847</xdr:colOff>
      <xdr:row>10</xdr:row>
      <xdr:rowOff>162348</xdr:rowOff>
    </xdr:to>
    <xdr:cxnSp macro="">
      <xdr:nvCxnSpPr>
        <xdr:cNvPr id="105" name="Conector reto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CxnSpPr/>
      </xdr:nvCxnSpPr>
      <xdr:spPr>
        <a:xfrm flipV="1">
          <a:off x="4700172" y="1289659"/>
          <a:ext cx="4948" cy="7776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81232</xdr:colOff>
      <xdr:row>10</xdr:row>
      <xdr:rowOff>157815</xdr:rowOff>
    </xdr:from>
    <xdr:to>
      <xdr:col>11</xdr:col>
      <xdr:colOff>71706</xdr:colOff>
      <xdr:row>11</xdr:row>
      <xdr:rowOff>139422</xdr:rowOff>
    </xdr:to>
    <xdr:sp macro="" textlink="">
      <xdr:nvSpPr>
        <xdr:cNvPr id="121" name="Retângulo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6428134" y="2062815"/>
          <a:ext cx="599145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537884</xdr:colOff>
      <xdr:row>6</xdr:row>
      <xdr:rowOff>129167</xdr:rowOff>
    </xdr:from>
    <xdr:to>
      <xdr:col>11</xdr:col>
      <xdr:colOff>278781</xdr:colOff>
      <xdr:row>7</xdr:row>
      <xdr:rowOff>32524</xdr:rowOff>
    </xdr:to>
    <xdr:sp macro="" textlink="">
      <xdr:nvSpPr>
        <xdr:cNvPr id="122" name="Retângulo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6884786" y="1272167"/>
          <a:ext cx="349568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538127</xdr:colOff>
      <xdr:row>7</xdr:row>
      <xdr:rowOff>144205</xdr:rowOff>
    </xdr:from>
    <xdr:to>
      <xdr:col>11</xdr:col>
      <xdr:colOff>279024</xdr:colOff>
      <xdr:row>8</xdr:row>
      <xdr:rowOff>47562</xdr:rowOff>
    </xdr:to>
    <xdr:sp macro="" textlink="">
      <xdr:nvSpPr>
        <xdr:cNvPr id="124" name="Retângulo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6909851" y="1477705"/>
          <a:ext cx="352502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540132</xdr:colOff>
      <xdr:row>8</xdr:row>
      <xdr:rowOff>156239</xdr:rowOff>
    </xdr:from>
    <xdr:to>
      <xdr:col>11</xdr:col>
      <xdr:colOff>281029</xdr:colOff>
      <xdr:row>9</xdr:row>
      <xdr:rowOff>59596</xdr:rowOff>
    </xdr:to>
    <xdr:sp macro="" textlink="">
      <xdr:nvSpPr>
        <xdr:cNvPr id="125" name="Retângulo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>
          <a:off x="6911856" y="1680239"/>
          <a:ext cx="352502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199370</xdr:colOff>
      <xdr:row>6</xdr:row>
      <xdr:rowOff>177465</xdr:rowOff>
    </xdr:from>
    <xdr:to>
      <xdr:col>12</xdr:col>
      <xdr:colOff>423111</xdr:colOff>
      <xdr:row>6</xdr:row>
      <xdr:rowOff>179990</xdr:rowOff>
    </xdr:to>
    <xdr:cxnSp macro="">
      <xdr:nvCxnSpPr>
        <xdr:cNvPr id="132" name="Conector reto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CxnSpPr/>
      </xdr:nvCxnSpPr>
      <xdr:spPr>
        <a:xfrm flipH="1">
          <a:off x="7182699" y="1320465"/>
          <a:ext cx="835346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538010</xdr:colOff>
      <xdr:row>8</xdr:row>
      <xdr:rowOff>102577</xdr:rowOff>
    </xdr:from>
    <xdr:to>
      <xdr:col>9</xdr:col>
      <xdr:colOff>783980</xdr:colOff>
      <xdr:row>22</xdr:row>
      <xdr:rowOff>86817</xdr:rowOff>
    </xdr:to>
    <xdr:cxnSp macro="">
      <xdr:nvCxnSpPr>
        <xdr:cNvPr id="143" name="Conector: Angulado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CxnSpPr/>
      </xdr:nvCxnSpPr>
      <xdr:spPr>
        <a:xfrm flipV="1">
          <a:off x="2970548" y="1626577"/>
          <a:ext cx="3286644" cy="2651240"/>
        </a:xfrm>
        <a:prstGeom prst="bentConnector3">
          <a:avLst>
            <a:gd name="adj1" fmla="val 92134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849923</xdr:colOff>
      <xdr:row>5</xdr:row>
      <xdr:rowOff>58616</xdr:rowOff>
    </xdr:from>
    <xdr:to>
      <xdr:col>9</xdr:col>
      <xdr:colOff>849923</xdr:colOff>
      <xdr:row>11</xdr:row>
      <xdr:rowOff>139212</xdr:rowOff>
    </xdr:to>
    <xdr:cxnSp macro="">
      <xdr:nvCxnSpPr>
        <xdr:cNvPr id="149" name="Conector de Seta Reta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CxnSpPr/>
      </xdr:nvCxnSpPr>
      <xdr:spPr>
        <a:xfrm>
          <a:off x="6323135" y="1011116"/>
          <a:ext cx="0" cy="122359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271019</xdr:colOff>
      <xdr:row>9</xdr:row>
      <xdr:rowOff>7712</xdr:rowOff>
    </xdr:from>
    <xdr:to>
      <xdr:col>12</xdr:col>
      <xdr:colOff>494760</xdr:colOff>
      <xdr:row>9</xdr:row>
      <xdr:rowOff>10237</xdr:rowOff>
    </xdr:to>
    <xdr:cxnSp macro="">
      <xdr:nvCxnSpPr>
        <xdr:cNvPr id="153" name="Conector reto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CxnSpPr/>
      </xdr:nvCxnSpPr>
      <xdr:spPr>
        <a:xfrm flipH="1">
          <a:off x="7216942" y="1722212"/>
          <a:ext cx="831876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505557</xdr:colOff>
      <xdr:row>8</xdr:row>
      <xdr:rowOff>171218</xdr:rowOff>
    </xdr:from>
    <xdr:to>
      <xdr:col>12</xdr:col>
      <xdr:colOff>505557</xdr:colOff>
      <xdr:row>10</xdr:row>
      <xdr:rowOff>7327</xdr:rowOff>
    </xdr:to>
    <xdr:cxnSp macro="">
      <xdr:nvCxnSpPr>
        <xdr:cNvPr id="154" name="Conector de Seta Reta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CxnSpPr/>
      </xdr:nvCxnSpPr>
      <xdr:spPr>
        <a:xfrm>
          <a:off x="8059615" y="1695218"/>
          <a:ext cx="0" cy="21710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521373</xdr:colOff>
      <xdr:row>9</xdr:row>
      <xdr:rowOff>115305</xdr:rowOff>
    </xdr:from>
    <xdr:to>
      <xdr:col>13</xdr:col>
      <xdr:colOff>456516</xdr:colOff>
      <xdr:row>21</xdr:row>
      <xdr:rowOff>170410</xdr:rowOff>
    </xdr:to>
    <xdr:cxnSp macro="">
      <xdr:nvCxnSpPr>
        <xdr:cNvPr id="156" name="Conector: Angulado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CxnSpPr>
          <a:endCxn id="159" idx="3"/>
        </xdr:cNvCxnSpPr>
      </xdr:nvCxnSpPr>
      <xdr:spPr>
        <a:xfrm rot="16200000" flipH="1">
          <a:off x="7219128" y="2726984"/>
          <a:ext cx="2341105" cy="546748"/>
        </a:xfrm>
        <a:prstGeom prst="bentConnector4">
          <a:avLst>
            <a:gd name="adj1" fmla="val 145"/>
            <a:gd name="adj2" fmla="val 141811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8069</xdr:colOff>
      <xdr:row>21</xdr:row>
      <xdr:rowOff>31866</xdr:rowOff>
    </xdr:from>
    <xdr:to>
      <xdr:col>13</xdr:col>
      <xdr:colOff>456515</xdr:colOff>
      <xdr:row>22</xdr:row>
      <xdr:rowOff>118456</xdr:rowOff>
    </xdr:to>
    <xdr:sp macro="" textlink="">
      <xdr:nvSpPr>
        <xdr:cNvPr id="159" name="Retângulo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>
        <a:xfrm>
          <a:off x="8214608" y="40323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22289</xdr:colOff>
      <xdr:row>0</xdr:row>
      <xdr:rowOff>173296</xdr:rowOff>
    </xdr:from>
    <xdr:to>
      <xdr:col>15</xdr:col>
      <xdr:colOff>0</xdr:colOff>
      <xdr:row>35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"/>
        <a:stretch/>
      </xdr:blipFill>
      <xdr:spPr>
        <a:xfrm>
          <a:off x="1241489" y="173296"/>
          <a:ext cx="8159686" cy="6732329"/>
        </a:xfrm>
        <a:prstGeom prst="rect">
          <a:avLst/>
        </a:prstGeom>
      </xdr:spPr>
    </xdr:pic>
    <xdr:clientData/>
  </xdr:twoCellAnchor>
  <xdr:twoCellAnchor>
    <xdr:from>
      <xdr:col>3</xdr:col>
      <xdr:colOff>139389</xdr:colOff>
      <xdr:row>4</xdr:row>
      <xdr:rowOff>32864</xdr:rowOff>
    </xdr:from>
    <xdr:to>
      <xdr:col>8</xdr:col>
      <xdr:colOff>139390</xdr:colOff>
      <xdr:row>13</xdr:row>
      <xdr:rowOff>16150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968189" y="794864"/>
          <a:ext cx="3048001" cy="1697786"/>
        </a:xfrm>
        <a:prstGeom prst="rect">
          <a:avLst/>
        </a:prstGeom>
        <a:solidFill>
          <a:srgbClr val="FFFF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111767</xdr:colOff>
      <xdr:row>15</xdr:row>
      <xdr:rowOff>16099</xdr:rowOff>
    </xdr:from>
    <xdr:to>
      <xdr:col>5</xdr:col>
      <xdr:colOff>335387</xdr:colOff>
      <xdr:row>15</xdr:row>
      <xdr:rowOff>17434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3159767" y="2873599"/>
          <a:ext cx="223620" cy="133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330687</xdr:colOff>
      <xdr:row>15</xdr:row>
      <xdr:rowOff>16144</xdr:rowOff>
    </xdr:from>
    <xdr:to>
      <xdr:col>6</xdr:col>
      <xdr:colOff>100093</xdr:colOff>
      <xdr:row>15</xdr:row>
      <xdr:rowOff>17758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3378687" y="2873644"/>
          <a:ext cx="379006" cy="161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96292</xdr:colOff>
      <xdr:row>18</xdr:row>
      <xdr:rowOff>138782</xdr:rowOff>
    </xdr:from>
    <xdr:to>
      <xdr:col>4</xdr:col>
      <xdr:colOff>544291</xdr:colOff>
      <xdr:row>20</xdr:row>
      <xdr:rowOff>34872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534692" y="356778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M2</a:t>
          </a:r>
        </a:p>
      </xdr:txBody>
    </xdr:sp>
    <xdr:clientData/>
  </xdr:twoCellAnchor>
  <xdr:twoCellAnchor>
    <xdr:from>
      <xdr:col>4</xdr:col>
      <xdr:colOff>99415</xdr:colOff>
      <xdr:row>20</xdr:row>
      <xdr:rowOff>56788</xdr:rowOff>
    </xdr:from>
    <xdr:to>
      <xdr:col>4</xdr:col>
      <xdr:colOff>547414</xdr:colOff>
      <xdr:row>21</xdr:row>
      <xdr:rowOff>143378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537815" y="3866788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M3</a:t>
          </a:r>
        </a:p>
      </xdr:txBody>
    </xdr:sp>
    <xdr:clientData/>
  </xdr:twoCellAnchor>
  <xdr:twoCellAnchor>
    <xdr:from>
      <xdr:col>4</xdr:col>
      <xdr:colOff>546378</xdr:colOff>
      <xdr:row>15</xdr:row>
      <xdr:rowOff>45984</xdr:rowOff>
    </xdr:from>
    <xdr:to>
      <xdr:col>5</xdr:col>
      <xdr:colOff>256193</xdr:colOff>
      <xdr:row>17</xdr:row>
      <xdr:rowOff>163304</xdr:rowOff>
    </xdr:to>
    <xdr:cxnSp macro="">
      <xdr:nvCxnSpPr>
        <xdr:cNvPr id="8" name="Conector: Angulad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>
          <a:endCxn id="20" idx="3"/>
        </xdr:cNvCxnSpPr>
      </xdr:nvCxnSpPr>
      <xdr:spPr>
        <a:xfrm rot="5400000">
          <a:off x="2895326" y="2992936"/>
          <a:ext cx="498320" cy="319415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95096</xdr:colOff>
      <xdr:row>23</xdr:row>
      <xdr:rowOff>87366</xdr:rowOff>
    </xdr:from>
    <xdr:to>
      <xdr:col>4</xdr:col>
      <xdr:colOff>543542</xdr:colOff>
      <xdr:row>24</xdr:row>
      <xdr:rowOff>173956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533496" y="44688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M5</a:t>
          </a:r>
        </a:p>
      </xdr:txBody>
    </xdr:sp>
    <xdr:clientData/>
  </xdr:twoCellAnchor>
  <xdr:twoCellAnchor>
    <xdr:from>
      <xdr:col>4</xdr:col>
      <xdr:colOff>89834</xdr:colOff>
      <xdr:row>25</xdr:row>
      <xdr:rowOff>3284</xdr:rowOff>
    </xdr:from>
    <xdr:to>
      <xdr:col>4</xdr:col>
      <xdr:colOff>538280</xdr:colOff>
      <xdr:row>26</xdr:row>
      <xdr:rowOff>89874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528234" y="4765784"/>
          <a:ext cx="448446" cy="324715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M6</a:t>
          </a:r>
        </a:p>
      </xdr:txBody>
    </xdr:sp>
    <xdr:clientData/>
  </xdr:twoCellAnchor>
  <xdr:twoCellAnchor>
    <xdr:from>
      <xdr:col>4</xdr:col>
      <xdr:colOff>91142</xdr:colOff>
      <xdr:row>26</xdr:row>
      <xdr:rowOff>116269</xdr:rowOff>
    </xdr:from>
    <xdr:to>
      <xdr:col>4</xdr:col>
      <xdr:colOff>539588</xdr:colOff>
      <xdr:row>27</xdr:row>
      <xdr:rowOff>156876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529542" y="5116894"/>
          <a:ext cx="448446" cy="231107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M7</a:t>
          </a:r>
        </a:p>
      </xdr:txBody>
    </xdr:sp>
    <xdr:clientData/>
  </xdr:twoCellAnchor>
  <xdr:twoCellAnchor>
    <xdr:from>
      <xdr:col>4</xdr:col>
      <xdr:colOff>85880</xdr:colOff>
      <xdr:row>27</xdr:row>
      <xdr:rowOff>183271</xdr:rowOff>
    </xdr:from>
    <xdr:to>
      <xdr:col>4</xdr:col>
      <xdr:colOff>534326</xdr:colOff>
      <xdr:row>29</xdr:row>
      <xdr:rowOff>79361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524280" y="537439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M8</a:t>
          </a:r>
        </a:p>
      </xdr:txBody>
    </xdr:sp>
    <xdr:clientData/>
  </xdr:twoCellAnchor>
  <xdr:twoCellAnchor>
    <xdr:from>
      <xdr:col>5</xdr:col>
      <xdr:colOff>172139</xdr:colOff>
      <xdr:row>11</xdr:row>
      <xdr:rowOff>18604</xdr:rowOff>
    </xdr:from>
    <xdr:to>
      <xdr:col>5</xdr:col>
      <xdr:colOff>402373</xdr:colOff>
      <xdr:row>11</xdr:row>
      <xdr:rowOff>20284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3220139" y="2114104"/>
          <a:ext cx="230234" cy="16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179293</xdr:colOff>
      <xdr:row>4</xdr:row>
      <xdr:rowOff>118392</xdr:rowOff>
    </xdr:from>
    <xdr:to>
      <xdr:col>3</xdr:col>
      <xdr:colOff>128624</xdr:colOff>
      <xdr:row>6</xdr:row>
      <xdr:rowOff>19001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flipH="1">
          <a:off x="1398493" y="880392"/>
          <a:ext cx="558931" cy="281609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98101</xdr:colOff>
      <xdr:row>21</xdr:row>
      <xdr:rowOff>168462</xdr:rowOff>
    </xdr:from>
    <xdr:to>
      <xdr:col>4</xdr:col>
      <xdr:colOff>546100</xdr:colOff>
      <xdr:row>23</xdr:row>
      <xdr:rowOff>64552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2536501" y="4168962"/>
          <a:ext cx="447999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M4</a:t>
          </a:r>
        </a:p>
      </xdr:txBody>
    </xdr:sp>
    <xdr:clientData/>
  </xdr:twoCellAnchor>
  <xdr:twoCellAnchor>
    <xdr:from>
      <xdr:col>2</xdr:col>
      <xdr:colOff>231567</xdr:colOff>
      <xdr:row>3</xdr:row>
      <xdr:rowOff>5164</xdr:rowOff>
    </xdr:from>
    <xdr:to>
      <xdr:col>3</xdr:col>
      <xdr:colOff>132520</xdr:colOff>
      <xdr:row>4</xdr:row>
      <xdr:rowOff>91754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450767" y="576664"/>
          <a:ext cx="510553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F2sd</a:t>
          </a:r>
        </a:p>
      </xdr:txBody>
    </xdr:sp>
    <xdr:clientData/>
  </xdr:twoCellAnchor>
  <xdr:twoCellAnchor>
    <xdr:from>
      <xdr:col>5</xdr:col>
      <xdr:colOff>457269</xdr:colOff>
      <xdr:row>6</xdr:row>
      <xdr:rowOff>86879</xdr:rowOff>
    </xdr:from>
    <xdr:to>
      <xdr:col>6</xdr:col>
      <xdr:colOff>37171</xdr:colOff>
      <xdr:row>6</xdr:row>
      <xdr:rowOff>88280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3505269" y="1229879"/>
          <a:ext cx="189502" cy="1401"/>
        </a:xfrm>
        <a:prstGeom prst="line">
          <a:avLst/>
        </a:prstGeom>
        <a:ln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15</xdr:row>
      <xdr:rowOff>108728</xdr:rowOff>
    </xdr:from>
    <xdr:to>
      <xdr:col>4</xdr:col>
      <xdr:colOff>544664</xdr:colOff>
      <xdr:row>17</xdr:row>
      <xdr:rowOff>4818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536617" y="296622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M0</a:t>
          </a:r>
        </a:p>
      </xdr:txBody>
    </xdr:sp>
    <xdr:clientData/>
  </xdr:twoCellAnchor>
  <xdr:twoCellAnchor>
    <xdr:from>
      <xdr:col>3</xdr:col>
      <xdr:colOff>139388</xdr:colOff>
      <xdr:row>8</xdr:row>
      <xdr:rowOff>119756</xdr:rowOff>
    </xdr:from>
    <xdr:to>
      <xdr:col>4</xdr:col>
      <xdr:colOff>91141</xdr:colOff>
      <xdr:row>27</xdr:row>
      <xdr:rowOff>18330</xdr:rowOff>
    </xdr:to>
    <xdr:cxnSp macro="">
      <xdr:nvCxnSpPr>
        <xdr:cNvPr id="19" name="Conector: Angulad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cxnSpLocks/>
          <a:stCxn id="3" idx="1"/>
          <a:endCxn id="11" idx="1"/>
        </xdr:cNvCxnSpPr>
      </xdr:nvCxnSpPr>
      <xdr:spPr>
        <a:xfrm rot="10800000" flipH="1" flipV="1">
          <a:off x="1968188" y="1643756"/>
          <a:ext cx="561353" cy="3565699"/>
        </a:xfrm>
        <a:prstGeom prst="bentConnector3">
          <a:avLst>
            <a:gd name="adj1" fmla="val -40628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99931</xdr:colOff>
      <xdr:row>17</xdr:row>
      <xdr:rowOff>24758</xdr:rowOff>
    </xdr:from>
    <xdr:to>
      <xdr:col>4</xdr:col>
      <xdr:colOff>546378</xdr:colOff>
      <xdr:row>18</xdr:row>
      <xdr:rowOff>111348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2538331" y="3263258"/>
          <a:ext cx="446447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8</xdr:col>
      <xdr:colOff>572447</xdr:colOff>
      <xdr:row>9</xdr:row>
      <xdr:rowOff>73780</xdr:rowOff>
    </xdr:from>
    <xdr:to>
      <xdr:col>9</xdr:col>
      <xdr:colOff>380104</xdr:colOff>
      <xdr:row>10</xdr:row>
      <xdr:rowOff>71959</xdr:rowOff>
    </xdr:to>
    <xdr:sp macro="" textlink="">
      <xdr:nvSpPr>
        <xdr:cNvPr id="21" name="Seta: para a Direita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5449247" y="1788280"/>
          <a:ext cx="417257" cy="188679"/>
        </a:xfrm>
        <a:prstGeom prst="rightArrow">
          <a:avLst/>
        </a:prstGeom>
        <a:solidFill>
          <a:srgbClr val="66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556703</xdr:colOff>
      <xdr:row>8</xdr:row>
      <xdr:rowOff>86419</xdr:rowOff>
    </xdr:from>
    <xdr:to>
      <xdr:col>9</xdr:col>
      <xdr:colOff>452308</xdr:colOff>
      <xdr:row>9</xdr:row>
      <xdr:rowOff>173009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5433503" y="1610419"/>
          <a:ext cx="505205" cy="277090"/>
        </a:xfrm>
        <a:prstGeom prst="rect">
          <a:avLst/>
        </a:prstGeom>
        <a:solidFill>
          <a:schemeClr val="bg2">
            <a:alpha val="4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F1sd</a:t>
          </a:r>
        </a:p>
      </xdr:txBody>
    </xdr:sp>
    <xdr:clientData/>
  </xdr:twoCellAnchor>
  <xdr:twoCellAnchor>
    <xdr:from>
      <xdr:col>5</xdr:col>
      <xdr:colOff>128175</xdr:colOff>
      <xdr:row>6</xdr:row>
      <xdr:rowOff>41910</xdr:rowOff>
    </xdr:from>
    <xdr:to>
      <xdr:col>8</xdr:col>
      <xdr:colOff>555638</xdr:colOff>
      <xdr:row>11</xdr:row>
      <xdr:rowOff>66675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176175" y="1184910"/>
          <a:ext cx="2256263" cy="977265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128728</xdr:colOff>
      <xdr:row>5</xdr:row>
      <xdr:rowOff>80723</xdr:rowOff>
    </xdr:from>
    <xdr:to>
      <xdr:col>8</xdr:col>
      <xdr:colOff>561411</xdr:colOff>
      <xdr:row>6</xdr:row>
      <xdr:rowOff>41871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3176728" y="1033223"/>
          <a:ext cx="2261483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67988</xdr:colOff>
      <xdr:row>4</xdr:row>
      <xdr:rowOff>19707</xdr:rowOff>
    </xdr:from>
    <xdr:to>
      <xdr:col>11</xdr:col>
      <xdr:colOff>273307</xdr:colOff>
      <xdr:row>13</xdr:row>
      <xdr:rowOff>13138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7030763" y="781707"/>
          <a:ext cx="205319" cy="1707931"/>
        </a:xfrm>
        <a:prstGeom prst="rect">
          <a:avLst/>
        </a:prstGeom>
        <a:solidFill>
          <a:srgbClr val="FFFF00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540673</xdr:colOff>
      <xdr:row>6</xdr:row>
      <xdr:rowOff>56168</xdr:rowOff>
    </xdr:from>
    <xdr:to>
      <xdr:col>11</xdr:col>
      <xdr:colOff>65688</xdr:colOff>
      <xdr:row>11</xdr:row>
      <xdr:rowOff>13779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6893848" y="1199168"/>
          <a:ext cx="134615" cy="910111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72868</xdr:colOff>
      <xdr:row>5</xdr:row>
      <xdr:rowOff>70464</xdr:rowOff>
    </xdr:from>
    <xdr:to>
      <xdr:col>11</xdr:col>
      <xdr:colOff>63342</xdr:colOff>
      <xdr:row>6</xdr:row>
      <xdr:rowOff>52071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6426043" y="1022964"/>
          <a:ext cx="600074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534168</xdr:colOff>
      <xdr:row>9</xdr:row>
      <xdr:rowOff>160788</xdr:rowOff>
    </xdr:from>
    <xdr:to>
      <xdr:col>11</xdr:col>
      <xdr:colOff>278781</xdr:colOff>
      <xdr:row>10</xdr:row>
      <xdr:rowOff>67861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6887343" y="1875288"/>
          <a:ext cx="354213" cy="97573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266833</xdr:colOff>
      <xdr:row>6</xdr:row>
      <xdr:rowOff>142551</xdr:rowOff>
    </xdr:from>
    <xdr:to>
      <xdr:col>5</xdr:col>
      <xdr:colOff>381000</xdr:colOff>
      <xdr:row>7</xdr:row>
      <xdr:rowOff>64227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3314833" y="1285551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103322</xdr:colOff>
      <xdr:row>10</xdr:row>
      <xdr:rowOff>158213</xdr:rowOff>
    </xdr:from>
    <xdr:to>
      <xdr:col>6</xdr:col>
      <xdr:colOff>109779</xdr:colOff>
      <xdr:row>15</xdr:row>
      <xdr:rowOff>16144</xdr:rowOff>
    </xdr:to>
    <xdr:cxnSp macro="">
      <xdr:nvCxnSpPr>
        <xdr:cNvPr id="30" name="Conector reto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 flipV="1">
          <a:off x="3760922" y="2063213"/>
          <a:ext cx="6457" cy="8104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576147</xdr:colOff>
      <xdr:row>10</xdr:row>
      <xdr:rowOff>146959</xdr:rowOff>
    </xdr:from>
    <xdr:to>
      <xdr:col>6</xdr:col>
      <xdr:colOff>578277</xdr:colOff>
      <xdr:row>15</xdr:row>
      <xdr:rowOff>0</xdr:rowOff>
    </xdr:to>
    <xdr:cxnSp macro="">
      <xdr:nvCxnSpPr>
        <xdr:cNvPr id="31" name="Conector reto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>
          <a:endCxn id="65" idx="4"/>
        </xdr:cNvCxnSpPr>
      </xdr:nvCxnSpPr>
      <xdr:spPr>
        <a:xfrm flipV="1">
          <a:off x="4233747" y="2051959"/>
          <a:ext cx="2130" cy="80554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442175</xdr:colOff>
      <xdr:row>10</xdr:row>
      <xdr:rowOff>146463</xdr:rowOff>
    </xdr:from>
    <xdr:to>
      <xdr:col>7</xdr:col>
      <xdr:colOff>445698</xdr:colOff>
      <xdr:row>15</xdr:row>
      <xdr:rowOff>14378</xdr:rowOff>
    </xdr:to>
    <xdr:cxnSp macro="">
      <xdr:nvCxnSpPr>
        <xdr:cNvPr id="32" name="Conector reto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>
          <a:endCxn id="67" idx="4"/>
        </xdr:cNvCxnSpPr>
      </xdr:nvCxnSpPr>
      <xdr:spPr>
        <a:xfrm flipH="1" flipV="1">
          <a:off x="4709375" y="2051463"/>
          <a:ext cx="3523" cy="82041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118242</xdr:colOff>
      <xdr:row>11</xdr:row>
      <xdr:rowOff>73500</xdr:rowOff>
    </xdr:from>
    <xdr:to>
      <xdr:col>8</xdr:col>
      <xdr:colOff>130635</xdr:colOff>
      <xdr:row>15</xdr:row>
      <xdr:rowOff>19707</xdr:rowOff>
    </xdr:to>
    <xdr:cxnSp macro="">
      <xdr:nvCxnSpPr>
        <xdr:cNvPr id="33" name="Conector reto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/>
      </xdr:nvCxnSpPr>
      <xdr:spPr>
        <a:xfrm flipV="1">
          <a:off x="4995042" y="2169000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329216</xdr:colOff>
      <xdr:row>10</xdr:row>
      <xdr:rowOff>152401</xdr:rowOff>
    </xdr:from>
    <xdr:to>
      <xdr:col>5</xdr:col>
      <xdr:colOff>329360</xdr:colOff>
      <xdr:row>14</xdr:row>
      <xdr:rowOff>187178</xdr:rowOff>
    </xdr:to>
    <xdr:cxnSp macro="">
      <xdr:nvCxnSpPr>
        <xdr:cNvPr id="34" name="Conector reto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>
          <a:endCxn id="61" idx="4"/>
        </xdr:cNvCxnSpPr>
      </xdr:nvCxnSpPr>
      <xdr:spPr>
        <a:xfrm flipV="1">
          <a:off x="3377216" y="2057401"/>
          <a:ext cx="144" cy="79677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132693</xdr:colOff>
      <xdr:row>11</xdr:row>
      <xdr:rowOff>55107</xdr:rowOff>
    </xdr:from>
    <xdr:to>
      <xdr:col>5</xdr:col>
      <xdr:colOff>145086</xdr:colOff>
      <xdr:row>15</xdr:row>
      <xdr:rowOff>1314</xdr:rowOff>
    </xdr:to>
    <xdr:cxnSp macro="">
      <xdr:nvCxnSpPr>
        <xdr:cNvPr id="35" name="Conector reto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 flipV="1">
          <a:off x="3180693" y="2150607"/>
          <a:ext cx="12393" cy="70820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106550</xdr:colOff>
      <xdr:row>15</xdr:row>
      <xdr:rowOff>12915</xdr:rowOff>
    </xdr:from>
    <xdr:to>
      <xdr:col>6</xdr:col>
      <xdr:colOff>566854</xdr:colOff>
      <xdr:row>15</xdr:row>
      <xdr:rowOff>13939</xdr:rowOff>
    </xdr:to>
    <xdr:cxnSp macro="">
      <xdr:nvCxnSpPr>
        <xdr:cNvPr id="36" name="Conector de Seta Reta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/>
      </xdr:nvCxnSpPr>
      <xdr:spPr>
        <a:xfrm>
          <a:off x="3764150" y="2870415"/>
          <a:ext cx="460304" cy="102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423266</xdr:colOff>
      <xdr:row>15</xdr:row>
      <xdr:rowOff>9731</xdr:rowOff>
    </xdr:from>
    <xdr:to>
      <xdr:col>8</xdr:col>
      <xdr:colOff>116898</xdr:colOff>
      <xdr:row>15</xdr:row>
      <xdr:rowOff>12989</xdr:rowOff>
    </xdr:to>
    <xdr:cxnSp macro="">
      <xdr:nvCxnSpPr>
        <xdr:cNvPr id="37" name="Conector de Seta Reta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4690466" y="2867231"/>
          <a:ext cx="303232" cy="325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585439</xdr:colOff>
      <xdr:row>15</xdr:row>
      <xdr:rowOff>13939</xdr:rowOff>
    </xdr:from>
    <xdr:to>
      <xdr:col>7</xdr:col>
      <xdr:colOff>460664</xdr:colOff>
      <xdr:row>15</xdr:row>
      <xdr:rowOff>14721</xdr:rowOff>
    </xdr:to>
    <xdr:cxnSp macro="">
      <xdr:nvCxnSpPr>
        <xdr:cNvPr id="38" name="Conector de Seta Reta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/>
      </xdr:nvCxnSpPr>
      <xdr:spPr>
        <a:xfrm>
          <a:off x="4243039" y="2871439"/>
          <a:ext cx="484825" cy="78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544291</xdr:colOff>
      <xdr:row>15</xdr:row>
      <xdr:rowOff>32845</xdr:rowOff>
    </xdr:from>
    <xdr:to>
      <xdr:col>5</xdr:col>
      <xdr:colOff>525517</xdr:colOff>
      <xdr:row>19</xdr:row>
      <xdr:rowOff>86827</xdr:rowOff>
    </xdr:to>
    <xdr:cxnSp macro="">
      <xdr:nvCxnSpPr>
        <xdr:cNvPr id="39" name="Conector: Angulado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>
          <a:endCxn id="6" idx="3"/>
        </xdr:cNvCxnSpPr>
      </xdr:nvCxnSpPr>
      <xdr:spPr>
        <a:xfrm rot="5400000">
          <a:off x="2870113" y="3002923"/>
          <a:ext cx="815982" cy="590826"/>
        </a:xfrm>
        <a:prstGeom prst="bentConnector2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568838</xdr:colOff>
      <xdr:row>15</xdr:row>
      <xdr:rowOff>28198</xdr:rowOff>
    </xdr:from>
    <xdr:to>
      <xdr:col>6</xdr:col>
      <xdr:colOff>279422</xdr:colOff>
      <xdr:row>20</xdr:row>
      <xdr:rowOff>188597</xdr:rowOff>
    </xdr:to>
    <xdr:cxnSp macro="">
      <xdr:nvCxnSpPr>
        <xdr:cNvPr id="40" name="Conector: Angulado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 rot="5400000">
          <a:off x="2915680" y="2977256"/>
          <a:ext cx="1112899" cy="929784"/>
        </a:xfrm>
        <a:prstGeom prst="bentConnector3">
          <a:avLst>
            <a:gd name="adj1" fmla="val 101353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416215</xdr:colOff>
      <xdr:row>15</xdr:row>
      <xdr:rowOff>19710</xdr:rowOff>
    </xdr:from>
    <xdr:to>
      <xdr:col>7</xdr:col>
      <xdr:colOff>189859</xdr:colOff>
      <xdr:row>24</xdr:row>
      <xdr:rowOff>25081</xdr:rowOff>
    </xdr:to>
    <xdr:cxnSp macro="">
      <xdr:nvCxnSpPr>
        <xdr:cNvPr id="41" name="Conector: Angulado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 rot="5400000">
          <a:off x="2795901" y="2935924"/>
          <a:ext cx="1719871" cy="1602444"/>
        </a:xfrm>
        <a:prstGeom prst="bentConnector3">
          <a:avLst>
            <a:gd name="adj1" fmla="val 10003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529843</xdr:colOff>
      <xdr:row>15</xdr:row>
      <xdr:rowOff>13141</xdr:rowOff>
    </xdr:from>
    <xdr:to>
      <xdr:col>7</xdr:col>
      <xdr:colOff>578069</xdr:colOff>
      <xdr:row>25</xdr:row>
      <xdr:rowOff>138067</xdr:rowOff>
    </xdr:to>
    <xdr:cxnSp macro="">
      <xdr:nvCxnSpPr>
        <xdr:cNvPr id="42" name="Conector: Angulado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/>
      </xdr:nvCxnSpPr>
      <xdr:spPr>
        <a:xfrm rot="5400000">
          <a:off x="2891793" y="2947091"/>
          <a:ext cx="2029926" cy="1877026"/>
        </a:xfrm>
        <a:prstGeom prst="bentConnector3">
          <a:avLst>
            <a:gd name="adj1" fmla="val 100159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98217</xdr:colOff>
      <xdr:row>7</xdr:row>
      <xdr:rowOff>8139</xdr:rowOff>
    </xdr:from>
    <xdr:to>
      <xdr:col>5</xdr:col>
      <xdr:colOff>266833</xdr:colOff>
      <xdr:row>16</xdr:row>
      <xdr:rowOff>56773</xdr:rowOff>
    </xdr:to>
    <xdr:cxnSp macro="">
      <xdr:nvCxnSpPr>
        <xdr:cNvPr id="43" name="Conector: Angulado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>
          <a:stCxn id="29" idx="2"/>
          <a:endCxn id="18" idx="1"/>
        </xdr:cNvCxnSpPr>
      </xdr:nvCxnSpPr>
      <xdr:spPr>
        <a:xfrm rot="10800000" flipV="1">
          <a:off x="2536617" y="1341639"/>
          <a:ext cx="778216" cy="1763134"/>
        </a:xfrm>
        <a:prstGeom prst="bentConnector3">
          <a:avLst>
            <a:gd name="adj1" fmla="val 129375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65343</xdr:colOff>
      <xdr:row>11</xdr:row>
      <xdr:rowOff>134315</xdr:rowOff>
    </xdr:from>
    <xdr:to>
      <xdr:col>11</xdr:col>
      <xdr:colOff>68540</xdr:colOff>
      <xdr:row>14</xdr:row>
      <xdr:rowOff>168546</xdr:rowOff>
    </xdr:to>
    <xdr:cxnSp macro="">
      <xdr:nvCxnSpPr>
        <xdr:cNvPr id="44" name="Conector reto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CxnSpPr/>
      </xdr:nvCxnSpPr>
      <xdr:spPr>
        <a:xfrm flipV="1">
          <a:off x="7028118" y="2229815"/>
          <a:ext cx="3197" cy="605731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406066</xdr:colOff>
      <xdr:row>8</xdr:row>
      <xdr:rowOff>130342</xdr:rowOff>
    </xdr:from>
    <xdr:to>
      <xdr:col>10</xdr:col>
      <xdr:colOff>411079</xdr:colOff>
      <xdr:row>14</xdr:row>
      <xdr:rowOff>160075</xdr:rowOff>
    </xdr:to>
    <xdr:cxnSp macro="">
      <xdr:nvCxnSpPr>
        <xdr:cNvPr id="45" name="Conector reto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>
        <a:xfrm flipV="1">
          <a:off x="6759241" y="1654342"/>
          <a:ext cx="5013" cy="1172733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408360</xdr:colOff>
      <xdr:row>14</xdr:row>
      <xdr:rowOff>153533</xdr:rowOff>
    </xdr:from>
    <xdr:to>
      <xdr:col>11</xdr:col>
      <xdr:colOff>127696</xdr:colOff>
      <xdr:row>14</xdr:row>
      <xdr:rowOff>153738</xdr:rowOff>
    </xdr:to>
    <xdr:cxnSp macro="">
      <xdr:nvCxnSpPr>
        <xdr:cNvPr id="46" name="Conector de Seta Reta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>
        <a:xfrm flipV="1">
          <a:off x="6761535" y="2820533"/>
          <a:ext cx="328936" cy="20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376333</xdr:colOff>
      <xdr:row>8</xdr:row>
      <xdr:rowOff>72950</xdr:rowOff>
    </xdr:from>
    <xdr:to>
      <xdr:col>10</xdr:col>
      <xdr:colOff>436145</xdr:colOff>
      <xdr:row>8</xdr:row>
      <xdr:rowOff>145208</xdr:rowOff>
    </xdr:to>
    <xdr:sp macro="" textlink="">
      <xdr:nvSpPr>
        <xdr:cNvPr id="47" name="Elips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6729508" y="1596950"/>
          <a:ext cx="59812" cy="72258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64360</xdr:colOff>
      <xdr:row>5</xdr:row>
      <xdr:rowOff>70184</xdr:rowOff>
    </xdr:from>
    <xdr:to>
      <xdr:col>12</xdr:col>
      <xdr:colOff>421105</xdr:colOff>
      <xdr:row>5</xdr:row>
      <xdr:rowOff>73780</xdr:rowOff>
    </xdr:to>
    <xdr:cxnSp macro="">
      <xdr:nvCxnSpPr>
        <xdr:cNvPr id="48" name="Conector reto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CxnSpPr/>
      </xdr:nvCxnSpPr>
      <xdr:spPr>
        <a:xfrm flipH="1">
          <a:off x="7027135" y="1022684"/>
          <a:ext cx="966345" cy="3596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277575</xdr:colOff>
      <xdr:row>10</xdr:row>
      <xdr:rowOff>15039</xdr:rowOff>
    </xdr:from>
    <xdr:to>
      <xdr:col>12</xdr:col>
      <xdr:colOff>501316</xdr:colOff>
      <xdr:row>10</xdr:row>
      <xdr:rowOff>17564</xdr:rowOff>
    </xdr:to>
    <xdr:cxnSp macro="">
      <xdr:nvCxnSpPr>
        <xdr:cNvPr id="49" name="Conector reto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>
        <a:xfrm flipH="1">
          <a:off x="7240350" y="1920039"/>
          <a:ext cx="833341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61425</xdr:colOff>
      <xdr:row>11</xdr:row>
      <xdr:rowOff>135355</xdr:rowOff>
    </xdr:from>
    <xdr:to>
      <xdr:col>12</xdr:col>
      <xdr:colOff>506329</xdr:colOff>
      <xdr:row>11</xdr:row>
      <xdr:rowOff>144252</xdr:rowOff>
    </xdr:to>
    <xdr:cxnSp macro="">
      <xdr:nvCxnSpPr>
        <xdr:cNvPr id="50" name="Conector reto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CxnSpPr/>
      </xdr:nvCxnSpPr>
      <xdr:spPr>
        <a:xfrm flipH="1">
          <a:off x="7024200" y="2230855"/>
          <a:ext cx="1054504" cy="8897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425642</xdr:colOff>
      <xdr:row>5</xdr:row>
      <xdr:rowOff>59025</xdr:rowOff>
    </xdr:from>
    <xdr:to>
      <xdr:col>12</xdr:col>
      <xdr:colOff>426119</xdr:colOff>
      <xdr:row>6</xdr:row>
      <xdr:rowOff>170447</xdr:rowOff>
    </xdr:to>
    <xdr:cxnSp macro="">
      <xdr:nvCxnSpPr>
        <xdr:cNvPr id="51" name="Conector de Seta Reta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>
        <a:xfrm>
          <a:off x="7998017" y="1011525"/>
          <a:ext cx="477" cy="301922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501316</xdr:colOff>
      <xdr:row>10</xdr:row>
      <xdr:rowOff>10026</xdr:rowOff>
    </xdr:from>
    <xdr:to>
      <xdr:col>12</xdr:col>
      <xdr:colOff>506329</xdr:colOff>
      <xdr:row>11</xdr:row>
      <xdr:rowOff>135355</xdr:rowOff>
    </xdr:to>
    <xdr:cxnSp macro="">
      <xdr:nvCxnSpPr>
        <xdr:cNvPr id="52" name="Conector de Seta Reta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CxnSpPr/>
      </xdr:nvCxnSpPr>
      <xdr:spPr>
        <a:xfrm>
          <a:off x="8073691" y="1915026"/>
          <a:ext cx="5013" cy="31582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534326</xdr:colOff>
      <xdr:row>10</xdr:row>
      <xdr:rowOff>133349</xdr:rowOff>
    </xdr:from>
    <xdr:to>
      <xdr:col>10</xdr:col>
      <xdr:colOff>523875</xdr:colOff>
      <xdr:row>28</xdr:row>
      <xdr:rowOff>131315</xdr:rowOff>
    </xdr:to>
    <xdr:cxnSp macro="">
      <xdr:nvCxnSpPr>
        <xdr:cNvPr id="53" name="Conector: Angulado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CxnSpPr>
          <a:cxnSpLocks/>
          <a:endCxn id="12" idx="3"/>
        </xdr:cNvCxnSpPr>
      </xdr:nvCxnSpPr>
      <xdr:spPr>
        <a:xfrm rot="10800000" flipV="1">
          <a:off x="2972726" y="2038349"/>
          <a:ext cx="3904324" cy="3474591"/>
        </a:xfrm>
        <a:prstGeom prst="bentConnector3">
          <a:avLst>
            <a:gd name="adj1" fmla="val 15846"/>
          </a:avLst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86166</xdr:colOff>
      <xdr:row>29</xdr:row>
      <xdr:rowOff>105014</xdr:rowOff>
    </xdr:from>
    <xdr:to>
      <xdr:col>4</xdr:col>
      <xdr:colOff>534612</xdr:colOff>
      <xdr:row>31</xdr:row>
      <xdr:rowOff>1104</xdr:rowOff>
    </xdr:to>
    <xdr:sp macro="" textlink="">
      <xdr:nvSpPr>
        <xdr:cNvPr id="54" name="Retângulo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2524566" y="5677139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M9</a:t>
          </a:r>
        </a:p>
      </xdr:txBody>
    </xdr:sp>
    <xdr:clientData/>
  </xdr:twoCellAnchor>
  <xdr:twoCellAnchor>
    <xdr:from>
      <xdr:col>4</xdr:col>
      <xdr:colOff>538412</xdr:colOff>
      <xdr:row>14</xdr:row>
      <xdr:rowOff>171449</xdr:rowOff>
    </xdr:from>
    <xdr:to>
      <xdr:col>10</xdr:col>
      <xdr:colOff>542925</xdr:colOff>
      <xdr:row>30</xdr:row>
      <xdr:rowOff>63523</xdr:rowOff>
    </xdr:to>
    <xdr:cxnSp macro="">
      <xdr:nvCxnSpPr>
        <xdr:cNvPr id="55" name="Conector: Angulado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CxnSpPr/>
      </xdr:nvCxnSpPr>
      <xdr:spPr>
        <a:xfrm rot="10800000" flipV="1">
          <a:off x="2976812" y="2838449"/>
          <a:ext cx="3919288" cy="2987699"/>
        </a:xfrm>
        <a:prstGeom prst="bentConnector3">
          <a:avLst>
            <a:gd name="adj1" fmla="val -307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388328</xdr:colOff>
      <xdr:row>16</xdr:row>
      <xdr:rowOff>71491</xdr:rowOff>
    </xdr:from>
    <xdr:to>
      <xdr:col>13</xdr:col>
      <xdr:colOff>305576</xdr:colOff>
      <xdr:row>17</xdr:row>
      <xdr:rowOff>158081</xdr:rowOff>
    </xdr:to>
    <xdr:sp macro="" textlink="">
      <xdr:nvSpPr>
        <xdr:cNvPr id="56" name="Retângulo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7960703" y="3119491"/>
          <a:ext cx="526848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M10</a:t>
          </a:r>
        </a:p>
      </xdr:txBody>
    </xdr:sp>
    <xdr:clientData/>
  </xdr:twoCellAnchor>
  <xdr:twoCellAnchor>
    <xdr:from>
      <xdr:col>13</xdr:col>
      <xdr:colOff>12584</xdr:colOff>
      <xdr:row>24</xdr:row>
      <xdr:rowOff>87013</xdr:rowOff>
    </xdr:from>
    <xdr:to>
      <xdr:col>13</xdr:col>
      <xdr:colOff>461030</xdr:colOff>
      <xdr:row>25</xdr:row>
      <xdr:rowOff>173603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8194559" y="4659013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M11</a:t>
          </a:r>
        </a:p>
      </xdr:txBody>
    </xdr:sp>
    <xdr:clientData/>
  </xdr:twoCellAnchor>
  <xdr:twoCellAnchor>
    <xdr:from>
      <xdr:col>12</xdr:col>
      <xdr:colOff>526384</xdr:colOff>
      <xdr:row>10</xdr:row>
      <xdr:rowOff>165436</xdr:rowOff>
    </xdr:from>
    <xdr:to>
      <xdr:col>13</xdr:col>
      <xdr:colOff>305576</xdr:colOff>
      <xdr:row>17</xdr:row>
      <xdr:rowOff>19536</xdr:rowOff>
    </xdr:to>
    <xdr:cxnSp macro="">
      <xdr:nvCxnSpPr>
        <xdr:cNvPr id="58" name="Conector: Angulado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CxnSpPr>
          <a:endCxn id="56" idx="3"/>
        </xdr:cNvCxnSpPr>
      </xdr:nvCxnSpPr>
      <xdr:spPr>
        <a:xfrm rot="16200000" flipH="1">
          <a:off x="7699355" y="2469840"/>
          <a:ext cx="1187600" cy="388792"/>
        </a:xfrm>
        <a:prstGeom prst="bentConnector4">
          <a:avLst>
            <a:gd name="adj1" fmla="val 363"/>
            <a:gd name="adj2" fmla="val 15902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416095</xdr:colOff>
      <xdr:row>6</xdr:row>
      <xdr:rowOff>25068</xdr:rowOff>
    </xdr:from>
    <xdr:to>
      <xdr:col>13</xdr:col>
      <xdr:colOff>461029</xdr:colOff>
      <xdr:row>25</xdr:row>
      <xdr:rowOff>35058</xdr:rowOff>
    </xdr:to>
    <xdr:cxnSp macro="">
      <xdr:nvCxnSpPr>
        <xdr:cNvPr id="59" name="Conector: Angulado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>
          <a:endCxn id="57" idx="3"/>
        </xdr:cNvCxnSpPr>
      </xdr:nvCxnSpPr>
      <xdr:spPr>
        <a:xfrm rot="16200000" flipH="1">
          <a:off x="6500992" y="2655546"/>
          <a:ext cx="3629490" cy="654534"/>
        </a:xfrm>
        <a:prstGeom prst="bentConnector4">
          <a:avLst>
            <a:gd name="adj1" fmla="val 24"/>
            <a:gd name="adj2" fmla="val 176816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125889</xdr:colOff>
      <xdr:row>11</xdr:row>
      <xdr:rowOff>58549</xdr:rowOff>
    </xdr:from>
    <xdr:to>
      <xdr:col>8</xdr:col>
      <xdr:colOff>558572</xdr:colOff>
      <xdr:row>12</xdr:row>
      <xdr:rowOff>19697</xdr:rowOff>
    </xdr:to>
    <xdr:sp macro="" textlink="">
      <xdr:nvSpPr>
        <xdr:cNvPr id="60" name="Retângulo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3173889" y="2154049"/>
          <a:ext cx="2261483" cy="151648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272276</xdr:colOff>
      <xdr:row>10</xdr:row>
      <xdr:rowOff>40225</xdr:rowOff>
    </xdr:from>
    <xdr:to>
      <xdr:col>5</xdr:col>
      <xdr:colOff>386443</xdr:colOff>
      <xdr:row>10</xdr:row>
      <xdr:rowOff>152401</xdr:rowOff>
    </xdr:to>
    <xdr:sp macro="" textlink="">
      <xdr:nvSpPr>
        <xdr:cNvPr id="61" name="Elipse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3320276" y="19452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528091</xdr:colOff>
      <xdr:row>6</xdr:row>
      <xdr:rowOff>136466</xdr:rowOff>
    </xdr:from>
    <xdr:to>
      <xdr:col>7</xdr:col>
      <xdr:colOff>32658</xdr:colOff>
      <xdr:row>7</xdr:row>
      <xdr:rowOff>58142</xdr:rowOff>
    </xdr:to>
    <xdr:sp macro="" textlink="">
      <xdr:nvSpPr>
        <xdr:cNvPr id="62" name="Elipse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4185691" y="1279466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51296</xdr:colOff>
      <xdr:row>6</xdr:row>
      <xdr:rowOff>144184</xdr:rowOff>
    </xdr:from>
    <xdr:to>
      <xdr:col>6</xdr:col>
      <xdr:colOff>165463</xdr:colOff>
      <xdr:row>7</xdr:row>
      <xdr:rowOff>65860</xdr:rowOff>
    </xdr:to>
    <xdr:sp macro="" textlink="">
      <xdr:nvSpPr>
        <xdr:cNvPr id="63" name="Elipse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3708896" y="1287184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386576</xdr:colOff>
      <xdr:row>6</xdr:row>
      <xdr:rowOff>140918</xdr:rowOff>
    </xdr:from>
    <xdr:to>
      <xdr:col>7</xdr:col>
      <xdr:colOff>500743</xdr:colOff>
      <xdr:row>7</xdr:row>
      <xdr:rowOff>62594</xdr:rowOff>
    </xdr:to>
    <xdr:sp macro="" textlink="">
      <xdr:nvSpPr>
        <xdr:cNvPr id="64" name="Elipse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4653776" y="1283918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521658</xdr:colOff>
      <xdr:row>10</xdr:row>
      <xdr:rowOff>34783</xdr:rowOff>
    </xdr:from>
    <xdr:to>
      <xdr:col>7</xdr:col>
      <xdr:colOff>26225</xdr:colOff>
      <xdr:row>10</xdr:row>
      <xdr:rowOff>146959</xdr:rowOff>
    </xdr:to>
    <xdr:sp macro="" textlink="">
      <xdr:nvSpPr>
        <xdr:cNvPr id="65" name="Elipse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4179258" y="1939783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48129</xdr:colOff>
      <xdr:row>10</xdr:row>
      <xdr:rowOff>40225</xdr:rowOff>
    </xdr:from>
    <xdr:to>
      <xdr:col>6</xdr:col>
      <xdr:colOff>162296</xdr:colOff>
      <xdr:row>10</xdr:row>
      <xdr:rowOff>152401</xdr:rowOff>
    </xdr:to>
    <xdr:sp macro="" textlink="">
      <xdr:nvSpPr>
        <xdr:cNvPr id="66" name="Elipse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3705729" y="19452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385091</xdr:colOff>
      <xdr:row>10</xdr:row>
      <xdr:rowOff>34287</xdr:rowOff>
    </xdr:from>
    <xdr:to>
      <xdr:col>7</xdr:col>
      <xdr:colOff>499258</xdr:colOff>
      <xdr:row>10</xdr:row>
      <xdr:rowOff>146463</xdr:rowOff>
    </xdr:to>
    <xdr:sp macro="" textlink="">
      <xdr:nvSpPr>
        <xdr:cNvPr id="67" name="Elipse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4652291" y="1939287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522152</xdr:colOff>
      <xdr:row>9</xdr:row>
      <xdr:rowOff>2769</xdr:rowOff>
    </xdr:from>
    <xdr:to>
      <xdr:col>7</xdr:col>
      <xdr:colOff>26719</xdr:colOff>
      <xdr:row>9</xdr:row>
      <xdr:rowOff>114945</xdr:rowOff>
    </xdr:to>
    <xdr:sp macro="" textlink="">
      <xdr:nvSpPr>
        <xdr:cNvPr id="68" name="Elipse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4179752" y="1717269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48029</xdr:colOff>
      <xdr:row>9</xdr:row>
      <xdr:rowOff>2125</xdr:rowOff>
    </xdr:from>
    <xdr:to>
      <xdr:col>6</xdr:col>
      <xdr:colOff>162196</xdr:colOff>
      <xdr:row>9</xdr:row>
      <xdr:rowOff>114301</xdr:rowOff>
    </xdr:to>
    <xdr:sp macro="" textlink="">
      <xdr:nvSpPr>
        <xdr:cNvPr id="69" name="Elipse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3705629" y="171662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388059</xdr:colOff>
      <xdr:row>8</xdr:row>
      <xdr:rowOff>188963</xdr:rowOff>
    </xdr:from>
    <xdr:to>
      <xdr:col>7</xdr:col>
      <xdr:colOff>502226</xdr:colOff>
      <xdr:row>9</xdr:row>
      <xdr:rowOff>110639</xdr:rowOff>
    </xdr:to>
    <xdr:sp macro="" textlink="">
      <xdr:nvSpPr>
        <xdr:cNvPr id="70" name="Elipse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4655259" y="1712963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524329</xdr:colOff>
      <xdr:row>7</xdr:row>
      <xdr:rowOff>156703</xdr:rowOff>
    </xdr:from>
    <xdr:to>
      <xdr:col>7</xdr:col>
      <xdr:colOff>28896</xdr:colOff>
      <xdr:row>8</xdr:row>
      <xdr:rowOff>78379</xdr:rowOff>
    </xdr:to>
    <xdr:sp macro="" textlink="">
      <xdr:nvSpPr>
        <xdr:cNvPr id="71" name="Elips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4181929" y="1490203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46396</xdr:colOff>
      <xdr:row>7</xdr:row>
      <xdr:rowOff>165955</xdr:rowOff>
    </xdr:from>
    <xdr:to>
      <xdr:col>6</xdr:col>
      <xdr:colOff>160563</xdr:colOff>
      <xdr:row>8</xdr:row>
      <xdr:rowOff>87631</xdr:rowOff>
    </xdr:to>
    <xdr:sp macro="" textlink="">
      <xdr:nvSpPr>
        <xdr:cNvPr id="72" name="Elipse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3703996" y="1499455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385486</xdr:colOff>
      <xdr:row>7</xdr:row>
      <xdr:rowOff>162689</xdr:rowOff>
    </xdr:from>
    <xdr:to>
      <xdr:col>7</xdr:col>
      <xdr:colOff>499653</xdr:colOff>
      <xdr:row>8</xdr:row>
      <xdr:rowOff>84365</xdr:rowOff>
    </xdr:to>
    <xdr:sp macro="" textlink="">
      <xdr:nvSpPr>
        <xdr:cNvPr id="73" name="Elipse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4652686" y="1496189"/>
          <a:ext cx="114167" cy="112176"/>
        </a:xfrm>
        <a:prstGeom prst="ellipse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439899</xdr:colOff>
      <xdr:row>6</xdr:row>
      <xdr:rowOff>146659</xdr:rowOff>
    </xdr:from>
    <xdr:to>
      <xdr:col>7</xdr:col>
      <xdr:colOff>444847</xdr:colOff>
      <xdr:row>10</xdr:row>
      <xdr:rowOff>162348</xdr:rowOff>
    </xdr:to>
    <xdr:cxnSp macro="">
      <xdr:nvCxnSpPr>
        <xdr:cNvPr id="74" name="Conector reto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CxnSpPr/>
      </xdr:nvCxnSpPr>
      <xdr:spPr>
        <a:xfrm flipV="1">
          <a:off x="4707099" y="1289659"/>
          <a:ext cx="4948" cy="7776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81232</xdr:colOff>
      <xdr:row>10</xdr:row>
      <xdr:rowOff>157815</xdr:rowOff>
    </xdr:from>
    <xdr:to>
      <xdr:col>11</xdr:col>
      <xdr:colOff>71706</xdr:colOff>
      <xdr:row>11</xdr:row>
      <xdr:rowOff>139422</xdr:rowOff>
    </xdr:to>
    <xdr:sp macro="" textlink="">
      <xdr:nvSpPr>
        <xdr:cNvPr id="75" name="Retângulo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6434407" y="2062815"/>
          <a:ext cx="600074" cy="172107"/>
        </a:xfrm>
        <a:prstGeom prst="rect">
          <a:avLst/>
        </a:prstGeom>
        <a:solidFill>
          <a:srgbClr val="0000FF"/>
        </a:solidFill>
        <a:ln w="3175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537884</xdr:colOff>
      <xdr:row>6</xdr:row>
      <xdr:rowOff>129167</xdr:rowOff>
    </xdr:from>
    <xdr:to>
      <xdr:col>11</xdr:col>
      <xdr:colOff>278781</xdr:colOff>
      <xdr:row>7</xdr:row>
      <xdr:rowOff>32524</xdr:rowOff>
    </xdr:to>
    <xdr:sp macro="" textlink="">
      <xdr:nvSpPr>
        <xdr:cNvPr id="76" name="Retângulo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6891059" y="1272167"/>
          <a:ext cx="350497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538127</xdr:colOff>
      <xdr:row>7</xdr:row>
      <xdr:rowOff>144205</xdr:rowOff>
    </xdr:from>
    <xdr:to>
      <xdr:col>11</xdr:col>
      <xdr:colOff>279024</xdr:colOff>
      <xdr:row>8</xdr:row>
      <xdr:rowOff>47562</xdr:rowOff>
    </xdr:to>
    <xdr:sp macro="" textlink="">
      <xdr:nvSpPr>
        <xdr:cNvPr id="77" name="Retângulo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6891302" y="1477705"/>
          <a:ext cx="350497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540132</xdr:colOff>
      <xdr:row>8</xdr:row>
      <xdr:rowOff>156239</xdr:rowOff>
    </xdr:from>
    <xdr:to>
      <xdr:col>11</xdr:col>
      <xdr:colOff>281029</xdr:colOff>
      <xdr:row>9</xdr:row>
      <xdr:rowOff>59596</xdr:rowOff>
    </xdr:to>
    <xdr:sp macro="" textlink="">
      <xdr:nvSpPr>
        <xdr:cNvPr id="78" name="Retângulo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6893307" y="1680239"/>
          <a:ext cx="350497" cy="93857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199370</xdr:colOff>
      <xdr:row>6</xdr:row>
      <xdr:rowOff>177465</xdr:rowOff>
    </xdr:from>
    <xdr:to>
      <xdr:col>12</xdr:col>
      <xdr:colOff>423111</xdr:colOff>
      <xdr:row>6</xdr:row>
      <xdr:rowOff>179990</xdr:rowOff>
    </xdr:to>
    <xdr:cxnSp macro="">
      <xdr:nvCxnSpPr>
        <xdr:cNvPr id="79" name="Conector reto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CxnSpPr/>
      </xdr:nvCxnSpPr>
      <xdr:spPr>
        <a:xfrm flipH="1">
          <a:off x="7162145" y="1320465"/>
          <a:ext cx="833341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538010</xdr:colOff>
      <xdr:row>8</xdr:row>
      <xdr:rowOff>102577</xdr:rowOff>
    </xdr:from>
    <xdr:to>
      <xdr:col>9</xdr:col>
      <xdr:colOff>783980</xdr:colOff>
      <xdr:row>22</xdr:row>
      <xdr:rowOff>86817</xdr:rowOff>
    </xdr:to>
    <xdr:cxnSp macro="">
      <xdr:nvCxnSpPr>
        <xdr:cNvPr id="80" name="Conector: Angulado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CxnSpPr/>
      </xdr:nvCxnSpPr>
      <xdr:spPr>
        <a:xfrm flipV="1">
          <a:off x="2976410" y="1626577"/>
          <a:ext cx="3293970" cy="2651240"/>
        </a:xfrm>
        <a:prstGeom prst="bentConnector3">
          <a:avLst>
            <a:gd name="adj1" fmla="val 92134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849923</xdr:colOff>
      <xdr:row>5</xdr:row>
      <xdr:rowOff>58616</xdr:rowOff>
    </xdr:from>
    <xdr:to>
      <xdr:col>9</xdr:col>
      <xdr:colOff>849923</xdr:colOff>
      <xdr:row>11</xdr:row>
      <xdr:rowOff>139212</xdr:rowOff>
    </xdr:to>
    <xdr:cxnSp macro="">
      <xdr:nvCxnSpPr>
        <xdr:cNvPr id="81" name="Conector de Seta Reta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CxnSpPr/>
      </xdr:nvCxnSpPr>
      <xdr:spPr>
        <a:xfrm>
          <a:off x="6336323" y="1011116"/>
          <a:ext cx="0" cy="122359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271019</xdr:colOff>
      <xdr:row>9</xdr:row>
      <xdr:rowOff>7712</xdr:rowOff>
    </xdr:from>
    <xdr:to>
      <xdr:col>12</xdr:col>
      <xdr:colOff>494760</xdr:colOff>
      <xdr:row>9</xdr:row>
      <xdr:rowOff>10237</xdr:rowOff>
    </xdr:to>
    <xdr:cxnSp macro="">
      <xdr:nvCxnSpPr>
        <xdr:cNvPr id="82" name="Conector reto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CxnSpPr/>
      </xdr:nvCxnSpPr>
      <xdr:spPr>
        <a:xfrm flipH="1">
          <a:off x="7233794" y="1722212"/>
          <a:ext cx="833341" cy="2525"/>
        </a:xfrm>
        <a:prstGeom prst="line">
          <a:avLst/>
        </a:prstGeom>
        <a:ln w="12700">
          <a:solidFill>
            <a:schemeClr val="bg2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505557</xdr:colOff>
      <xdr:row>8</xdr:row>
      <xdr:rowOff>171218</xdr:rowOff>
    </xdr:from>
    <xdr:to>
      <xdr:col>12</xdr:col>
      <xdr:colOff>505557</xdr:colOff>
      <xdr:row>10</xdr:row>
      <xdr:rowOff>7327</xdr:rowOff>
    </xdr:to>
    <xdr:cxnSp macro="">
      <xdr:nvCxnSpPr>
        <xdr:cNvPr id="83" name="Conector de Seta Reta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CxnSpPr/>
      </xdr:nvCxnSpPr>
      <xdr:spPr>
        <a:xfrm>
          <a:off x="8077932" y="1695218"/>
          <a:ext cx="0" cy="217109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521373</xdr:colOff>
      <xdr:row>9</xdr:row>
      <xdr:rowOff>115305</xdr:rowOff>
    </xdr:from>
    <xdr:to>
      <xdr:col>13</xdr:col>
      <xdr:colOff>456516</xdr:colOff>
      <xdr:row>21</xdr:row>
      <xdr:rowOff>170410</xdr:rowOff>
    </xdr:to>
    <xdr:cxnSp macro="">
      <xdr:nvCxnSpPr>
        <xdr:cNvPr id="84" name="Conector: Angulado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CxnSpPr>
          <a:endCxn id="85" idx="3"/>
        </xdr:cNvCxnSpPr>
      </xdr:nvCxnSpPr>
      <xdr:spPr>
        <a:xfrm rot="16200000" flipH="1">
          <a:off x="7195567" y="2727986"/>
          <a:ext cx="2341105" cy="544743"/>
        </a:xfrm>
        <a:prstGeom prst="bentConnector4">
          <a:avLst>
            <a:gd name="adj1" fmla="val 145"/>
            <a:gd name="adj2" fmla="val 141811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8069</xdr:colOff>
      <xdr:row>21</xdr:row>
      <xdr:rowOff>31866</xdr:rowOff>
    </xdr:from>
    <xdr:to>
      <xdr:col>13</xdr:col>
      <xdr:colOff>456515</xdr:colOff>
      <xdr:row>22</xdr:row>
      <xdr:rowOff>118456</xdr:rowOff>
    </xdr:to>
    <xdr:sp macro="" textlink="">
      <xdr:nvSpPr>
        <xdr:cNvPr id="85" name="Retângulo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/>
      </xdr:nvSpPr>
      <xdr:spPr>
        <a:xfrm>
          <a:off x="8190044" y="4032366"/>
          <a:ext cx="448446" cy="277090"/>
        </a:xfrm>
        <a:prstGeom prst="rect">
          <a:avLst/>
        </a:prstGeom>
        <a:solidFill>
          <a:schemeClr val="bg2">
            <a:alpha val="4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chemeClr val="bg1"/>
              </a:solidFill>
              <a:latin typeface="+mn-lt"/>
              <a:ea typeface="+mn-ea"/>
              <a:cs typeface="+mn-cs"/>
            </a:rPr>
            <a:t>M12</a:t>
          </a:r>
        </a:p>
      </xdr:txBody>
    </xdr:sp>
    <xdr:clientData/>
  </xdr:twoCellAnchor>
  <xdr:twoCellAnchor>
    <xdr:from>
      <xdr:col>30</xdr:col>
      <xdr:colOff>163706</xdr:colOff>
      <xdr:row>40</xdr:row>
      <xdr:rowOff>63874</xdr:rowOff>
    </xdr:from>
    <xdr:to>
      <xdr:col>40</xdr:col>
      <xdr:colOff>369234</xdr:colOff>
      <xdr:row>41</xdr:row>
      <xdr:rowOff>181151</xdr:rowOff>
    </xdr:to>
    <xdr:sp macro="" textlink="">
      <xdr:nvSpPr>
        <xdr:cNvPr id="89" name="CaixaDeTexto 27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20270981" y="7807699"/>
          <a:ext cx="6168178" cy="307777"/>
        </a:xfrm>
        <a:prstGeom prst="rect">
          <a:avLst/>
        </a:prstGeom>
        <a:solidFill>
          <a:srgbClr val="E8ED1B"/>
        </a:solidFill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 b="1">
              <a:latin typeface="Arial" panose="020B0604020202020204" pitchFamily="34" charset="0"/>
              <a:cs typeface="Arial" panose="020B0604020202020204" pitchFamily="34" charset="0"/>
            </a:rPr>
            <a:t>RESISTENCIA AO DESLIZAMENTO ELS</a:t>
          </a:r>
        </a:p>
      </xdr:txBody>
    </xdr:sp>
    <xdr:clientData/>
  </xdr:twoCellAnchor>
  <xdr:twoCellAnchor editAs="oneCell">
    <xdr:from>
      <xdr:col>30</xdr:col>
      <xdr:colOff>225239</xdr:colOff>
      <xdr:row>42</xdr:row>
      <xdr:rowOff>46709</xdr:rowOff>
    </xdr:from>
    <xdr:to>
      <xdr:col>40</xdr:col>
      <xdr:colOff>242231</xdr:colOff>
      <xdr:row>44</xdr:row>
      <xdr:rowOff>170890</xdr:rowOff>
    </xdr:to>
    <xdr:pic>
      <xdr:nvPicPr>
        <xdr:cNvPr id="90" name="Imagem 89" descr="Interface gráfica do usuário, Texto, Aplicativo, Word&#10;&#10;Descrição gerada automaticamente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4759"/>
        <a:stretch/>
      </xdr:blipFill>
      <xdr:spPr>
        <a:xfrm>
          <a:off x="20332514" y="8171534"/>
          <a:ext cx="5979642" cy="514706"/>
        </a:xfrm>
        <a:prstGeom prst="rect">
          <a:avLst/>
        </a:prstGeom>
        <a:ln w="31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30</xdr:col>
      <xdr:colOff>192181</xdr:colOff>
      <xdr:row>45</xdr:row>
      <xdr:rowOff>41462</xdr:rowOff>
    </xdr:from>
    <xdr:to>
      <xdr:col>39</xdr:col>
      <xdr:colOff>350083</xdr:colOff>
      <xdr:row>46</xdr:row>
      <xdr:rowOff>158739</xdr:rowOff>
    </xdr:to>
    <xdr:sp macro="" textlink="">
      <xdr:nvSpPr>
        <xdr:cNvPr id="91" name="CaixaDeTexto 27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20299456" y="8747312"/>
          <a:ext cx="5510952" cy="307777"/>
        </a:xfrm>
        <a:prstGeom prst="rect">
          <a:avLst/>
        </a:prstGeom>
        <a:solidFill>
          <a:srgbClr val="E8ED1B"/>
        </a:solidFill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400" b="1">
              <a:latin typeface="Arial" panose="020B0604020202020204" pitchFamily="34" charset="0"/>
              <a:cs typeface="Arial" panose="020B0604020202020204" pitchFamily="34" charset="0"/>
            </a:rPr>
            <a:t>RESISTENCIA AO DESLIZAMENTO ELU</a:t>
          </a:r>
        </a:p>
      </xdr:txBody>
    </xdr:sp>
    <xdr:clientData/>
  </xdr:twoCellAnchor>
  <xdr:twoCellAnchor editAs="oneCell">
    <xdr:from>
      <xdr:col>30</xdr:col>
      <xdr:colOff>247650</xdr:colOff>
      <xdr:row>47</xdr:row>
      <xdr:rowOff>28575</xdr:rowOff>
    </xdr:from>
    <xdr:to>
      <xdr:col>37</xdr:col>
      <xdr:colOff>583661</xdr:colOff>
      <xdr:row>53</xdr:row>
      <xdr:rowOff>161037</xdr:rowOff>
    </xdr:to>
    <xdr:pic>
      <xdr:nvPicPr>
        <xdr:cNvPr id="92" name="Imagem 91" descr="Diagrama&#10;&#10;Descrição gerada automaticamente com confiança média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54925" y="9115425"/>
          <a:ext cx="4469861" cy="1275462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0</xdr:row>
      <xdr:rowOff>181584</xdr:rowOff>
    </xdr:from>
    <xdr:to>
      <xdr:col>40</xdr:col>
      <xdr:colOff>411102</xdr:colOff>
      <xdr:row>39</xdr:row>
      <xdr:rowOff>33474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35850" y="181584"/>
          <a:ext cx="6345177" cy="73575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0</xdr:row>
      <xdr:rowOff>123825</xdr:rowOff>
    </xdr:from>
    <xdr:to>
      <xdr:col>20</xdr:col>
      <xdr:colOff>361950</xdr:colOff>
      <xdr:row>40</xdr:row>
      <xdr:rowOff>176886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123825"/>
          <a:ext cx="7267575" cy="76730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38100</xdr:rowOff>
    </xdr:from>
    <xdr:to>
      <xdr:col>14</xdr:col>
      <xdr:colOff>574180</xdr:colOff>
      <xdr:row>18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38100"/>
          <a:ext cx="7832230" cy="3409950"/>
        </a:xfrm>
        <a:prstGeom prst="rect">
          <a:avLst/>
        </a:prstGeom>
        <a:ln w="952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76201</xdr:rowOff>
    </xdr:from>
    <xdr:to>
      <xdr:col>18</xdr:col>
      <xdr:colOff>559149</xdr:colOff>
      <xdr:row>11</xdr:row>
      <xdr:rowOff>161515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4743"/>
        <a:stretch/>
      </xdr:blipFill>
      <xdr:spPr>
        <a:xfrm>
          <a:off x="5943600" y="76201"/>
          <a:ext cx="9064974" cy="2180814"/>
        </a:xfrm>
        <a:prstGeom prst="rect">
          <a:avLst/>
        </a:prstGeom>
        <a:ln w="952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247651</xdr:colOff>
      <xdr:row>1</xdr:row>
      <xdr:rowOff>19050</xdr:rowOff>
    </xdr:from>
    <xdr:to>
      <xdr:col>15</xdr:col>
      <xdr:colOff>75605</xdr:colOff>
      <xdr:row>15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6" y="209550"/>
          <a:ext cx="5923954" cy="2657475"/>
        </a:xfrm>
        <a:prstGeom prst="rect">
          <a:avLst/>
        </a:prstGeom>
        <a:ln w="952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361950</xdr:colOff>
      <xdr:row>0</xdr:row>
      <xdr:rowOff>28575</xdr:rowOff>
    </xdr:from>
    <xdr:to>
      <xdr:col>30</xdr:col>
      <xdr:colOff>107742</xdr:colOff>
      <xdr:row>22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1775" y="28575"/>
          <a:ext cx="8889792" cy="4200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533561</xdr:colOff>
      <xdr:row>23</xdr:row>
      <xdr:rowOff>28575</xdr:rowOff>
    </xdr:from>
    <xdr:to>
      <xdr:col>17</xdr:col>
      <xdr:colOff>24690</xdr:colOff>
      <xdr:row>46</xdr:row>
      <xdr:rowOff>104775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9086" y="4791075"/>
          <a:ext cx="6196729" cy="44577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266700</xdr:colOff>
      <xdr:row>0</xdr:row>
      <xdr:rowOff>76200</xdr:rowOff>
    </xdr:from>
    <xdr:to>
      <xdr:col>13</xdr:col>
      <xdr:colOff>570929</xdr:colOff>
      <xdr:row>22</xdr:row>
      <xdr:rowOff>28009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2225" y="76200"/>
          <a:ext cx="4571429" cy="45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3A3D-BD39-4865-89C7-EA0E31A62410}">
  <dimension ref="B2:Z58"/>
  <sheetViews>
    <sheetView zoomScaleNormal="100" workbookViewId="0">
      <selection activeCell="E54" sqref="E54"/>
    </sheetView>
  </sheetViews>
  <sheetFormatPr defaultRowHeight="15" x14ac:dyDescent="0.25"/>
  <cols>
    <col min="24" max="24" width="34.85546875" customWidth="1"/>
  </cols>
  <sheetData>
    <row r="2" spans="3:25" x14ac:dyDescent="0.25"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  <c r="Q2" s="94" t="s">
        <v>20</v>
      </c>
      <c r="R2" s="94"/>
      <c r="S2" s="94"/>
      <c r="U2" s="4" t="s">
        <v>0</v>
      </c>
      <c r="V2" s="117" t="s">
        <v>80</v>
      </c>
      <c r="W2" s="118"/>
      <c r="X2" s="29" t="s">
        <v>85</v>
      </c>
    </row>
    <row r="3" spans="3:25" x14ac:dyDescent="0.25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  <c r="Q3" s="95" t="s">
        <v>57</v>
      </c>
      <c r="R3" s="96"/>
      <c r="S3" s="97"/>
      <c r="U3" s="4" t="s">
        <v>1</v>
      </c>
      <c r="V3" s="2">
        <v>64</v>
      </c>
      <c r="W3" s="3" t="s">
        <v>8</v>
      </c>
      <c r="X3" s="29" t="s">
        <v>86</v>
      </c>
    </row>
    <row r="4" spans="3:25" x14ac:dyDescent="0.25"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5"/>
      <c r="Q4" s="21" t="s">
        <v>52</v>
      </c>
      <c r="R4">
        <f>VLOOKUP(V2,'Diametro e bordas padrao'!A2:B15,2,0)</f>
        <v>22</v>
      </c>
      <c r="S4" t="s">
        <v>8</v>
      </c>
      <c r="U4" s="4" t="s">
        <v>2</v>
      </c>
      <c r="V4" s="2">
        <f>V3</f>
        <v>64</v>
      </c>
      <c r="W4" s="3" t="s">
        <v>8</v>
      </c>
    </row>
    <row r="5" spans="3:25" x14ac:dyDescent="0.25"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  <c r="Q5" s="14" t="s">
        <v>51</v>
      </c>
      <c r="R5">
        <f>R4+1.5</f>
        <v>23.5</v>
      </c>
      <c r="S5" t="s">
        <v>8</v>
      </c>
      <c r="U5" s="4" t="s">
        <v>3</v>
      </c>
      <c r="V5" s="2">
        <v>38</v>
      </c>
      <c r="W5" s="3" t="s">
        <v>8</v>
      </c>
      <c r="X5" s="29" t="s">
        <v>87</v>
      </c>
    </row>
    <row r="6" spans="3:25" x14ac:dyDescent="0.25"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Q6" s="14" t="s">
        <v>73</v>
      </c>
      <c r="R6">
        <f>R4+3.5</f>
        <v>25.5</v>
      </c>
      <c r="S6" t="s">
        <v>8</v>
      </c>
      <c r="U6" s="4" t="s">
        <v>4</v>
      </c>
      <c r="V6" s="2">
        <v>51</v>
      </c>
      <c r="W6" s="3" t="s">
        <v>8</v>
      </c>
    </row>
    <row r="7" spans="3:25" x14ac:dyDescent="0.25"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U7" s="4" t="s">
        <v>5</v>
      </c>
      <c r="V7" s="2">
        <v>70</v>
      </c>
      <c r="W7" s="3" t="s">
        <v>8</v>
      </c>
      <c r="X7" s="28" t="str">
        <f>_xlfn.CONCAT("Minimo e máximo permitido: entre ",ROUND(2.7*R4,0)," ","e ",IF(AND(Q13="Sim",24*V10&gt;300),300,IF(AND(Q13="Sim",24*V10&lt;300),24*V10,IF(AND(Q13="Não",14*V10&gt;180),180,14*V10))),"mm")</f>
        <v>Minimo e máximo permitido: entre 59 e 300mm</v>
      </c>
      <c r="Y7" s="6" t="str">
        <f>IF(AND(ROUND(2.7*R4,0)&lt;=V7,V7&lt;=IF(AND(Q13="Sim",24*V10&gt;300),300,IF(AND(Q13="Sim",24*V10&lt;300),24*V10,IF(AND(Q13="Não",14*V10&gt;180),180,14*V10)))),"OK","Erro")</f>
        <v>OK</v>
      </c>
    </row>
    <row r="8" spans="3:25" x14ac:dyDescent="0.25"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Q8" s="94" t="s">
        <v>91</v>
      </c>
      <c r="R8" s="94"/>
      <c r="S8" s="94"/>
      <c r="U8" s="4" t="s">
        <v>6</v>
      </c>
      <c r="V8" s="2">
        <v>35</v>
      </c>
      <c r="W8" s="3" t="s">
        <v>8</v>
      </c>
      <c r="X8" s="28" t="str">
        <f>_xlfn.CONCAT("Minimo e Máximo permitido: entre ",IF(Q9="Borda laminada ou cortada no maçarico",VLOOKUP(V2,'Diametro e bordas padrao'!A2:D15,4,0),VLOOKUP(V2,'Diametro e bordas padrao'!A2:D15,3,0))," a ",IF(12*V10&gt;150,150,12*V10),"mm")</f>
        <v>Minimo e Máximo permitido: entre 38 a 150mm</v>
      </c>
      <c r="Y8" s="6" t="str">
        <f>IF(AND(IF(Q9="Borda laminada ou cortada no maçarico",VLOOKUP(V2,'Diametro e bordas padrao'!A2:D15,4,0),VLOOKUP(V2,'Diametro e bordas padrao'!A2:D15,3,0))&lt;borda_esquerda_t1,IF(12*V10&gt;150,150,12*V10)&gt;borda_esquerda_t1),"OK","Erro")</f>
        <v>Erro</v>
      </c>
    </row>
    <row r="9" spans="3:25" x14ac:dyDescent="0.25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Q9" s="119" t="s">
        <v>18</v>
      </c>
      <c r="R9" s="119"/>
      <c r="S9" s="119"/>
      <c r="U9" s="4" t="s">
        <v>7</v>
      </c>
      <c r="V9" s="2">
        <f>V3+V4+V5+V5</f>
        <v>204</v>
      </c>
      <c r="W9" s="3" t="s">
        <v>8</v>
      </c>
    </row>
    <row r="10" spans="3:25" x14ac:dyDescent="0.25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  <c r="Q10" s="119"/>
      <c r="R10" s="119"/>
      <c r="S10" s="119"/>
      <c r="U10" s="4" t="s">
        <v>69</v>
      </c>
      <c r="V10" s="30">
        <v>12.7</v>
      </c>
      <c r="W10" s="3" t="s">
        <v>8</v>
      </c>
      <c r="X10" s="29" t="s">
        <v>96</v>
      </c>
    </row>
    <row r="11" spans="3:25" x14ac:dyDescent="0.25"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  <c r="Q11" s="120"/>
      <c r="R11" s="120"/>
      <c r="U11" s="4" t="s">
        <v>76</v>
      </c>
      <c r="V11" s="23">
        <v>9.5</v>
      </c>
      <c r="W11" s="24" t="s">
        <v>8</v>
      </c>
      <c r="X11" s="29" t="s">
        <v>97</v>
      </c>
    </row>
    <row r="12" spans="3:25" x14ac:dyDescent="0.25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/>
      <c r="Q12" s="94" t="s">
        <v>92</v>
      </c>
      <c r="R12" s="94"/>
      <c r="S12" s="94"/>
      <c r="U12" s="22" t="s">
        <v>77</v>
      </c>
      <c r="V12" s="2">
        <v>430</v>
      </c>
      <c r="W12" s="3" t="s">
        <v>50</v>
      </c>
      <c r="X12" s="29" t="s">
        <v>111</v>
      </c>
    </row>
    <row r="13" spans="3:25" x14ac:dyDescent="0.25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5"/>
      <c r="Q13" s="95" t="s">
        <v>95</v>
      </c>
      <c r="R13" s="96"/>
      <c r="S13" s="97"/>
      <c r="U13" s="22" t="s">
        <v>104</v>
      </c>
      <c r="V13" s="31">
        <f>V12/2</f>
        <v>215</v>
      </c>
      <c r="W13" s="3" t="s">
        <v>50</v>
      </c>
      <c r="X13" s="32"/>
    </row>
    <row r="14" spans="3:25" x14ac:dyDescent="0.25"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5"/>
      <c r="U14" s="121"/>
      <c r="V14" s="121"/>
      <c r="W14" s="121"/>
      <c r="X14" s="121"/>
    </row>
    <row r="15" spans="3:25" x14ac:dyDescent="0.25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5"/>
      <c r="Q15" s="94" t="s">
        <v>21</v>
      </c>
      <c r="R15" s="94"/>
      <c r="S15" s="94"/>
      <c r="U15" s="122" t="s">
        <v>106</v>
      </c>
      <c r="V15" s="122"/>
      <c r="W15" s="122"/>
      <c r="X15" s="40">
        <f>V6-(R5/2)</f>
        <v>39.25</v>
      </c>
    </row>
    <row r="16" spans="3:25" x14ac:dyDescent="0.25"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5"/>
      <c r="Q16" s="95" t="s">
        <v>23</v>
      </c>
      <c r="R16" s="96"/>
      <c r="S16" s="97"/>
      <c r="U16" s="122" t="s">
        <v>105</v>
      </c>
      <c r="V16" s="122"/>
      <c r="W16" s="122"/>
      <c r="X16" s="41">
        <f>V7-R5</f>
        <v>46.5</v>
      </c>
    </row>
    <row r="17" spans="3:26" x14ac:dyDescent="0.25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5"/>
      <c r="Q17" s="21" t="s">
        <v>25</v>
      </c>
      <c r="R17" s="9" t="str">
        <f>VLOOKUP(Q16,'Material parafusos A3'!$A$2:$E$8,2,FALSE)</f>
        <v>-</v>
      </c>
      <c r="S17" s="10" t="s">
        <v>42</v>
      </c>
      <c r="U17" s="38"/>
      <c r="V17" s="39"/>
      <c r="W17" s="39"/>
      <c r="X17" s="10"/>
    </row>
    <row r="18" spans="3:26" x14ac:dyDescent="0.25"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5"/>
      <c r="Q18" s="14" t="s">
        <v>26</v>
      </c>
      <c r="R18" s="11">
        <f>VLOOKUP(Q16,'Material parafusos A3'!$A$2:$E$8,3,FALSE)</f>
        <v>415</v>
      </c>
      <c r="S18" s="12" t="s">
        <v>42</v>
      </c>
      <c r="U18" s="93" t="s">
        <v>107</v>
      </c>
      <c r="V18" s="93"/>
      <c r="W18" s="93"/>
      <c r="X18" s="41">
        <f>V8-(R5/2)</f>
        <v>23.25</v>
      </c>
    </row>
    <row r="19" spans="3:26" ht="15" customHeight="1" x14ac:dyDescent="0.25"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  <c r="U19" s="93" t="s">
        <v>108</v>
      </c>
      <c r="V19" s="93"/>
      <c r="W19" s="93"/>
      <c r="X19" s="42">
        <f>V7-R5</f>
        <v>46.5</v>
      </c>
    </row>
    <row r="20" spans="3:26" ht="15" customHeight="1" x14ac:dyDescent="0.25"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Q20" s="35" t="s">
        <v>49</v>
      </c>
      <c r="R20" s="36"/>
      <c r="S20" s="37"/>
    </row>
    <row r="21" spans="3:26" ht="15" customHeight="1" x14ac:dyDescent="0.25"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5"/>
      <c r="Q21" s="95" t="s">
        <v>44</v>
      </c>
      <c r="R21" s="96"/>
      <c r="S21" s="97"/>
    </row>
    <row r="22" spans="3:26" x14ac:dyDescent="0.25"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5"/>
      <c r="Q22" s="14" t="s">
        <v>46</v>
      </c>
      <c r="R22" s="15">
        <f>VLOOKUP(Q21,'TABELA 3 COEF RESISTENCIA'!A2:C4,3,FALSE)</f>
        <v>1.35</v>
      </c>
      <c r="S22" s="1"/>
    </row>
    <row r="23" spans="3:26" x14ac:dyDescent="0.25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Q23" s="90" t="s">
        <v>112</v>
      </c>
      <c r="R23" s="91"/>
      <c r="S23" s="92"/>
    </row>
    <row r="24" spans="3:26" x14ac:dyDescent="0.25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Q24" s="21" t="s">
        <v>45</v>
      </c>
      <c r="R24" s="20">
        <f>VLOOKUP(Q21,'TABELA 3 COEF RESISTENCIA'!A2:C4,2,FALSE)</f>
        <v>1.1000000000000001</v>
      </c>
    </row>
    <row r="25" spans="3:26" x14ac:dyDescent="0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</row>
    <row r="26" spans="3:26" x14ac:dyDescent="0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5"/>
      <c r="Q26" s="90" t="s">
        <v>53</v>
      </c>
      <c r="R26" s="91"/>
      <c r="S26" s="92"/>
      <c r="U26" s="115" t="s">
        <v>89</v>
      </c>
      <c r="V26" s="116"/>
      <c r="W26" s="116"/>
      <c r="X26" s="130"/>
    </row>
    <row r="27" spans="3:26" ht="18.75" x14ac:dyDescent="0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5"/>
      <c r="Q27" s="98" t="s">
        <v>54</v>
      </c>
      <c r="R27" s="99"/>
      <c r="S27" s="100"/>
      <c r="U27" s="127" t="str">
        <f>IF(AND(K50&gt;V12,K43&gt;V13),"APROVADO", "REPROVADO")</f>
        <v>APROVADO</v>
      </c>
      <c r="V27" s="128"/>
      <c r="W27" s="128"/>
      <c r="X27" s="129"/>
    </row>
    <row r="28" spans="3:26" x14ac:dyDescent="0.25"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5"/>
      <c r="Q28" s="101"/>
      <c r="R28" s="102"/>
      <c r="S28" s="103"/>
      <c r="U28" s="120"/>
      <c r="V28" s="120"/>
      <c r="W28" s="120"/>
      <c r="X28" s="120"/>
    </row>
    <row r="29" spans="3:26" ht="15" customHeight="1" x14ac:dyDescent="0.25"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5"/>
      <c r="Q29" s="14" t="s">
        <v>61</v>
      </c>
      <c r="R29" s="18">
        <f>IF(AND(Q3="Furo Padrão",Q27="Forças de serviço é uma limitação de projeto"),1.2,IF(AND(Q3="Furo alargado",Q27="Forças de serviço é uma limitação de projeto"),1.2,IF(AND(Q3="Furo pouco alongado",Q27="Forças de serviço é uma limitação de projeto"),1.2,IF(AND(Q3="Furo Padrão",Q27="Forças de serviço NÃO é uma limitação de projeto"),1.5,IF(AND(Q3="Furo alargado",Q27="Forças de serviço NÃO é uma limitação de projeto"),1.5,IF(AND(Q3="Furo pouco alongado",Q27="Forças de serviço NÃO é uma limitação de projeto"),1.5,IF(AND(Q3="Furo muito alongado",Q27="Furos muito alongados na direção perpendicular à da força"),1,0)))))))</f>
        <v>1.2</v>
      </c>
      <c r="S29" s="19"/>
      <c r="U29" s="115" t="s">
        <v>110</v>
      </c>
      <c r="V29" s="116"/>
      <c r="W29" s="116"/>
      <c r="X29" s="116"/>
    </row>
    <row r="30" spans="3:26" x14ac:dyDescent="0.25"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5"/>
      <c r="U30" s="106" t="str">
        <f xml:space="preserve"> _xlfn.CONCAT((VLOOKUP(K50,CHOOSE({1,2},K44:K49,B44:B49),2,0))," ","com"," ","limitação de "," ",ROUND(K50,0),Z30)</f>
        <v>Resistência a tração na seção liquida com limitação de  480KN</v>
      </c>
      <c r="V30" s="107"/>
      <c r="W30" s="107"/>
      <c r="X30" s="108"/>
      <c r="Z30" s="27" t="s">
        <v>50</v>
      </c>
    </row>
    <row r="31" spans="3:26" x14ac:dyDescent="0.25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  <c r="Q31" s="90" t="s">
        <v>70</v>
      </c>
      <c r="R31" s="91"/>
      <c r="S31" s="92"/>
      <c r="U31" s="109"/>
      <c r="V31" s="110"/>
      <c r="W31" s="110"/>
      <c r="X31" s="111"/>
    </row>
    <row r="32" spans="3:26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5"/>
      <c r="Q32" s="95" t="s">
        <v>64</v>
      </c>
      <c r="R32" s="96"/>
      <c r="S32" s="97"/>
      <c r="U32" s="112"/>
      <c r="V32" s="113"/>
      <c r="W32" s="113"/>
      <c r="X32" s="114"/>
    </row>
    <row r="33" spans="2:24" x14ac:dyDescent="0.25"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Q33" s="21" t="s">
        <v>41</v>
      </c>
      <c r="R33" s="16">
        <f>VLOOKUP(Q32,'Tensão de Materiais'!A2:C30,2,FALSE)</f>
        <v>250</v>
      </c>
      <c r="S33" s="10" t="s">
        <v>42</v>
      </c>
    </row>
    <row r="34" spans="2:24" x14ac:dyDescent="0.25"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5"/>
      <c r="Q34" s="14" t="s">
        <v>68</v>
      </c>
      <c r="R34" s="17">
        <f>VLOOKUP(Q32,'Tensão de Materiais'!A2:C30,3,FALSE)</f>
        <v>400</v>
      </c>
      <c r="S34" s="12" t="s">
        <v>42</v>
      </c>
      <c r="U34" s="124" t="s">
        <v>88</v>
      </c>
      <c r="V34" s="125"/>
      <c r="W34" s="125"/>
      <c r="X34" s="126"/>
    </row>
    <row r="35" spans="2:24" ht="1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5"/>
      <c r="U35" s="106" t="str">
        <f>_xlfn.CONCAT("Você usou ",LARGE(L50:L51,1),"% da resistência disponível")</f>
        <v>Você usou 89,6% da resistência disponível</v>
      </c>
      <c r="V35" s="107"/>
      <c r="W35" s="107"/>
      <c r="X35" s="108"/>
    </row>
    <row r="36" spans="2:24" ht="15" customHeight="1" x14ac:dyDescent="0.25"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5"/>
      <c r="U36" s="109"/>
      <c r="V36" s="110"/>
      <c r="W36" s="110"/>
      <c r="X36" s="111"/>
    </row>
    <row r="37" spans="2:24" ht="15" customHeight="1" x14ac:dyDescent="0.25">
      <c r="U37" s="112"/>
      <c r="V37" s="113"/>
      <c r="W37" s="113"/>
      <c r="X37" s="114"/>
    </row>
    <row r="38" spans="2:24" x14ac:dyDescent="0.25">
      <c r="U38" s="123">
        <f>V12/K50</f>
        <v>0.89624826308476158</v>
      </c>
      <c r="V38" s="123"/>
      <c r="W38" s="123"/>
      <c r="X38" s="123"/>
    </row>
    <row r="39" spans="2:24" x14ac:dyDescent="0.25">
      <c r="B39" s="26" t="s">
        <v>74</v>
      </c>
      <c r="C39" s="150" t="s">
        <v>74</v>
      </c>
      <c r="D39" s="150"/>
      <c r="E39" s="150"/>
      <c r="F39" s="150"/>
      <c r="G39" s="150"/>
      <c r="H39" s="150"/>
      <c r="I39" s="150"/>
      <c r="J39" s="150"/>
      <c r="K39" s="25">
        <f>IF(X15&lt;2*R4,((R29*R34*X15*V10)/R22),((2.4*R4*V10*R34)/R22))*0.001</f>
        <v>177.23555555555555</v>
      </c>
      <c r="L39" t="s">
        <v>50</v>
      </c>
      <c r="M39" s="137" t="str">
        <f>IF(X15&lt;2*$R$4,"Rasgamento controlando o dimensionamento","Estado limite de ovalização controlando o dimensionamento")</f>
        <v>Rasgamento controlando o dimensionamento</v>
      </c>
      <c r="N39" s="137"/>
      <c r="O39" s="137"/>
      <c r="P39" s="137"/>
    </row>
    <row r="40" spans="2:24" x14ac:dyDescent="0.25">
      <c r="B40" s="26" t="s">
        <v>75</v>
      </c>
      <c r="C40" s="144" t="s">
        <v>75</v>
      </c>
      <c r="D40" s="145"/>
      <c r="E40" s="145"/>
      <c r="F40" s="145"/>
      <c r="G40" s="145"/>
      <c r="H40" s="145"/>
      <c r="I40" s="145"/>
      <c r="J40" s="146"/>
      <c r="K40" s="25">
        <f>IF(X16&lt;2*R4,((R29*(R34/10)*(X16/10)*(V10/10))/R22),((2.4*(R4/10)*(V10/10)*(R34/10))/R22))</f>
        <v>198.68444444444447</v>
      </c>
      <c r="L40" t="s">
        <v>50</v>
      </c>
      <c r="M40" s="137" t="str">
        <f>IF(X16&lt;2*$R$4,"Rasgamento controlando o dimensionamento","Estado limite de ovalização controlando o dimensionamento")</f>
        <v>Estado limite de ovalização controlando o dimensionamento</v>
      </c>
      <c r="N40" s="137"/>
      <c r="O40" s="137"/>
      <c r="P40" s="137"/>
    </row>
    <row r="41" spans="2:24" x14ac:dyDescent="0.25">
      <c r="B41" s="26" t="s">
        <v>101</v>
      </c>
      <c r="C41" s="134" t="s">
        <v>101</v>
      </c>
      <c r="D41" s="135"/>
      <c r="E41" s="135"/>
      <c r="F41" s="135"/>
      <c r="G41" s="135"/>
      <c r="H41" s="135"/>
      <c r="I41" s="135"/>
      <c r="J41" s="136"/>
      <c r="K41" s="25">
        <f>IF(X18&lt;2*R4,((R29*R34*X18*V11)/R22),((2.4*R4*V11*R34)/R22))*0.001</f>
        <v>78.533333333333331</v>
      </c>
      <c r="L41" t="s">
        <v>50</v>
      </c>
      <c r="M41" s="137" t="str">
        <f>IF(X19&lt;2*$R$4,"Rasgamento controlando o dimensionamento","Estado limite de ovalização controlando o dimensionamento")</f>
        <v>Estado limite de ovalização controlando o dimensionamento</v>
      </c>
      <c r="N41" s="137"/>
      <c r="O41" s="137"/>
      <c r="P41" s="137"/>
    </row>
    <row r="42" spans="2:24" x14ac:dyDescent="0.25">
      <c r="B42" s="26" t="s">
        <v>102</v>
      </c>
      <c r="C42" s="134" t="s">
        <v>102</v>
      </c>
      <c r="D42" s="135"/>
      <c r="E42" s="135"/>
      <c r="F42" s="135"/>
      <c r="G42" s="135"/>
      <c r="H42" s="135"/>
      <c r="I42" s="135"/>
      <c r="J42" s="136"/>
      <c r="K42" s="25">
        <f>IF(X19&lt;2*R4,((R29*(R34/10)*(X19/10)*(V11/10))/R22),((2.4*(R4/10)*(V11/10)*(R34/10))/R22))</f>
        <v>148.62222222222221</v>
      </c>
      <c r="L42" t="s">
        <v>50</v>
      </c>
      <c r="M42" s="137" t="str">
        <f>IF(X18&lt;2*$R$4,"Rasgamento controlando o dimensionamento","Estado limite de ovalização controlando o dimensionamento")</f>
        <v>Rasgamento controlando o dimensionamento</v>
      </c>
      <c r="N42" s="137"/>
      <c r="O42" s="137"/>
      <c r="P42" s="137"/>
    </row>
    <row r="43" spans="2:24" x14ac:dyDescent="0.25">
      <c r="B43" s="26" t="s">
        <v>109</v>
      </c>
      <c r="C43" s="134" t="s">
        <v>103</v>
      </c>
      <c r="D43" s="135"/>
      <c r="E43" s="135"/>
      <c r="F43" s="135"/>
      <c r="G43" s="135"/>
      <c r="H43" s="135"/>
      <c r="I43" s="135"/>
      <c r="J43" s="136"/>
      <c r="K43" s="25">
        <f>(3*K41)+(3*K42)</f>
        <v>681.46666666666658</v>
      </c>
      <c r="L43" t="s">
        <v>50</v>
      </c>
      <c r="M43" s="6" t="str">
        <f>IF(K43&gt;$V$13,"OK","Erro")</f>
        <v>OK</v>
      </c>
    </row>
    <row r="44" spans="2:24" x14ac:dyDescent="0.25">
      <c r="B44" s="26" t="s">
        <v>103</v>
      </c>
      <c r="C44" s="144" t="s">
        <v>109</v>
      </c>
      <c r="D44" s="145"/>
      <c r="E44" s="145"/>
      <c r="F44" s="145"/>
      <c r="G44" s="145"/>
      <c r="H44" s="145"/>
      <c r="I44" s="145"/>
      <c r="J44" s="146"/>
      <c r="K44" s="25">
        <f>(3*K39)+(3*K40)</f>
        <v>1127.7600000000002</v>
      </c>
      <c r="L44" t="s">
        <v>50</v>
      </c>
      <c r="M44" s="6" t="str">
        <f>IF(K44&gt;$V$12,"OK","Erro")</f>
        <v>OK</v>
      </c>
    </row>
    <row r="45" spans="2:24" x14ac:dyDescent="0.25">
      <c r="B45" s="26" t="s">
        <v>98</v>
      </c>
      <c r="C45" s="138" t="s">
        <v>98</v>
      </c>
      <c r="D45" s="139"/>
      <c r="E45" s="139"/>
      <c r="F45" s="139"/>
      <c r="G45" s="139"/>
      <c r="H45" s="139"/>
      <c r="I45" s="139"/>
      <c r="J45" s="140"/>
      <c r="K45" s="25">
        <f>((0.4*(3.14*R4^2)/4*0.01)*(R18/10)*2*6)/R22</f>
        <v>560.62257777777768</v>
      </c>
      <c r="L45" s="5" t="s">
        <v>50</v>
      </c>
      <c r="M45" s="6" t="str">
        <f t="shared" ref="M45:M48" si="0">IF(K45&gt;$V$12,"OK","Erro")</f>
        <v>OK</v>
      </c>
    </row>
    <row r="46" spans="2:24" x14ac:dyDescent="0.25">
      <c r="B46" s="26" t="s">
        <v>71</v>
      </c>
      <c r="C46" s="141" t="s">
        <v>71</v>
      </c>
      <c r="D46" s="142"/>
      <c r="E46" s="142"/>
      <c r="F46" s="142"/>
      <c r="G46" s="142"/>
      <c r="H46" s="142"/>
      <c r="I46" s="142"/>
      <c r="J46" s="143"/>
      <c r="K46" s="25">
        <f>((V9/10)*(V10/10)*(R33/10))/R24</f>
        <v>588.81818181818176</v>
      </c>
      <c r="L46" t="s">
        <v>50</v>
      </c>
      <c r="M46" s="6" t="str">
        <f t="shared" si="0"/>
        <v>OK</v>
      </c>
    </row>
    <row r="47" spans="2:24" x14ac:dyDescent="0.25">
      <c r="B47" s="26" t="s">
        <v>72</v>
      </c>
      <c r="C47" s="147" t="s">
        <v>72</v>
      </c>
      <c r="D47" s="148"/>
      <c r="E47" s="148"/>
      <c r="F47" s="148"/>
      <c r="G47" s="148"/>
      <c r="H47" s="148"/>
      <c r="I47" s="148"/>
      <c r="J47" s="149"/>
      <c r="K47" s="25">
        <f>(((V9/10)-(3*(R6/10)))*V10/10)*(R34/10)*(1/R22)</f>
        <v>479.77777777777771</v>
      </c>
      <c r="L47" t="s">
        <v>50</v>
      </c>
      <c r="M47" s="6" t="str">
        <f t="shared" si="0"/>
        <v>OK</v>
      </c>
    </row>
    <row r="48" spans="2:24" x14ac:dyDescent="0.25">
      <c r="B48" s="26" t="s">
        <v>99</v>
      </c>
      <c r="C48" s="131" t="s">
        <v>99</v>
      </c>
      <c r="D48" s="132"/>
      <c r="E48" s="132"/>
      <c r="F48" s="132"/>
      <c r="G48" s="132"/>
      <c r="H48" s="132"/>
      <c r="I48" s="132"/>
      <c r="J48" s="133"/>
      <c r="K48" s="25">
        <f>(1/R22)*((0.6*R34*(((V8+V7)-(1.5*R6))*V10*2*0.01))+(1*R34*(((V3+V4)-(2*R6))*V10*0.01)))*0.1</f>
        <v>591.16148148148147</v>
      </c>
      <c r="L48" t="s">
        <v>50</v>
      </c>
      <c r="M48" s="6" t="str">
        <f t="shared" si="0"/>
        <v>OK</v>
      </c>
    </row>
    <row r="49" spans="2:13" x14ac:dyDescent="0.25">
      <c r="B49" s="26" t="s">
        <v>100</v>
      </c>
      <c r="C49" s="131" t="s">
        <v>100</v>
      </c>
      <c r="D49" s="132"/>
      <c r="E49" s="132"/>
      <c r="F49" s="132"/>
      <c r="G49" s="132"/>
      <c r="H49" s="132"/>
      <c r="I49" s="132"/>
      <c r="J49" s="133"/>
      <c r="K49" s="25">
        <f>(1/R22)*((0.6*R33*((V8+V7)*V10*2*0.01))+(1*R34*(((V3+V4)-(2*R6))*V10*0.01)))*0.1</f>
        <v>586.08148148148155</v>
      </c>
      <c r="L49" t="s">
        <v>50</v>
      </c>
      <c r="M49" s="6" t="str">
        <f>IF(K49&gt;$V$12,"OK","Erro")</f>
        <v>OK</v>
      </c>
    </row>
    <row r="50" spans="2:13" x14ac:dyDescent="0.25">
      <c r="K50" s="33">
        <f>SMALL(K44:K49,1)</f>
        <v>479.77777777777771</v>
      </c>
      <c r="L50" s="34">
        <f>ROUND(V12/K50,3)*100</f>
        <v>89.600000000000009</v>
      </c>
    </row>
    <row r="51" spans="2:13" x14ac:dyDescent="0.25">
      <c r="K51" s="33">
        <f>K43</f>
        <v>681.46666666666658</v>
      </c>
      <c r="L51" s="34">
        <f>ROUND(V13/K43,3)*100</f>
        <v>31.5</v>
      </c>
    </row>
    <row r="56" spans="2:13" ht="15" customHeight="1" x14ac:dyDescent="0.25"/>
    <row r="57" spans="2:13" ht="15" customHeight="1" x14ac:dyDescent="0.25"/>
    <row r="58" spans="2:13" ht="15" customHeight="1" x14ac:dyDescent="0.25"/>
  </sheetData>
  <mergeCells count="45">
    <mergeCell ref="Q31:S31"/>
    <mergeCell ref="C42:J42"/>
    <mergeCell ref="C43:J43"/>
    <mergeCell ref="C39:J39"/>
    <mergeCell ref="Q32:S32"/>
    <mergeCell ref="M39:P39"/>
    <mergeCell ref="C49:J49"/>
    <mergeCell ref="C48:J48"/>
    <mergeCell ref="C41:J41"/>
    <mergeCell ref="M40:P40"/>
    <mergeCell ref="M41:P41"/>
    <mergeCell ref="C45:J45"/>
    <mergeCell ref="C46:J46"/>
    <mergeCell ref="C40:J40"/>
    <mergeCell ref="C44:J44"/>
    <mergeCell ref="M42:P42"/>
    <mergeCell ref="C47:J47"/>
    <mergeCell ref="U38:X38"/>
    <mergeCell ref="U34:X34"/>
    <mergeCell ref="U27:X27"/>
    <mergeCell ref="U26:X26"/>
    <mergeCell ref="U28:X28"/>
    <mergeCell ref="Q26:S26"/>
    <mergeCell ref="Q27:S28"/>
    <mergeCell ref="C2:O36"/>
    <mergeCell ref="Q13:S13"/>
    <mergeCell ref="U30:X32"/>
    <mergeCell ref="U29:X29"/>
    <mergeCell ref="V2:W2"/>
    <mergeCell ref="Q8:S8"/>
    <mergeCell ref="Q9:S10"/>
    <mergeCell ref="Q16:S16"/>
    <mergeCell ref="Q21:S21"/>
    <mergeCell ref="Q11:R11"/>
    <mergeCell ref="U14:X14"/>
    <mergeCell ref="U15:W15"/>
    <mergeCell ref="U16:W16"/>
    <mergeCell ref="U35:X37"/>
    <mergeCell ref="Q23:S23"/>
    <mergeCell ref="U18:W18"/>
    <mergeCell ref="U19:W19"/>
    <mergeCell ref="Q2:S2"/>
    <mergeCell ref="Q3:S3"/>
    <mergeCell ref="Q15:S15"/>
    <mergeCell ref="Q12:S12"/>
  </mergeCells>
  <phoneticPr fontId="3" type="noConversion"/>
  <conditionalFormatting sqref="U27:X27">
    <cfRule type="containsText" dxfId="37" priority="14" operator="containsText" text="REPROVADO">
      <formula>NOT(ISERROR(SEARCH("REPROVADO",U27)))</formula>
    </cfRule>
    <cfRule type="containsText" dxfId="36" priority="15" operator="containsText" text="APROVADO">
      <formula>NOT(ISERROR(SEARCH("APROVADO",U27)))</formula>
    </cfRule>
  </conditionalFormatting>
  <conditionalFormatting sqref="U38">
    <cfRule type="dataBar" priority="13">
      <dataBar showValue="0"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{6B4B00CA-8DB8-456C-92B9-CCECF77875FD}</x14:id>
        </ext>
      </extLst>
    </cfRule>
  </conditionalFormatting>
  <conditionalFormatting sqref="Y7">
    <cfRule type="containsText" dxfId="35" priority="11" operator="containsText" text="Ok">
      <formula>NOT(ISERROR(SEARCH("Ok",Y7)))</formula>
    </cfRule>
    <cfRule type="containsText" dxfId="34" priority="12" operator="containsText" text="Erro">
      <formula>NOT(ISERROR(SEARCH("Erro",Y7)))</formula>
    </cfRule>
  </conditionalFormatting>
  <conditionalFormatting sqref="M43:M49">
    <cfRule type="containsText" dxfId="33" priority="3" operator="containsText" text="Ok">
      <formula>NOT(ISERROR(SEARCH("Ok",M43)))</formula>
    </cfRule>
    <cfRule type="containsText" dxfId="32" priority="4" operator="containsText" text="Erro">
      <formula>NOT(ISERROR(SEARCH("Erro",M43)))</formula>
    </cfRule>
  </conditionalFormatting>
  <conditionalFormatting sqref="Y8">
    <cfRule type="containsText" dxfId="31" priority="1" operator="containsText" text="Ok">
      <formula>NOT(ISERROR(SEARCH("Ok",Y8)))</formula>
    </cfRule>
    <cfRule type="containsText" dxfId="30" priority="2" operator="containsText" text="Erro">
      <formula>NOT(ISERROR(SEARCH("Erro",Y8)))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4B00CA-8DB8-456C-92B9-CCECF77875FD}">
            <x14:dataBar minLength="0" maxLength="100" border="1" gradient="0" direction="leftToRight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U38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521090AC-A4C1-415B-8D94-6C78B4D2EE9A}">
          <x14:formula1>
            <xm:f>'Material parafusos A3'!$A$2:$A$8</xm:f>
          </x14:formula1>
          <xm:sqref>Q16</xm:sqref>
        </x14:dataValidation>
        <x14:dataValidation type="list" allowBlank="1" showInputMessage="1" showErrorMessage="1" xr:uid="{FFED11DD-DD39-4AFF-A84C-5BF2FAA140E6}">
          <x14:formula1>
            <xm:f>'TABELA 3 COEF RESISTENCIA'!$A$2:$A$4</xm:f>
          </x14:formula1>
          <xm:sqref>Q21</xm:sqref>
        </x14:dataValidation>
        <x14:dataValidation type="list" allowBlank="1" showInputMessage="1" showErrorMessage="1" xr:uid="{3609A5D3-4575-44A8-B641-CFD8B9C322E1}">
          <x14:formula1>
            <xm:f>'Tipos de Furos'!$A$2:$A$5</xm:f>
          </x14:formula1>
          <xm:sqref>Q3:S3</xm:sqref>
        </x14:dataValidation>
        <x14:dataValidation type="list" allowBlank="1" showInputMessage="1" showErrorMessage="1" xr:uid="{21DAAD27-A4F8-4FF6-9BF1-88F04EAA93D7}">
          <x14:formula1>
            <xm:f>'Tipo de esforços parafusos'!$A$2:$A$4</xm:f>
          </x14:formula1>
          <xm:sqref>Q27</xm:sqref>
        </x14:dataValidation>
        <x14:dataValidation type="list" allowBlank="1" showInputMessage="1" showErrorMessage="1" xr:uid="{4CF94345-1772-45D3-9639-DBC9B2C79B5F}">
          <x14:formula1>
            <xm:f>'Tensão de Materiais'!$A$2:$A$30</xm:f>
          </x14:formula1>
          <xm:sqref>Q32</xm:sqref>
        </x14:dataValidation>
        <x14:dataValidation type="list" allowBlank="1" showInputMessage="1" showErrorMessage="1" xr:uid="{698DEA11-9E19-46FD-9797-387C0FDE77A6}">
          <x14:formula1>
            <xm:f>'Diametro e bordas padrao'!$A$2:$A$15</xm:f>
          </x14:formula1>
          <xm:sqref>V2</xm:sqref>
        </x14:dataValidation>
        <x14:dataValidation type="list" allowBlank="1" showInputMessage="1" showErrorMessage="1" xr:uid="{3F7118F7-B978-437F-A89B-8971085313F9}">
          <x14:formula1>
            <xm:f>'Diametro e bordas padrao'!$S$2:$S$3</xm:f>
          </x14:formula1>
          <xm:sqref>Q9</xm:sqref>
        </x14:dataValidation>
        <x14:dataValidation type="list" allowBlank="1" showInputMessage="1" showErrorMessage="1" xr:uid="{945D6164-4DE4-41C9-A0C9-79C272383294}">
          <x14:formula1>
            <xm:f>'Pintura e Superficies'!$A$2:$A$3</xm:f>
          </x14:formula1>
          <xm:sqref>Q13:S13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8426-20D9-43FB-9116-1CA195BAEC13}">
  <dimension ref="A1:S18"/>
  <sheetViews>
    <sheetView workbookViewId="0">
      <selection activeCell="E3" sqref="E3"/>
    </sheetView>
  </sheetViews>
  <sheetFormatPr defaultRowHeight="15" x14ac:dyDescent="0.25"/>
  <cols>
    <col min="1" max="2" width="14.140625" customWidth="1"/>
    <col min="3" max="3" width="18.140625" customWidth="1"/>
    <col min="4" max="4" width="17.5703125" customWidth="1"/>
    <col min="5" max="5" width="14.42578125" bestFit="1" customWidth="1"/>
    <col min="6" max="6" width="13.140625" customWidth="1"/>
  </cols>
  <sheetData>
    <row r="1" spans="1:19" ht="45" x14ac:dyDescent="0.25">
      <c r="A1" s="7" t="s">
        <v>9</v>
      </c>
      <c r="B1" s="7" t="s">
        <v>78</v>
      </c>
      <c r="C1" s="8" t="s">
        <v>18</v>
      </c>
      <c r="D1" s="8" t="s">
        <v>19</v>
      </c>
      <c r="E1" s="8" t="s">
        <v>146</v>
      </c>
      <c r="F1" s="8" t="s">
        <v>147</v>
      </c>
      <c r="S1" t="s">
        <v>90</v>
      </c>
    </row>
    <row r="2" spans="1:19" x14ac:dyDescent="0.25">
      <c r="A2" s="6" t="s">
        <v>10</v>
      </c>
      <c r="B2" s="6">
        <f>0.5*25.4</f>
        <v>12.7</v>
      </c>
      <c r="C2" s="6">
        <v>22</v>
      </c>
      <c r="D2" s="6">
        <v>19</v>
      </c>
      <c r="E2" s="6">
        <v>53</v>
      </c>
      <c r="F2" s="72">
        <v>66</v>
      </c>
      <c r="S2" t="s">
        <v>18</v>
      </c>
    </row>
    <row r="3" spans="1:19" x14ac:dyDescent="0.25">
      <c r="A3" s="6" t="s">
        <v>11</v>
      </c>
      <c r="B3" s="6">
        <f>5*25.4/8</f>
        <v>15.875</v>
      </c>
      <c r="C3" s="6">
        <v>29</v>
      </c>
      <c r="D3" s="6">
        <v>22</v>
      </c>
      <c r="E3" s="6">
        <v>85</v>
      </c>
      <c r="F3" s="72">
        <v>106</v>
      </c>
      <c r="S3" t="s">
        <v>19</v>
      </c>
    </row>
    <row r="4" spans="1:19" x14ac:dyDescent="0.25">
      <c r="A4" s="6" t="s">
        <v>17</v>
      </c>
      <c r="B4" s="6">
        <v>16</v>
      </c>
      <c r="C4" s="6">
        <v>29</v>
      </c>
      <c r="D4" s="6">
        <v>22</v>
      </c>
      <c r="E4" s="6">
        <v>91</v>
      </c>
      <c r="F4" s="72">
        <v>114</v>
      </c>
    </row>
    <row r="5" spans="1:19" x14ac:dyDescent="0.25">
      <c r="A5" s="6" t="s">
        <v>12</v>
      </c>
      <c r="B5" s="6">
        <f>3*25.4/4</f>
        <v>19.049999999999997</v>
      </c>
      <c r="C5" s="6">
        <v>32</v>
      </c>
      <c r="D5" s="6">
        <v>26</v>
      </c>
      <c r="E5" s="6">
        <v>125</v>
      </c>
      <c r="F5" s="72">
        <v>156</v>
      </c>
    </row>
    <row r="6" spans="1:19" x14ac:dyDescent="0.25">
      <c r="A6" s="6" t="s">
        <v>79</v>
      </c>
      <c r="B6" s="6">
        <v>20</v>
      </c>
      <c r="C6" s="6">
        <v>35</v>
      </c>
      <c r="D6" s="6">
        <v>27</v>
      </c>
      <c r="E6" s="6">
        <v>142</v>
      </c>
      <c r="F6" s="72">
        <v>179</v>
      </c>
    </row>
    <row r="7" spans="1:19" x14ac:dyDescent="0.25">
      <c r="A7" s="6" t="s">
        <v>13</v>
      </c>
      <c r="B7" s="6">
        <f>7*25.4/8</f>
        <v>22.224999999999998</v>
      </c>
      <c r="C7" s="6">
        <v>38</v>
      </c>
      <c r="D7" s="6">
        <v>29</v>
      </c>
      <c r="E7" s="6">
        <v>173</v>
      </c>
      <c r="F7" s="72">
        <v>216</v>
      </c>
    </row>
    <row r="8" spans="1:19" x14ac:dyDescent="0.25">
      <c r="A8" s="6" t="s">
        <v>80</v>
      </c>
      <c r="B8" s="6">
        <v>22</v>
      </c>
      <c r="C8" s="6">
        <v>38</v>
      </c>
      <c r="D8" s="6">
        <v>29</v>
      </c>
      <c r="E8" s="6">
        <v>176</v>
      </c>
      <c r="F8" s="72">
        <v>221</v>
      </c>
    </row>
    <row r="9" spans="1:19" x14ac:dyDescent="0.25">
      <c r="A9" s="6" t="s">
        <v>81</v>
      </c>
      <c r="B9" s="6">
        <v>24</v>
      </c>
      <c r="C9" s="6">
        <v>42</v>
      </c>
      <c r="D9" s="6">
        <v>31</v>
      </c>
      <c r="E9" s="6">
        <v>205</v>
      </c>
      <c r="F9" s="72">
        <v>257</v>
      </c>
    </row>
    <row r="10" spans="1:19" x14ac:dyDescent="0.25">
      <c r="A10" s="6" t="s">
        <v>14</v>
      </c>
      <c r="B10" s="6">
        <v>25.4</v>
      </c>
      <c r="C10" s="6">
        <v>44</v>
      </c>
      <c r="D10" s="6">
        <v>32</v>
      </c>
      <c r="E10" s="6">
        <v>227</v>
      </c>
      <c r="F10" s="72">
        <v>283</v>
      </c>
    </row>
    <row r="11" spans="1:19" x14ac:dyDescent="0.25">
      <c r="A11" s="6" t="s">
        <v>15</v>
      </c>
      <c r="B11" s="6">
        <f>(25.4/8)+25.4</f>
        <v>28.574999999999999</v>
      </c>
      <c r="C11" s="6">
        <v>50</v>
      </c>
      <c r="D11" s="6">
        <v>38</v>
      </c>
      <c r="E11" s="6">
        <v>250</v>
      </c>
      <c r="F11" s="72">
        <v>357</v>
      </c>
    </row>
    <row r="12" spans="1:19" x14ac:dyDescent="0.25">
      <c r="A12" s="6" t="s">
        <v>82</v>
      </c>
      <c r="B12" s="6">
        <v>27</v>
      </c>
      <c r="C12" s="6">
        <v>50</v>
      </c>
      <c r="D12" s="6">
        <v>38</v>
      </c>
      <c r="E12" s="6">
        <v>267</v>
      </c>
      <c r="F12" s="72">
        <v>334</v>
      </c>
    </row>
    <row r="13" spans="1:19" x14ac:dyDescent="0.25">
      <c r="A13" s="6" t="s">
        <v>83</v>
      </c>
      <c r="B13" s="6">
        <v>30</v>
      </c>
      <c r="C13" s="6">
        <v>53</v>
      </c>
      <c r="D13" s="6">
        <v>39</v>
      </c>
      <c r="E13" s="6">
        <v>326</v>
      </c>
      <c r="F13" s="72">
        <v>408</v>
      </c>
    </row>
    <row r="14" spans="1:19" x14ac:dyDescent="0.25">
      <c r="A14" s="6" t="s">
        <v>16</v>
      </c>
      <c r="B14" s="6">
        <f>(25.4/4)+25.4</f>
        <v>31.75</v>
      </c>
      <c r="C14" s="6">
        <v>57</v>
      </c>
      <c r="D14" s="6">
        <v>42</v>
      </c>
      <c r="E14" s="6">
        <v>317</v>
      </c>
      <c r="F14" s="72">
        <v>453</v>
      </c>
    </row>
    <row r="15" spans="1:19" x14ac:dyDescent="0.25">
      <c r="A15" s="6" t="s">
        <v>84</v>
      </c>
      <c r="B15" s="6">
        <v>36</v>
      </c>
      <c r="C15" s="6">
        <v>64</v>
      </c>
      <c r="D15" s="6">
        <v>46</v>
      </c>
      <c r="E15" s="6">
        <v>475</v>
      </c>
      <c r="F15" s="72">
        <v>595</v>
      </c>
    </row>
    <row r="16" spans="1:19" x14ac:dyDescent="0.25">
      <c r="A16" s="6" t="s">
        <v>148</v>
      </c>
      <c r="B16" s="6"/>
      <c r="C16" s="6"/>
      <c r="D16" s="6"/>
      <c r="E16" s="6">
        <v>460</v>
      </c>
      <c r="F16" s="72">
        <v>659</v>
      </c>
    </row>
    <row r="17" spans="1:6" x14ac:dyDescent="0.25">
      <c r="A17" s="6"/>
      <c r="B17" s="6"/>
      <c r="C17" s="6"/>
      <c r="D17" s="6"/>
      <c r="E17" s="6"/>
      <c r="F17" s="72"/>
    </row>
    <row r="18" spans="1:6" x14ac:dyDescent="0.25">
      <c r="C18" s="13"/>
    </row>
  </sheetData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C64-9C00-445F-9874-55FE5ECF27A7}">
  <dimension ref="A1"/>
  <sheetViews>
    <sheetView workbookViewId="0">
      <selection activeCell="A2" sqref="A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C5B0-7592-45E8-8AE7-528F1819E31C}">
  <dimension ref="A1:D4"/>
  <sheetViews>
    <sheetView workbookViewId="0">
      <selection activeCell="D4" sqref="D4"/>
    </sheetView>
  </sheetViews>
  <sheetFormatPr defaultRowHeight="15" x14ac:dyDescent="0.25"/>
  <cols>
    <col min="1" max="1" width="24.85546875" bestFit="1" customWidth="1"/>
  </cols>
  <sheetData>
    <row r="1" spans="1:4" x14ac:dyDescent="0.25">
      <c r="A1" t="s">
        <v>43</v>
      </c>
      <c r="B1" t="s">
        <v>45</v>
      </c>
      <c r="C1" t="s">
        <v>46</v>
      </c>
      <c r="D1" t="s">
        <v>160</v>
      </c>
    </row>
    <row r="2" spans="1:4" x14ac:dyDescent="0.25">
      <c r="A2" t="s">
        <v>44</v>
      </c>
      <c r="B2">
        <v>1.1000000000000001</v>
      </c>
      <c r="C2">
        <v>1.35</v>
      </c>
      <c r="D2">
        <v>1.2</v>
      </c>
    </row>
    <row r="3" spans="1:4" x14ac:dyDescent="0.25">
      <c r="A3" t="s">
        <v>47</v>
      </c>
      <c r="B3">
        <v>1.1000000000000001</v>
      </c>
      <c r="C3">
        <v>1.35</v>
      </c>
      <c r="D3">
        <v>1.2</v>
      </c>
    </row>
    <row r="4" spans="1:4" x14ac:dyDescent="0.25">
      <c r="A4" t="s">
        <v>48</v>
      </c>
      <c r="B4">
        <v>1</v>
      </c>
      <c r="C4">
        <v>1.1499999999999999</v>
      </c>
      <c r="D4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0F66-131F-4F89-9BEE-16AC292A28E2}">
  <dimension ref="B2:AE58"/>
  <sheetViews>
    <sheetView zoomScaleNormal="100" workbookViewId="0">
      <selection activeCell="A40" sqref="A40"/>
    </sheetView>
  </sheetViews>
  <sheetFormatPr defaultRowHeight="15" x14ac:dyDescent="0.25"/>
  <cols>
    <col min="1" max="9" width="9.140625" style="32"/>
    <col min="10" max="10" width="13" style="32" customWidth="1"/>
    <col min="11" max="23" width="9.140625" style="32"/>
    <col min="24" max="24" width="34.85546875" style="32" customWidth="1"/>
    <col min="25" max="28" width="9.140625" style="32"/>
    <col min="29" max="29" width="11.85546875" style="32" customWidth="1"/>
    <col min="30" max="16384" width="9.140625" style="32"/>
  </cols>
  <sheetData>
    <row r="2" spans="3:31" x14ac:dyDescent="0.25"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  <c r="Q2" s="94" t="s">
        <v>20</v>
      </c>
      <c r="R2" s="94"/>
      <c r="S2" s="94"/>
      <c r="U2" s="4" t="s">
        <v>115</v>
      </c>
      <c r="V2" s="151" t="s">
        <v>11</v>
      </c>
      <c r="W2" s="152"/>
      <c r="X2" s="29" t="s">
        <v>85</v>
      </c>
      <c r="AA2" s="122" t="s">
        <v>125</v>
      </c>
      <c r="AB2" s="122"/>
      <c r="AC2" s="122"/>
      <c r="AD2" s="47">
        <f>V3-(R5/2)</f>
        <v>29.3125</v>
      </c>
      <c r="AE2" s="32" t="s">
        <v>8</v>
      </c>
    </row>
    <row r="3" spans="3:31" x14ac:dyDescent="0.25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  <c r="Q3" s="95" t="s">
        <v>57</v>
      </c>
      <c r="R3" s="96"/>
      <c r="S3" s="97"/>
      <c r="U3" s="4" t="s">
        <v>0</v>
      </c>
      <c r="V3" s="48">
        <v>38</v>
      </c>
      <c r="W3" s="3" t="s">
        <v>8</v>
      </c>
      <c r="X3" s="28" t="str">
        <f>_xlfn.CONCAT("Minimo e Máximo permitido: entre ",IF(Q9="Borda laminada ou cortada no maçarico",VLOOKUP(V2,'Diametro e bordas padrao'!A2:D15,4,0),VLOOKUP(V2,'Diametro e bordas padrao'!A2:D15,3,0))," a ",IF(12*V9&gt;150,150,12*V9),"mm")</f>
        <v>Minimo e Máximo permitido: entre 29 a 75,6mm</v>
      </c>
      <c r="Y3" s="6" t="str">
        <f>IF(AND(IF(Q9="Borda laminada ou cortada no maçarico",VLOOKUP(V2,'Diametro e bordas padrao'!A2:D15,4,0),VLOOKUP(V2,'Diametro e bordas padrao'!A2:D15,3,0))&lt;borda_esquerda_t2,IF(12*V9&gt;150,150,12*V9)&gt;borda_esquerda_t2),"OK","Erro")</f>
        <v>OK</v>
      </c>
      <c r="AA3" s="122" t="s">
        <v>126</v>
      </c>
      <c r="AB3" s="122"/>
      <c r="AC3" s="122"/>
      <c r="AD3" s="47">
        <f>V4-R5</f>
        <v>27.625</v>
      </c>
      <c r="AE3" s="32" t="s">
        <v>8</v>
      </c>
    </row>
    <row r="4" spans="3:31" x14ac:dyDescent="0.25"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5"/>
      <c r="Q4" s="21" t="s">
        <v>52</v>
      </c>
      <c r="R4" s="32">
        <f>VLOOKUP(V2,'Diametro e bordas padrao'!A2:B15,2,0)</f>
        <v>15.875</v>
      </c>
      <c r="S4" s="32" t="s">
        <v>8</v>
      </c>
      <c r="U4" s="4" t="s">
        <v>1</v>
      </c>
      <c r="V4" s="2">
        <v>45</v>
      </c>
      <c r="W4" s="3" t="s">
        <v>8</v>
      </c>
      <c r="X4" s="28" t="str">
        <f>_xlfn.CONCAT("Minimo e máximo permitido: entre ",ROUND(2.7*R4,0)," ","e ",IF(AND(Q13="Sim",24*V9&gt;300),300,IF(AND(Q13="Sim",24*V9&lt;300),24*V9,IF(AND(Q13="Não",14*V9&gt;180),180,14*V9))),"mm")</f>
        <v>Minimo e máximo permitido: entre 43 e 151,2mm</v>
      </c>
      <c r="Y4" s="6" t="str">
        <f>IF(AND(ROUND(2.7*R4,0)&lt;=V7,V7&lt;=IF(AND(Q13="Sim",24*V10&gt;300),300,IF(AND(Q13="Sim",24*V10&lt;300),24*V10,IF(AND(Q13="Não",14*V10&gt;180),180,14*V10)))),"OK","Erro")</f>
        <v>OK</v>
      </c>
      <c r="AA4" s="153" t="s">
        <v>106</v>
      </c>
      <c r="AB4" s="154"/>
      <c r="AC4" s="155"/>
      <c r="AD4" s="47">
        <f>V8-(R5/2)</f>
        <v>16.3125</v>
      </c>
      <c r="AE4" s="32" t="s">
        <v>8</v>
      </c>
    </row>
    <row r="5" spans="3:31" x14ac:dyDescent="0.25"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  <c r="Q5" s="14" t="s">
        <v>51</v>
      </c>
      <c r="R5" s="32">
        <f>R4+1.5</f>
        <v>17.375</v>
      </c>
      <c r="S5" s="32" t="s">
        <v>8</v>
      </c>
      <c r="U5" s="4" t="s">
        <v>2</v>
      </c>
      <c r="V5" s="2">
        <f>$V$4</f>
        <v>45</v>
      </c>
      <c r="W5" s="3" t="s">
        <v>8</v>
      </c>
      <c r="AA5" s="153" t="s">
        <v>105</v>
      </c>
      <c r="AB5" s="154"/>
      <c r="AC5" s="155"/>
      <c r="AD5" s="47">
        <f>V7-R5</f>
        <v>27.625</v>
      </c>
      <c r="AE5" s="51" t="s">
        <v>8</v>
      </c>
    </row>
    <row r="6" spans="3:31" x14ac:dyDescent="0.25"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Q6" s="14" t="s">
        <v>73</v>
      </c>
      <c r="R6" s="32">
        <f>R4+3.5</f>
        <v>19.375</v>
      </c>
      <c r="S6" s="32" t="s">
        <v>8</v>
      </c>
      <c r="U6" s="4" t="s">
        <v>3</v>
      </c>
      <c r="V6" s="2">
        <f t="shared" ref="V6:V7" si="0">$V$4</f>
        <v>45</v>
      </c>
      <c r="W6" s="3" t="s">
        <v>8</v>
      </c>
      <c r="AA6" s="49" t="s">
        <v>117</v>
      </c>
      <c r="AB6" s="47">
        <f>(V3+V4+V5+V6+V7)*V10*2*0.01</f>
        <v>27.467999999999996</v>
      </c>
      <c r="AC6" s="32" t="s">
        <v>114</v>
      </c>
    </row>
    <row r="7" spans="3:31" x14ac:dyDescent="0.25"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U7" s="4" t="s">
        <v>4</v>
      </c>
      <c r="V7" s="2">
        <f t="shared" si="0"/>
        <v>45</v>
      </c>
      <c r="W7" s="3" t="s">
        <v>8</v>
      </c>
      <c r="AA7" s="49" t="s">
        <v>118</v>
      </c>
      <c r="AB7" s="50">
        <f>(V3+V4+V5+V6+V7-(4.5*R6))*V10*2*0.01</f>
        <v>16.482375000000001</v>
      </c>
      <c r="AC7" s="32" t="s">
        <v>114</v>
      </c>
    </row>
    <row r="8" spans="3:31" x14ac:dyDescent="0.25"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Q8" s="94" t="s">
        <v>91</v>
      </c>
      <c r="R8" s="94"/>
      <c r="S8" s="94"/>
      <c r="U8" s="4" t="s">
        <v>5</v>
      </c>
      <c r="V8" s="2">
        <v>25</v>
      </c>
      <c r="W8" s="3" t="s">
        <v>8</v>
      </c>
      <c r="AA8" s="49" t="s">
        <v>119</v>
      </c>
      <c r="AB8" s="50">
        <f>((SMALL(V12:V13,1))-(R6/2))*V10*0.01*2</f>
        <v>2.4333750000000003</v>
      </c>
      <c r="AC8" s="32" t="s">
        <v>114</v>
      </c>
    </row>
    <row r="9" spans="3:31" x14ac:dyDescent="0.25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Q9" s="119" t="s">
        <v>18</v>
      </c>
      <c r="R9" s="119"/>
      <c r="S9" s="119"/>
      <c r="U9" s="4" t="s">
        <v>6</v>
      </c>
      <c r="V9" s="2">
        <v>6.3</v>
      </c>
      <c r="W9" s="3" t="s">
        <v>8</v>
      </c>
      <c r="X9" s="29" t="s">
        <v>124</v>
      </c>
    </row>
    <row r="10" spans="3:31" x14ac:dyDescent="0.25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  <c r="Q10" s="119"/>
      <c r="R10" s="119"/>
      <c r="S10" s="119"/>
      <c r="U10" s="4" t="s">
        <v>7</v>
      </c>
      <c r="V10" s="2">
        <v>6.3</v>
      </c>
      <c r="W10" s="3" t="s">
        <v>8</v>
      </c>
      <c r="X10" s="29" t="s">
        <v>123</v>
      </c>
    </row>
    <row r="11" spans="3:31" x14ac:dyDescent="0.25"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  <c r="Q11" s="120"/>
      <c r="R11" s="120"/>
      <c r="U11" s="4" t="s">
        <v>69</v>
      </c>
      <c r="V11" s="2">
        <v>18</v>
      </c>
      <c r="W11" s="3" t="s">
        <v>8</v>
      </c>
      <c r="X11" s="29" t="s">
        <v>96</v>
      </c>
    </row>
    <row r="12" spans="3:31" x14ac:dyDescent="0.25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/>
      <c r="Q12" s="94" t="s">
        <v>92</v>
      </c>
      <c r="R12" s="94"/>
      <c r="S12" s="94"/>
      <c r="U12" s="4" t="s">
        <v>76</v>
      </c>
      <c r="V12" s="2">
        <v>29</v>
      </c>
      <c r="W12" s="3" t="s">
        <v>8</v>
      </c>
      <c r="X12" s="29" t="s">
        <v>97</v>
      </c>
    </row>
    <row r="13" spans="3:31" x14ac:dyDescent="0.25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5"/>
      <c r="Q13" s="95" t="s">
        <v>95</v>
      </c>
      <c r="R13" s="96"/>
      <c r="S13" s="97"/>
      <c r="U13" s="4" t="s">
        <v>127</v>
      </c>
      <c r="V13" s="2">
        <v>35</v>
      </c>
      <c r="W13" s="3" t="s">
        <v>8</v>
      </c>
      <c r="X13" s="29" t="s">
        <v>128</v>
      </c>
    </row>
    <row r="14" spans="3:31" x14ac:dyDescent="0.25"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5"/>
      <c r="U14" s="22" t="s">
        <v>77</v>
      </c>
      <c r="V14" s="2">
        <v>155</v>
      </c>
      <c r="W14" s="3" t="s">
        <v>50</v>
      </c>
      <c r="X14" s="29" t="s">
        <v>111</v>
      </c>
    </row>
    <row r="15" spans="3:31" x14ac:dyDescent="0.25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5"/>
      <c r="Q15" s="94" t="s">
        <v>21</v>
      </c>
      <c r="R15" s="94"/>
      <c r="S15" s="94"/>
      <c r="U15" s="22" t="s">
        <v>104</v>
      </c>
      <c r="V15" s="31">
        <f>V14*2</f>
        <v>310</v>
      </c>
      <c r="W15" s="3" t="s">
        <v>50</v>
      </c>
    </row>
    <row r="16" spans="3:31" x14ac:dyDescent="0.25"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5"/>
      <c r="Q16" s="95" t="s">
        <v>23</v>
      </c>
      <c r="R16" s="96"/>
      <c r="S16" s="97"/>
    </row>
    <row r="17" spans="3:26" x14ac:dyDescent="0.25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5"/>
      <c r="Q17" s="21" t="s">
        <v>25</v>
      </c>
      <c r="R17" s="9" t="str">
        <f>VLOOKUP(Q16,'Material parafusos A3'!$A$2:$E$8,2,FALSE)</f>
        <v>-</v>
      </c>
      <c r="S17" s="10" t="s">
        <v>42</v>
      </c>
    </row>
    <row r="18" spans="3:26" x14ac:dyDescent="0.25"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5"/>
      <c r="Q18" s="14" t="s">
        <v>26</v>
      </c>
      <c r="R18" s="11">
        <f>VLOOKUP(Q16,'Material parafusos A3'!$A$2:$E$8,3,FALSE)</f>
        <v>415</v>
      </c>
      <c r="S18" s="12" t="s">
        <v>42</v>
      </c>
    </row>
    <row r="19" spans="3:26" ht="15" customHeight="1" x14ac:dyDescent="0.25"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</row>
    <row r="20" spans="3:26" ht="15" customHeight="1" x14ac:dyDescent="0.25"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Q20" s="43" t="s">
        <v>49</v>
      </c>
      <c r="R20" s="44"/>
      <c r="S20" s="45"/>
      <c r="U20" s="90" t="s">
        <v>116</v>
      </c>
      <c r="V20" s="91"/>
      <c r="W20" s="92"/>
    </row>
    <row r="21" spans="3:26" ht="15" customHeight="1" x14ac:dyDescent="0.25"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5"/>
      <c r="Q21" s="95" t="s">
        <v>44</v>
      </c>
      <c r="R21" s="96"/>
      <c r="S21" s="97"/>
      <c r="U21" s="95" t="s">
        <v>95</v>
      </c>
      <c r="V21" s="96"/>
      <c r="W21" s="97"/>
    </row>
    <row r="22" spans="3:26" x14ac:dyDescent="0.25"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5"/>
      <c r="Q22" s="14" t="s">
        <v>46</v>
      </c>
      <c r="R22" s="15">
        <f>VLOOKUP(Q21,'TABELA 3 COEF RESISTENCIA'!A2:C4,3,FALSE)</f>
        <v>1.35</v>
      </c>
      <c r="S22" s="46"/>
      <c r="U22" s="32" t="s">
        <v>113</v>
      </c>
      <c r="V22" s="32">
        <v>7.68</v>
      </c>
    </row>
    <row r="23" spans="3:26" x14ac:dyDescent="0.25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Q23" s="90" t="s">
        <v>112</v>
      </c>
      <c r="R23" s="91"/>
      <c r="S23" s="92"/>
    </row>
    <row r="24" spans="3:26" x14ac:dyDescent="0.25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Q24" s="21" t="s">
        <v>45</v>
      </c>
      <c r="R24" s="20">
        <f>VLOOKUP(Q21,'TABELA 3 COEF RESISTENCIA'!A2:C4,2,FALSE)</f>
        <v>1.1000000000000001</v>
      </c>
    </row>
    <row r="25" spans="3:26" x14ac:dyDescent="0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U25" s="115" t="s">
        <v>89</v>
      </c>
      <c r="V25" s="116"/>
      <c r="W25" s="116"/>
      <c r="X25" s="130"/>
    </row>
    <row r="26" spans="3:26" ht="18.75" x14ac:dyDescent="0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5"/>
      <c r="Q26" s="90" t="s">
        <v>53</v>
      </c>
      <c r="R26" s="91"/>
      <c r="S26" s="92"/>
      <c r="U26" s="127" t="str">
        <f>IF(AND(K50&gt;V14,K43&gt;V15),"APROVADO", "REPROVADO")</f>
        <v>APROVADO</v>
      </c>
      <c r="V26" s="128"/>
      <c r="W26" s="128"/>
      <c r="X26" s="129"/>
    </row>
    <row r="27" spans="3:26" x14ac:dyDescent="0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5"/>
      <c r="Q27" s="98" t="s">
        <v>54</v>
      </c>
      <c r="R27" s="99"/>
      <c r="S27" s="100"/>
      <c r="U27" s="120"/>
      <c r="V27" s="120"/>
      <c r="W27" s="120"/>
      <c r="X27" s="120"/>
    </row>
    <row r="28" spans="3:26" x14ac:dyDescent="0.25"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5"/>
      <c r="Q28" s="101"/>
      <c r="R28" s="102"/>
      <c r="S28" s="103"/>
      <c r="U28" s="115" t="s">
        <v>110</v>
      </c>
      <c r="V28" s="116"/>
      <c r="W28" s="116"/>
      <c r="X28" s="116"/>
    </row>
    <row r="29" spans="3:26" ht="15" customHeight="1" x14ac:dyDescent="0.25"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5"/>
      <c r="Q29" s="14" t="s">
        <v>61</v>
      </c>
      <c r="R29" s="18">
        <f>IF(AND(Q3="Furo Padrão",Q27="Forças de serviço é uma limitação de projeto"),1.2,IF(AND(Q3="Furo alargado",Q27="Forças de serviço é uma limitação de projeto"),1.2,IF(AND(Q3="Furo pouco alongado",Q27="Forças de serviço é uma limitação de projeto"),1.2,IF(AND(Q3="Furo Padrão",Q27="Forças de serviço NÃO é uma limitação de projeto"),1.5,IF(AND(Q3="Furo alargado",Q27="Forças de serviço NÃO é uma limitação de projeto"),1.5,IF(AND(Q3="Furo pouco alongado",Q27="Forças de serviço NÃO é uma limitação de projeto"),1.5,IF(AND(Q3="Furo muito alongado",Q27="Furos muito alongados na direção perpendicular à da força"),1,0)))))))</f>
        <v>1.2</v>
      </c>
      <c r="S29" s="19"/>
      <c r="U29" s="106" t="str">
        <f xml:space="preserve"> _xlfn.CONCAT((VLOOKUP(K50,CHOOSE({1,2},K44:K49,B44:B49),2,0))," ","com"," ","limitação de "," ",ROUND(K50,0),Z30)</f>
        <v>Resistência total ao corte duplo dos parafusos com limitação de  243KN</v>
      </c>
      <c r="V29" s="107"/>
      <c r="W29" s="107"/>
      <c r="X29" s="108"/>
    </row>
    <row r="30" spans="3:26" x14ac:dyDescent="0.25"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5"/>
      <c r="U30" s="109"/>
      <c r="V30" s="110"/>
      <c r="W30" s="110"/>
      <c r="X30" s="111"/>
      <c r="Z30" s="27" t="s">
        <v>50</v>
      </c>
    </row>
    <row r="31" spans="3:26" x14ac:dyDescent="0.25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  <c r="Q31" s="90" t="s">
        <v>70</v>
      </c>
      <c r="R31" s="91"/>
      <c r="S31" s="92"/>
      <c r="U31" s="112"/>
      <c r="V31" s="113"/>
      <c r="W31" s="113"/>
      <c r="X31" s="114"/>
    </row>
    <row r="32" spans="3:26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5"/>
      <c r="Q32" s="95" t="s">
        <v>64</v>
      </c>
      <c r="R32" s="96"/>
      <c r="S32" s="97"/>
    </row>
    <row r="33" spans="2:24" x14ac:dyDescent="0.25"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Q33" s="21" t="s">
        <v>41</v>
      </c>
      <c r="R33" s="16">
        <f>VLOOKUP(Q32,'Tensão de Materiais'!A2:C30,2,FALSE)</f>
        <v>250</v>
      </c>
      <c r="S33" s="10" t="s">
        <v>42</v>
      </c>
      <c r="U33" s="124" t="s">
        <v>88</v>
      </c>
      <c r="V33" s="125"/>
      <c r="W33" s="125"/>
      <c r="X33" s="126"/>
    </row>
    <row r="34" spans="2:24" x14ac:dyDescent="0.25"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5"/>
      <c r="Q34" s="14" t="s">
        <v>68</v>
      </c>
      <c r="R34" s="17">
        <f>VLOOKUP(Q32,'Tensão de Materiais'!A2:C30,3,FALSE)</f>
        <v>400</v>
      </c>
      <c r="S34" s="12" t="s">
        <v>42</v>
      </c>
      <c r="U34" s="106" t="str">
        <f>_xlfn.CONCAT("Você usou ",LARGE(L50:L51,1),"% da resistência disponível")</f>
        <v>Você usou 63,7% da resistência disponível</v>
      </c>
      <c r="V34" s="107"/>
      <c r="W34" s="107"/>
      <c r="X34" s="108"/>
    </row>
    <row r="35" spans="2:24" ht="1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5"/>
      <c r="U35" s="109"/>
      <c r="V35" s="110"/>
      <c r="W35" s="110"/>
      <c r="X35" s="111"/>
    </row>
    <row r="36" spans="2:24" ht="15" customHeight="1" x14ac:dyDescent="0.25"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5"/>
      <c r="U36" s="112"/>
      <c r="V36" s="113"/>
      <c r="W36" s="113"/>
      <c r="X36" s="114"/>
    </row>
    <row r="37" spans="2:24" ht="15" customHeight="1" x14ac:dyDescent="0.25">
      <c r="U37" s="123">
        <f>V14/K50</f>
        <v>0.63717723936100146</v>
      </c>
      <c r="V37" s="123"/>
      <c r="W37" s="123"/>
      <c r="X37" s="123"/>
    </row>
    <row r="39" spans="2:24" x14ac:dyDescent="0.25">
      <c r="B39" s="26" t="s">
        <v>121</v>
      </c>
      <c r="C39" s="150" t="s">
        <v>121</v>
      </c>
      <c r="D39" s="150"/>
      <c r="E39" s="150"/>
      <c r="F39" s="150"/>
      <c r="G39" s="150"/>
      <c r="H39" s="150"/>
      <c r="I39" s="150"/>
      <c r="J39" s="150"/>
      <c r="K39" s="25">
        <f>IF(AD2&lt;2*R4,((R29*R34*AD2*V10)/R22),((2.4*R4*V10*R34)/R22))*0.001</f>
        <v>65.66</v>
      </c>
      <c r="L39" s="32" t="s">
        <v>50</v>
      </c>
      <c r="M39" s="137" t="str">
        <f>IF(AD2&lt;2*$R$4,"Rasgamento controlando o dimensionamento","Estado limite de ovalização controlando o dimensionamento")</f>
        <v>Rasgamento controlando o dimensionamento</v>
      </c>
      <c r="N39" s="137"/>
      <c r="O39" s="137"/>
      <c r="P39" s="137"/>
    </row>
    <row r="40" spans="2:24" x14ac:dyDescent="0.25">
      <c r="B40" s="26" t="s">
        <v>122</v>
      </c>
      <c r="C40" s="144" t="s">
        <v>122</v>
      </c>
      <c r="D40" s="145"/>
      <c r="E40" s="145"/>
      <c r="F40" s="145"/>
      <c r="G40" s="145"/>
      <c r="H40" s="145"/>
      <c r="I40" s="145"/>
      <c r="J40" s="146"/>
      <c r="K40" s="25">
        <f>IF(AD3&lt;2*R4,((R29*(R34/10)*(AD3/10)*(V10/10))/R22),((2.4*(R4/10)*(V10/10)*(R34/10))/R22))</f>
        <v>61.88</v>
      </c>
      <c r="L40" s="32" t="s">
        <v>50</v>
      </c>
      <c r="M40" s="137" t="str">
        <f>IF(AD3&lt;2*$R$4,"Rasgamento controlando o dimensionamento","Estado limite de ovalização controlando o dimensionamento")</f>
        <v>Rasgamento controlando o dimensionamento</v>
      </c>
      <c r="N40" s="137"/>
      <c r="O40" s="137"/>
      <c r="P40" s="137"/>
    </row>
    <row r="41" spans="2:24" x14ac:dyDescent="0.25">
      <c r="B41" s="26" t="s">
        <v>120</v>
      </c>
      <c r="C41" s="134" t="s">
        <v>120</v>
      </c>
      <c r="D41" s="135"/>
      <c r="E41" s="135"/>
      <c r="F41" s="135"/>
      <c r="G41" s="135"/>
      <c r="H41" s="135"/>
      <c r="I41" s="135"/>
      <c r="J41" s="136"/>
      <c r="K41" s="25">
        <f>IF(AD4&lt;2*R4,((R29*R34*AD4*V11)/R22),((2.4*R4*V11*R34)/R22))*0.001</f>
        <v>104.4</v>
      </c>
      <c r="L41" s="32" t="s">
        <v>50</v>
      </c>
      <c r="M41" s="137" t="str">
        <f>IF(AD5&lt;2*$R$4,"Rasgamento controlando o dimensionamento","Estado limite de ovalização controlando o dimensionamento")</f>
        <v>Rasgamento controlando o dimensionamento</v>
      </c>
      <c r="N41" s="137"/>
      <c r="O41" s="137"/>
      <c r="P41" s="137"/>
    </row>
    <row r="42" spans="2:24" x14ac:dyDescent="0.25">
      <c r="B42" s="26" t="s">
        <v>129</v>
      </c>
      <c r="C42" s="134" t="s">
        <v>129</v>
      </c>
      <c r="D42" s="135"/>
      <c r="E42" s="135"/>
      <c r="F42" s="135"/>
      <c r="G42" s="135"/>
      <c r="H42" s="135"/>
      <c r="I42" s="135"/>
      <c r="J42" s="136"/>
      <c r="K42" s="25">
        <f>IF(AD5&lt;2*R4,((R29*(R34/10)*(AD5/10)*(V11/10))/R22),((2.4*(R4/10)*(V11/10)*(R34/10))/R22))</f>
        <v>176.8</v>
      </c>
      <c r="L42" s="32" t="s">
        <v>50</v>
      </c>
      <c r="M42" s="137" t="str">
        <f>IF(AD4&lt;2*$R$4,"Rasgamento controlando o dimensionamento","Estado limite de ovalização controlando o dimensionamento")</f>
        <v>Rasgamento controlando o dimensionamento</v>
      </c>
      <c r="N42" s="137"/>
      <c r="O42" s="137"/>
      <c r="P42" s="137"/>
    </row>
    <row r="43" spans="2:24" x14ac:dyDescent="0.25">
      <c r="B43" s="26" t="s">
        <v>103</v>
      </c>
      <c r="C43" s="134" t="s">
        <v>109</v>
      </c>
      <c r="D43" s="135"/>
      <c r="E43" s="135"/>
      <c r="F43" s="135"/>
      <c r="G43" s="135"/>
      <c r="H43" s="135"/>
      <c r="I43" s="135"/>
      <c r="J43" s="136"/>
      <c r="K43" s="25">
        <f>(1*K42)+(4*K41)</f>
        <v>594.40000000000009</v>
      </c>
      <c r="L43" s="32" t="s">
        <v>50</v>
      </c>
      <c r="M43" s="6" t="str">
        <f>IF(K43&gt;$V$15,"OK","Erro")</f>
        <v>OK</v>
      </c>
    </row>
    <row r="44" spans="2:24" x14ac:dyDescent="0.25">
      <c r="B44" s="26" t="s">
        <v>109</v>
      </c>
      <c r="C44" s="144" t="s">
        <v>136</v>
      </c>
      <c r="D44" s="145"/>
      <c r="E44" s="145"/>
      <c r="F44" s="145"/>
      <c r="G44" s="145"/>
      <c r="H44" s="145"/>
      <c r="I44" s="145"/>
      <c r="J44" s="146"/>
      <c r="K44" s="25">
        <f>(1*K39)+(4*K40)</f>
        <v>313.18</v>
      </c>
      <c r="L44" s="32" t="s">
        <v>50</v>
      </c>
      <c r="M44" s="6" t="str">
        <f t="shared" ref="M44:M49" si="1">IF(K44&gt;$V$14,"OK","Erro")</f>
        <v>OK</v>
      </c>
    </row>
    <row r="45" spans="2:24" x14ac:dyDescent="0.25">
      <c r="B45" s="26" t="s">
        <v>98</v>
      </c>
      <c r="C45" s="138" t="s">
        <v>98</v>
      </c>
      <c r="D45" s="139"/>
      <c r="E45" s="139"/>
      <c r="F45" s="139"/>
      <c r="G45" s="139"/>
      <c r="H45" s="139"/>
      <c r="I45" s="139"/>
      <c r="J45" s="140"/>
      <c r="K45" s="25">
        <f>((0.4*(3.14*R4^2)/4*0.01)*(R18/10)*2*5)/R22</f>
        <v>243.26041550925933</v>
      </c>
      <c r="L45" s="5" t="s">
        <v>50</v>
      </c>
      <c r="M45" s="6" t="str">
        <f t="shared" si="1"/>
        <v>OK</v>
      </c>
    </row>
    <row r="46" spans="2:24" x14ac:dyDescent="0.25">
      <c r="B46" s="26" t="s">
        <v>71</v>
      </c>
      <c r="C46" s="141" t="s">
        <v>71</v>
      </c>
      <c r="D46" s="142"/>
      <c r="E46" s="142"/>
      <c r="F46" s="142"/>
      <c r="G46" s="142"/>
      <c r="H46" s="142"/>
      <c r="I46" s="142"/>
      <c r="J46" s="143"/>
      <c r="K46" s="25">
        <f>(2*V22)*(R33/10)/R24</f>
        <v>349.09090909090907</v>
      </c>
      <c r="L46" s="32" t="s">
        <v>50</v>
      </c>
      <c r="M46" s="6" t="str">
        <f t="shared" si="1"/>
        <v>OK</v>
      </c>
    </row>
    <row r="47" spans="2:24" x14ac:dyDescent="0.25">
      <c r="B47" s="26" t="s">
        <v>72</v>
      </c>
      <c r="C47" s="147" t="s">
        <v>72</v>
      </c>
      <c r="D47" s="148"/>
      <c r="E47" s="148"/>
      <c r="F47" s="148"/>
      <c r="G47" s="148"/>
      <c r="H47" s="148"/>
      <c r="I47" s="148"/>
      <c r="J47" s="149"/>
      <c r="K47" s="25">
        <f>(2*(V22-((V10/10)*(R6/10)))*(1-(V11/(V4+V5+V6+V7))))*(R34/10)/R22</f>
        <v>344.49999999999994</v>
      </c>
      <c r="L47" s="32" t="s">
        <v>50</v>
      </c>
      <c r="M47" s="6" t="str">
        <f t="shared" si="1"/>
        <v>OK</v>
      </c>
    </row>
    <row r="48" spans="2:24" x14ac:dyDescent="0.25">
      <c r="B48" s="26" t="s">
        <v>99</v>
      </c>
      <c r="C48" s="131" t="s">
        <v>99</v>
      </c>
      <c r="D48" s="132"/>
      <c r="E48" s="132"/>
      <c r="F48" s="132"/>
      <c r="G48" s="132"/>
      <c r="H48" s="132"/>
      <c r="I48" s="132"/>
      <c r="J48" s="133"/>
      <c r="K48" s="25">
        <f>((AB7*0.6*(R34/10))+(AB8*(R34/10)))/R22</f>
        <v>365.12</v>
      </c>
      <c r="L48" s="32" t="s">
        <v>50</v>
      </c>
      <c r="M48" s="6" t="str">
        <f t="shared" si="1"/>
        <v>OK</v>
      </c>
    </row>
    <row r="49" spans="2:13" x14ac:dyDescent="0.25">
      <c r="B49" s="26" t="s">
        <v>100</v>
      </c>
      <c r="C49" s="131" t="s">
        <v>100</v>
      </c>
      <c r="D49" s="132"/>
      <c r="E49" s="132"/>
      <c r="F49" s="132"/>
      <c r="G49" s="132"/>
      <c r="H49" s="132"/>
      <c r="I49" s="132"/>
      <c r="J49" s="133"/>
      <c r="K49" s="25">
        <f>((0.6*(R33/10)*AB6)+(AB8*(R34/10)))/1.35</f>
        <v>377.2999999999999</v>
      </c>
      <c r="L49" s="32" t="s">
        <v>50</v>
      </c>
      <c r="M49" s="6" t="str">
        <f t="shared" si="1"/>
        <v>OK</v>
      </c>
    </row>
    <row r="50" spans="2:13" x14ac:dyDescent="0.25">
      <c r="K50" s="33">
        <f>SMALL(K44:K49,1)</f>
        <v>243.26041550925933</v>
      </c>
      <c r="L50" s="34">
        <f>ROUND(V14/K50,3)*100</f>
        <v>63.7</v>
      </c>
    </row>
    <row r="51" spans="2:13" x14ac:dyDescent="0.25">
      <c r="K51" s="33">
        <f>K43</f>
        <v>594.40000000000009</v>
      </c>
      <c r="L51" s="34">
        <f>ROUND(V15/K43,3)*100</f>
        <v>52.2</v>
      </c>
    </row>
    <row r="56" spans="2:13" ht="15" customHeight="1" x14ac:dyDescent="0.25"/>
    <row r="57" spans="2:13" ht="15" customHeight="1" x14ac:dyDescent="0.25"/>
    <row r="58" spans="2:13" ht="15" customHeight="1" x14ac:dyDescent="0.25"/>
  </sheetData>
  <mergeCells count="46">
    <mergeCell ref="AA5:AC5"/>
    <mergeCell ref="U34:X36"/>
    <mergeCell ref="U33:X33"/>
    <mergeCell ref="U29:X31"/>
    <mergeCell ref="Q15:S15"/>
    <mergeCell ref="Q26:S26"/>
    <mergeCell ref="U28:X28"/>
    <mergeCell ref="U27:X27"/>
    <mergeCell ref="U26:X26"/>
    <mergeCell ref="U25:X25"/>
    <mergeCell ref="Q27:S28"/>
    <mergeCell ref="AA2:AC2"/>
    <mergeCell ref="Q16:S16"/>
    <mergeCell ref="AA3:AC3"/>
    <mergeCell ref="Q21:S21"/>
    <mergeCell ref="Q23:S23"/>
    <mergeCell ref="Q2:S2"/>
    <mergeCell ref="V2:W2"/>
    <mergeCell ref="Q3:S3"/>
    <mergeCell ref="Q8:S8"/>
    <mergeCell ref="Q9:S10"/>
    <mergeCell ref="Q11:R11"/>
    <mergeCell ref="Q12:S12"/>
    <mergeCell ref="Q13:S13"/>
    <mergeCell ref="U20:W20"/>
    <mergeCell ref="U21:W21"/>
    <mergeCell ref="AA4:AC4"/>
    <mergeCell ref="C41:J41"/>
    <mergeCell ref="M41:P41"/>
    <mergeCell ref="Q31:S31"/>
    <mergeCell ref="Q32:S32"/>
    <mergeCell ref="C2:O36"/>
    <mergeCell ref="U37:X37"/>
    <mergeCell ref="C39:J39"/>
    <mergeCell ref="M39:P39"/>
    <mergeCell ref="C40:J40"/>
    <mergeCell ref="M40:P40"/>
    <mergeCell ref="C47:J47"/>
    <mergeCell ref="C48:J48"/>
    <mergeCell ref="C49:J49"/>
    <mergeCell ref="C42:J42"/>
    <mergeCell ref="M42:P42"/>
    <mergeCell ref="C43:J43"/>
    <mergeCell ref="C44:J44"/>
    <mergeCell ref="C45:J45"/>
    <mergeCell ref="C46:J46"/>
  </mergeCells>
  <phoneticPr fontId="3" type="noConversion"/>
  <conditionalFormatting sqref="U26:X26">
    <cfRule type="containsText" dxfId="29" priority="14" operator="containsText" text="REPROVADO">
      <formula>NOT(ISERROR(SEARCH("REPROVADO",U26)))</formula>
    </cfRule>
    <cfRule type="containsText" dxfId="28" priority="15" operator="containsText" text="APROVADO">
      <formula>NOT(ISERROR(SEARCH("APROVADO",U26)))</formula>
    </cfRule>
  </conditionalFormatting>
  <conditionalFormatting sqref="U37">
    <cfRule type="dataBar" priority="13">
      <dataBar showValue="0"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{86947830-3842-4412-8646-D9156C930E9D}</x14:id>
        </ext>
      </extLst>
    </cfRule>
  </conditionalFormatting>
  <conditionalFormatting sqref="Y4">
    <cfRule type="containsText" dxfId="27" priority="11" operator="containsText" text="Ok">
      <formula>NOT(ISERROR(SEARCH("Ok",Y4)))</formula>
    </cfRule>
    <cfRule type="containsText" dxfId="26" priority="12" operator="containsText" text="Erro">
      <formula>NOT(ISERROR(SEARCH("Erro",Y4)))</formula>
    </cfRule>
  </conditionalFormatting>
  <conditionalFormatting sqref="M43:M49">
    <cfRule type="containsText" dxfId="25" priority="7" operator="containsText" text="Ok">
      <formula>NOT(ISERROR(SEARCH("Ok",M43)))</formula>
    </cfRule>
    <cfRule type="containsText" dxfId="24" priority="8" operator="containsText" text="Erro">
      <formula>NOT(ISERROR(SEARCH("Erro",M43)))</formula>
    </cfRule>
  </conditionalFormatting>
  <conditionalFormatting sqref="Y3">
    <cfRule type="containsText" dxfId="23" priority="1" operator="containsText" text="Ok">
      <formula>NOT(ISERROR(SEARCH("Ok",Y3)))</formula>
    </cfRule>
    <cfRule type="containsText" dxfId="22" priority="2" operator="containsText" text="Erro">
      <formula>NOT(ISERROR(SEARCH("Erro",Y3)))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947830-3842-4412-8646-D9156C930E9D}">
            <x14:dataBar minLength="0" maxLength="100" border="1" gradient="0" direction="leftToRight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U37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9E42404-982A-427D-AA56-691E2541DA39}">
          <x14:formula1>
            <xm:f>'Pintura e Superficies'!$A$2:$A$3</xm:f>
          </x14:formula1>
          <xm:sqref>Q13:S13 U21:W21</xm:sqref>
        </x14:dataValidation>
        <x14:dataValidation type="list" allowBlank="1" showInputMessage="1" showErrorMessage="1" xr:uid="{E3D7BFF7-02D0-4F41-869E-46236C7E1A9A}">
          <x14:formula1>
            <xm:f>'Diametro e bordas padrao'!$S$2:$S$3</xm:f>
          </x14:formula1>
          <xm:sqref>Q9</xm:sqref>
        </x14:dataValidation>
        <x14:dataValidation type="list" allowBlank="1" showInputMessage="1" showErrorMessage="1" xr:uid="{2E69F311-E2F7-479B-BA7A-844F2CD1AB6B}">
          <x14:formula1>
            <xm:f>'Diametro e bordas padrao'!$A$2:$A$15</xm:f>
          </x14:formula1>
          <xm:sqref>V2</xm:sqref>
        </x14:dataValidation>
        <x14:dataValidation type="list" allowBlank="1" showInputMessage="1" showErrorMessage="1" xr:uid="{5A739570-3126-4A36-B0CE-3E85AA56BBE4}">
          <x14:formula1>
            <xm:f>'Tensão de Materiais'!$A$2:$A$30</xm:f>
          </x14:formula1>
          <xm:sqref>Q32</xm:sqref>
        </x14:dataValidation>
        <x14:dataValidation type="list" allowBlank="1" showInputMessage="1" showErrorMessage="1" xr:uid="{C6E25CFF-0513-4EDD-8B0F-9AA5DD529886}">
          <x14:formula1>
            <xm:f>'Tipo de esforços parafusos'!$A$2:$A$4</xm:f>
          </x14:formula1>
          <xm:sqref>Q27</xm:sqref>
        </x14:dataValidation>
        <x14:dataValidation type="list" allowBlank="1" showInputMessage="1" showErrorMessage="1" xr:uid="{B3585DBE-0B27-4693-AB97-4EA014A81F9B}">
          <x14:formula1>
            <xm:f>'Tipos de Furos'!$A$2:$A$5</xm:f>
          </x14:formula1>
          <xm:sqref>Q3:S3</xm:sqref>
        </x14:dataValidation>
        <x14:dataValidation type="list" allowBlank="1" showInputMessage="1" showErrorMessage="1" xr:uid="{438CFF4B-92CF-43DE-B97D-92A38C6B63D1}">
          <x14:formula1>
            <xm:f>'TABELA 3 COEF RESISTENCIA'!$A$2:$A$4</xm:f>
          </x14:formula1>
          <xm:sqref>Q21</xm:sqref>
        </x14:dataValidation>
        <x14:dataValidation type="list" allowBlank="1" showInputMessage="1" showErrorMessage="1" xr:uid="{D8234AE9-4B74-4B24-8DD2-34340DB6C4EA}">
          <x14:formula1>
            <xm:f>'Material parafusos A3'!$A$2:$A$8</xm:f>
          </x14:formula1>
          <xm:sqref>Q16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D73C-9E9A-41CF-9B35-3B86BD9682D0}">
  <dimension ref="B2:AE58"/>
  <sheetViews>
    <sheetView topLeftCell="A14" zoomScaleNormal="100" workbookViewId="0">
      <selection activeCell="K41" sqref="K41"/>
    </sheetView>
  </sheetViews>
  <sheetFormatPr defaultRowHeight="15" x14ac:dyDescent="0.25"/>
  <cols>
    <col min="1" max="9" width="9.140625" style="32"/>
    <col min="10" max="10" width="13" style="32" customWidth="1"/>
    <col min="11" max="23" width="9.140625" style="32"/>
    <col min="24" max="24" width="34.85546875" style="32" customWidth="1"/>
    <col min="25" max="28" width="9.140625" style="32"/>
    <col min="29" max="29" width="11.85546875" style="32" customWidth="1"/>
    <col min="30" max="16384" width="9.140625" style="32"/>
  </cols>
  <sheetData>
    <row r="2" spans="3:31" x14ac:dyDescent="0.25"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  <c r="Q2" s="94" t="s">
        <v>20</v>
      </c>
      <c r="R2" s="94"/>
      <c r="S2" s="94"/>
      <c r="U2" s="4" t="s">
        <v>115</v>
      </c>
      <c r="V2" s="117" t="s">
        <v>17</v>
      </c>
      <c r="W2" s="118"/>
      <c r="X2" s="29" t="s">
        <v>85</v>
      </c>
      <c r="AA2" s="122" t="s">
        <v>131</v>
      </c>
      <c r="AB2" s="122"/>
      <c r="AC2" s="122"/>
      <c r="AD2" s="55">
        <f>V3-(R5/2)</f>
        <v>51.25</v>
      </c>
      <c r="AE2" s="32" t="s">
        <v>8</v>
      </c>
    </row>
    <row r="3" spans="3:31" x14ac:dyDescent="0.25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  <c r="Q3" s="95" t="s">
        <v>57</v>
      </c>
      <c r="R3" s="96"/>
      <c r="S3" s="97"/>
      <c r="U3" s="4" t="s">
        <v>0</v>
      </c>
      <c r="V3" s="2">
        <v>60</v>
      </c>
      <c r="W3" s="3" t="s">
        <v>8</v>
      </c>
      <c r="X3" s="28" t="str">
        <f>_xlfn.CONCAT("Minimo e Máximo permitido: entre ",IF(Q9="Borda laminada ou cortada no maçarico",VLOOKUP(V2,'Diametro e bordas padrao'!A2:D15,4,0),VLOOKUP(V2,'Diametro e bordas padrao'!A2:D15,3,0))," a ",IF(12*V9&gt;150,150,12*V9),"mm")</f>
        <v>Minimo e Máximo permitido: entre 29 a 108mm</v>
      </c>
      <c r="Y3" s="6" t="str">
        <f>IF(AND(IF(Q9="Borda laminada ou cortada no maçarico",VLOOKUP(V2,'Diametro e bordas padrao'!A2:D15,4,0),VLOOKUP(V2,'Diametro e bordas padrao'!A2:D15,3,0))&lt;borda_esquerda,IF(12*V9&gt;150,150,12*V9)&gt;borda_esquerda),"OK","Erro")</f>
        <v>OK</v>
      </c>
      <c r="AA3" s="122" t="s">
        <v>132</v>
      </c>
      <c r="AB3" s="122"/>
      <c r="AC3" s="122"/>
      <c r="AD3" s="55">
        <f>V4-R5</f>
        <v>62.5</v>
      </c>
      <c r="AE3" s="32" t="s">
        <v>8</v>
      </c>
    </row>
    <row r="4" spans="3:31" x14ac:dyDescent="0.25"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5"/>
      <c r="Q4" s="21" t="s">
        <v>52</v>
      </c>
      <c r="R4" s="32">
        <f>VLOOKUP(V2,'Diametro e bordas padrao'!A2:B15,2,0)</f>
        <v>16</v>
      </c>
      <c r="S4" s="32" t="s">
        <v>8</v>
      </c>
      <c r="U4" s="4" t="s">
        <v>1</v>
      </c>
      <c r="V4" s="2">
        <v>80</v>
      </c>
      <c r="W4" s="3" t="s">
        <v>8</v>
      </c>
      <c r="X4" s="28" t="str">
        <f>_xlfn.CONCAT("Minimo e máximo permitido: entre ",ROUND(2.7*R4,0)," ","e ",IF(AND(Q13="Sim",24*V9&gt;300),300,IF(AND(Q13="Sim",24*V9&lt;300),24*V9,IF(AND(Q13="Não",14*V9&gt;180),180,14*V9))),"mm")</f>
        <v>Minimo e máximo permitido: entre 43 e 216mm</v>
      </c>
      <c r="Y4" s="6" t="str">
        <f>IF(AND(ROUND(2.7*R4,0)&lt;=V7,V7&lt;=IF(AND(Q13="Sim",24*V10&gt;300),300,IF(AND(Q13="Sim",24*V10&lt;300),24*V10,IF(AND(Q13="Não",14*V10&gt;180),180,14*V10)))),"OK","Erro")</f>
        <v>OK</v>
      </c>
      <c r="AA4" s="153" t="s">
        <v>133</v>
      </c>
      <c r="AB4" s="154"/>
      <c r="AC4" s="155"/>
      <c r="AD4" s="55">
        <f>V8-(R5/2)</f>
        <v>16.25</v>
      </c>
      <c r="AE4" s="32" t="s">
        <v>8</v>
      </c>
    </row>
    <row r="5" spans="3:31" x14ac:dyDescent="0.25"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  <c r="Q5" s="14" t="s">
        <v>51</v>
      </c>
      <c r="R5" s="32">
        <f>R4+1.5</f>
        <v>17.5</v>
      </c>
      <c r="S5" s="32" t="s">
        <v>8</v>
      </c>
      <c r="U5" s="4" t="s">
        <v>2</v>
      </c>
      <c r="V5" s="2">
        <f>$V$4</f>
        <v>80</v>
      </c>
      <c r="W5" s="3" t="s">
        <v>8</v>
      </c>
      <c r="AA5" s="153" t="s">
        <v>134</v>
      </c>
      <c r="AB5" s="154"/>
      <c r="AC5" s="155"/>
      <c r="AD5" s="55">
        <f>V7-R5</f>
        <v>62.5</v>
      </c>
      <c r="AE5" s="51" t="s">
        <v>8</v>
      </c>
    </row>
    <row r="6" spans="3:31" x14ac:dyDescent="0.25"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Q6" s="14" t="s">
        <v>73</v>
      </c>
      <c r="R6" s="32">
        <f>R4+3.5</f>
        <v>19.5</v>
      </c>
      <c r="S6" s="32" t="s">
        <v>8</v>
      </c>
      <c r="U6" s="4" t="s">
        <v>3</v>
      </c>
      <c r="V6" s="2">
        <v>306</v>
      </c>
      <c r="W6" s="3" t="s">
        <v>8</v>
      </c>
      <c r="X6" s="29" t="s">
        <v>87</v>
      </c>
      <c r="AA6" s="49" t="s">
        <v>117</v>
      </c>
      <c r="AB6" s="55">
        <f>(borda_esquerda+V4+V5+V7)*V10*2*0.01</f>
        <v>48</v>
      </c>
      <c r="AC6" s="32" t="s">
        <v>114</v>
      </c>
    </row>
    <row r="7" spans="3:31" x14ac:dyDescent="0.25"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U7" s="4" t="s">
        <v>4</v>
      </c>
      <c r="V7" s="2">
        <f t="shared" ref="V7" si="0">$V$4</f>
        <v>80</v>
      </c>
      <c r="W7" s="3" t="s">
        <v>8</v>
      </c>
      <c r="AA7" s="49" t="s">
        <v>118</v>
      </c>
      <c r="AB7" s="50">
        <f>(V3+V4+V5+V7-(3.5*R6))*V10*2*0.01</f>
        <v>37.08</v>
      </c>
      <c r="AC7" s="32" t="s">
        <v>114</v>
      </c>
    </row>
    <row r="8" spans="3:31" x14ac:dyDescent="0.25"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Q8" s="94" t="s">
        <v>91</v>
      </c>
      <c r="R8" s="94"/>
      <c r="S8" s="94"/>
      <c r="U8" s="4" t="s">
        <v>5</v>
      </c>
      <c r="V8" s="2">
        <v>25</v>
      </c>
      <c r="W8" s="3" t="s">
        <v>8</v>
      </c>
      <c r="X8" s="29" t="s">
        <v>143</v>
      </c>
      <c r="AA8" s="49" t="s">
        <v>119</v>
      </c>
      <c r="AB8" s="50">
        <f>((3*V14)-(3*R6))*V10*0.01</f>
        <v>6.84</v>
      </c>
      <c r="AC8" s="32" t="s">
        <v>114</v>
      </c>
    </row>
    <row r="9" spans="3:31" x14ac:dyDescent="0.25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Q9" s="119" t="s">
        <v>18</v>
      </c>
      <c r="R9" s="119"/>
      <c r="S9" s="119"/>
      <c r="U9" s="4" t="s">
        <v>6</v>
      </c>
      <c r="V9" s="2">
        <v>9</v>
      </c>
      <c r="W9" s="3" t="s">
        <v>8</v>
      </c>
      <c r="X9" s="29" t="s">
        <v>124</v>
      </c>
      <c r="Y9" s="6" t="str">
        <f>IF(V9&lt;V10,"Erro","OK")</f>
        <v>OK</v>
      </c>
    </row>
    <row r="10" spans="3:31" x14ac:dyDescent="0.25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  <c r="Q10" s="119"/>
      <c r="R10" s="119"/>
      <c r="S10" s="119"/>
      <c r="U10" s="4" t="s">
        <v>7</v>
      </c>
      <c r="V10" s="2">
        <v>8</v>
      </c>
      <c r="W10" s="3" t="s">
        <v>8</v>
      </c>
      <c r="X10" s="29" t="s">
        <v>123</v>
      </c>
    </row>
    <row r="11" spans="3:31" x14ac:dyDescent="0.25"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  <c r="Q11" s="120"/>
      <c r="R11" s="120"/>
      <c r="U11" s="4" t="s">
        <v>69</v>
      </c>
      <c r="V11" s="2">
        <v>17.7</v>
      </c>
      <c r="W11" s="3" t="s">
        <v>8</v>
      </c>
      <c r="X11" s="29" t="s">
        <v>96</v>
      </c>
    </row>
    <row r="12" spans="3:31" x14ac:dyDescent="0.25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/>
      <c r="Q12" s="94" t="s">
        <v>92</v>
      </c>
      <c r="R12" s="94"/>
      <c r="S12" s="94"/>
      <c r="U12" s="4" t="s">
        <v>76</v>
      </c>
      <c r="V12" s="2">
        <f>(V6-(3*V14))/2</f>
        <v>81</v>
      </c>
      <c r="W12" s="3" t="s">
        <v>8</v>
      </c>
    </row>
    <row r="13" spans="3:31" x14ac:dyDescent="0.25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5"/>
      <c r="Q13" s="95" t="s">
        <v>95</v>
      </c>
      <c r="R13" s="96"/>
      <c r="S13" s="97"/>
      <c r="U13" s="4" t="s">
        <v>127</v>
      </c>
      <c r="V13" s="2">
        <f>excentricidade</f>
        <v>81</v>
      </c>
      <c r="W13" s="3" t="s">
        <v>8</v>
      </c>
    </row>
    <row r="14" spans="3:31" x14ac:dyDescent="0.25"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5"/>
      <c r="U14" s="4" t="s">
        <v>130</v>
      </c>
      <c r="V14" s="2">
        <v>48</v>
      </c>
      <c r="W14" s="3" t="s">
        <v>8</v>
      </c>
      <c r="X14" s="29" t="s">
        <v>142</v>
      </c>
    </row>
    <row r="15" spans="3:31" x14ac:dyDescent="0.25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5"/>
      <c r="Q15" s="94" t="s">
        <v>21</v>
      </c>
      <c r="R15" s="94"/>
      <c r="S15" s="94"/>
      <c r="U15" s="22" t="s">
        <v>77</v>
      </c>
      <c r="V15" s="2">
        <v>640</v>
      </c>
      <c r="W15" s="3" t="s">
        <v>50</v>
      </c>
      <c r="X15" s="29" t="s">
        <v>111</v>
      </c>
    </row>
    <row r="16" spans="3:31" x14ac:dyDescent="0.25"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5"/>
      <c r="Q16" s="95" t="s">
        <v>23</v>
      </c>
      <c r="R16" s="96"/>
      <c r="S16" s="97"/>
      <c r="U16" s="22" t="s">
        <v>104</v>
      </c>
      <c r="V16" s="31">
        <v>640</v>
      </c>
      <c r="W16" s="3" t="s">
        <v>50</v>
      </c>
    </row>
    <row r="17" spans="3:26" x14ac:dyDescent="0.25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5"/>
      <c r="Q17" s="21" t="s">
        <v>25</v>
      </c>
      <c r="R17" s="9" t="str">
        <f>VLOOKUP(Q16,'Material parafusos A3'!$A$2:$E$8,2,FALSE)</f>
        <v>-</v>
      </c>
      <c r="S17" s="10" t="s">
        <v>42</v>
      </c>
    </row>
    <row r="18" spans="3:26" x14ac:dyDescent="0.25"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5"/>
      <c r="Q18" s="14" t="s">
        <v>26</v>
      </c>
      <c r="R18" s="11">
        <f>VLOOKUP(Q16,'Material parafusos A3'!$A$2:$E$8,3,FALSE)</f>
        <v>415</v>
      </c>
      <c r="S18" s="12" t="s">
        <v>42</v>
      </c>
    </row>
    <row r="19" spans="3:26" ht="15" customHeight="1" x14ac:dyDescent="0.25"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</row>
    <row r="20" spans="3:26" ht="15" customHeight="1" x14ac:dyDescent="0.25"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Q20" s="52" t="s">
        <v>49</v>
      </c>
      <c r="R20" s="53"/>
      <c r="S20" s="54"/>
      <c r="U20" s="90" t="s">
        <v>144</v>
      </c>
      <c r="V20" s="91"/>
      <c r="W20" s="92"/>
    </row>
    <row r="21" spans="3:26" ht="15" customHeight="1" x14ac:dyDescent="0.25"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5"/>
      <c r="Q21" s="95" t="s">
        <v>44</v>
      </c>
      <c r="R21" s="96"/>
      <c r="S21" s="97"/>
      <c r="U21" s="95"/>
      <c r="V21" s="96"/>
      <c r="W21" s="97"/>
    </row>
    <row r="22" spans="3:26" x14ac:dyDescent="0.25"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5"/>
      <c r="Q22" s="14" t="s">
        <v>46</v>
      </c>
      <c r="R22" s="15">
        <f>VLOOKUP(Q21,'TABELA 3 COEF RESISTENCIA'!A2:C4,3,FALSE)</f>
        <v>1.35</v>
      </c>
      <c r="S22" s="55"/>
      <c r="U22" s="32" t="s">
        <v>113</v>
      </c>
      <c r="V22" s="32">
        <v>39.1</v>
      </c>
    </row>
    <row r="23" spans="3:26" x14ac:dyDescent="0.25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Q23" s="90" t="s">
        <v>112</v>
      </c>
      <c r="R23" s="91"/>
      <c r="S23" s="92"/>
    </row>
    <row r="24" spans="3:26" x14ac:dyDescent="0.25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Q24" s="21" t="s">
        <v>45</v>
      </c>
      <c r="R24" s="20">
        <f>VLOOKUP(Q21,'TABELA 3 COEF RESISTENCIA'!A2:C4,2,FALSE)</f>
        <v>1.1000000000000001</v>
      </c>
    </row>
    <row r="25" spans="3:26" x14ac:dyDescent="0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U25" s="115" t="s">
        <v>89</v>
      </c>
      <c r="V25" s="116"/>
      <c r="W25" s="116"/>
      <c r="X25" s="130"/>
    </row>
    <row r="26" spans="3:26" ht="18.75" x14ac:dyDescent="0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5"/>
      <c r="Q26" s="90" t="s">
        <v>53</v>
      </c>
      <c r="R26" s="91"/>
      <c r="S26" s="92"/>
      <c r="U26" s="127" t="str">
        <f>IF(AND(K50&gt;V15,K43&gt;V16),"APROVADO", "REPROVADO")</f>
        <v>APROVADO</v>
      </c>
      <c r="V26" s="128"/>
      <c r="W26" s="128"/>
      <c r="X26" s="129"/>
    </row>
    <row r="27" spans="3:26" x14ac:dyDescent="0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5"/>
      <c r="Q27" s="98" t="s">
        <v>54</v>
      </c>
      <c r="R27" s="99"/>
      <c r="S27" s="100"/>
      <c r="U27" s="120"/>
      <c r="V27" s="120"/>
      <c r="W27" s="120"/>
      <c r="X27" s="120"/>
    </row>
    <row r="28" spans="3:26" x14ac:dyDescent="0.25"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5"/>
      <c r="Q28" s="101"/>
      <c r="R28" s="102"/>
      <c r="S28" s="103"/>
      <c r="U28" s="115" t="s">
        <v>110</v>
      </c>
      <c r="V28" s="116"/>
      <c r="W28" s="116"/>
      <c r="X28" s="116"/>
    </row>
    <row r="29" spans="3:26" ht="15" customHeight="1" x14ac:dyDescent="0.25"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5"/>
      <c r="Q29" s="14" t="s">
        <v>61</v>
      </c>
      <c r="R29" s="18">
        <f>IF(AND(Q3="Furo Padrão",Q27="Forças de serviço é uma limitação de projeto"),1.2,IF(AND(Q3="Furo alargado",Q27="Forças de serviço é uma limitação de projeto"),1.2,IF(AND(Q3="Furo pouco alongado",Q27="Forças de serviço é uma limitação de projeto"),1.2,IF(AND(Q3="Furo Padrão",Q27="Forças de serviço NÃO é uma limitação de projeto"),1.5,IF(AND(Q3="Furo alargado",Q27="Forças de serviço NÃO é uma limitação de projeto"),1.5,IF(AND(Q3="Furo pouco alongado",Q27="Forças de serviço NÃO é uma limitação de projeto"),1.5,IF(AND(Q3="Furo muito alongado",Q27="Furos muito alongados na direção perpendicular à da força"),1,0)))))))</f>
        <v>1.2</v>
      </c>
      <c r="S29" s="19"/>
      <c r="U29" s="106" t="str">
        <f xml:space="preserve"> _xlfn.CONCAT((VLOOKUP(K50,CHOOSE({1,2},K44:K49,B44:B49),2,0))," ","com"," ","limitação de "," ",ROUND(K50,0),Z30)</f>
        <v>Resistência total ao corte duplo dos parafusos com limitação de  692KN</v>
      </c>
      <c r="V29" s="107"/>
      <c r="W29" s="107"/>
      <c r="X29" s="108"/>
    </row>
    <row r="30" spans="3:26" x14ac:dyDescent="0.25"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5"/>
      <c r="U30" s="109"/>
      <c r="V30" s="110"/>
      <c r="W30" s="110"/>
      <c r="X30" s="111"/>
      <c r="Z30" s="27" t="s">
        <v>50</v>
      </c>
    </row>
    <row r="31" spans="3:26" x14ac:dyDescent="0.25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  <c r="Q31" s="90" t="s">
        <v>70</v>
      </c>
      <c r="R31" s="91"/>
      <c r="S31" s="92"/>
      <c r="U31" s="112"/>
      <c r="V31" s="113"/>
      <c r="W31" s="113"/>
      <c r="X31" s="114"/>
    </row>
    <row r="32" spans="3:26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5"/>
      <c r="Q32" s="95" t="s">
        <v>64</v>
      </c>
      <c r="R32" s="96"/>
      <c r="S32" s="97"/>
    </row>
    <row r="33" spans="2:24" x14ac:dyDescent="0.25"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Q33" s="21" t="s">
        <v>41</v>
      </c>
      <c r="R33" s="16">
        <f>VLOOKUP(Q32,'Tensão de Materiais'!A2:C30,2,FALSE)</f>
        <v>250</v>
      </c>
      <c r="S33" s="10" t="s">
        <v>42</v>
      </c>
      <c r="U33" s="124" t="s">
        <v>88</v>
      </c>
      <c r="V33" s="125"/>
      <c r="W33" s="125"/>
      <c r="X33" s="126"/>
    </row>
    <row r="34" spans="2:24" x14ac:dyDescent="0.25"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5"/>
      <c r="Q34" s="14" t="s">
        <v>68</v>
      </c>
      <c r="R34" s="17">
        <f>VLOOKUP(Q32,'Tensão de Materiais'!A2:C30,3,FALSE)</f>
        <v>400</v>
      </c>
      <c r="S34" s="12" t="s">
        <v>42</v>
      </c>
      <c r="U34" s="106" t="str">
        <f>_xlfn.CONCAT("Você usou ",LARGE(L50:L51,1),"% da resistência disponível")</f>
        <v>Você usou 92,5% da resistência disponível</v>
      </c>
      <c r="V34" s="107"/>
      <c r="W34" s="107"/>
      <c r="X34" s="108"/>
    </row>
    <row r="35" spans="2:24" ht="1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5"/>
      <c r="U35" s="109"/>
      <c r="V35" s="110"/>
      <c r="W35" s="110"/>
      <c r="X35" s="111"/>
    </row>
    <row r="36" spans="2:24" ht="15" customHeight="1" x14ac:dyDescent="0.25"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5"/>
      <c r="U36" s="112"/>
      <c r="V36" s="113"/>
      <c r="W36" s="113"/>
      <c r="X36" s="114"/>
    </row>
    <row r="37" spans="2:24" ht="15" customHeight="1" x14ac:dyDescent="0.25">
      <c r="U37" s="123">
        <f>V15/K50</f>
        <v>0.92499205192014633</v>
      </c>
      <c r="V37" s="123"/>
      <c r="W37" s="123"/>
      <c r="X37" s="123"/>
    </row>
    <row r="39" spans="2:24" x14ac:dyDescent="0.25">
      <c r="B39" s="26" t="s">
        <v>121</v>
      </c>
      <c r="C39" s="150" t="s">
        <v>137</v>
      </c>
      <c r="D39" s="150"/>
      <c r="E39" s="150"/>
      <c r="F39" s="150"/>
      <c r="G39" s="150"/>
      <c r="H39" s="150"/>
      <c r="I39" s="150"/>
      <c r="J39" s="150"/>
      <c r="K39" s="25">
        <f>IF(AD2&lt;2*R4,((R29*R34*AD2*V10)/R22),((2.4*R4*V10*R34)/R22))*0.001</f>
        <v>91.022222222222226</v>
      </c>
      <c r="L39" s="32" t="s">
        <v>50</v>
      </c>
      <c r="M39" s="137" t="str">
        <f>IF(AD2&lt;2*$R$4,"Rasgamento controlando o dimensionamento","Estado limite de ovalização controlando o dimensionamento")</f>
        <v>Estado limite de ovalização controlando o dimensionamento</v>
      </c>
      <c r="N39" s="137"/>
      <c r="O39" s="137"/>
      <c r="P39" s="137"/>
    </row>
    <row r="40" spans="2:24" x14ac:dyDescent="0.25">
      <c r="B40" s="26" t="s">
        <v>122</v>
      </c>
      <c r="C40" s="144" t="s">
        <v>138</v>
      </c>
      <c r="D40" s="145"/>
      <c r="E40" s="145"/>
      <c r="F40" s="145"/>
      <c r="G40" s="145"/>
      <c r="H40" s="145"/>
      <c r="I40" s="145"/>
      <c r="J40" s="146"/>
      <c r="K40" s="25">
        <f>IF(AD3&lt;2*R4,((R29*(R34/10)*(AD3/10)*(V10/10))/R22),((2.4*(R4/10)*(V10/10)*(R34/10))/R22))</f>
        <v>91.022222222222211</v>
      </c>
      <c r="L40" s="32" t="s">
        <v>50</v>
      </c>
      <c r="M40" s="137" t="str">
        <f>IF(AD3&lt;2*$R$4,"Rasgamento controlando o dimensionamento","Estado limite de ovalização controlando o dimensionamento")</f>
        <v>Estado limite de ovalização controlando o dimensionamento</v>
      </c>
      <c r="N40" s="137"/>
      <c r="O40" s="137"/>
      <c r="P40" s="137"/>
    </row>
    <row r="41" spans="2:24" x14ac:dyDescent="0.25">
      <c r="B41" s="26" t="s">
        <v>120</v>
      </c>
      <c r="C41" s="134" t="s">
        <v>139</v>
      </c>
      <c r="D41" s="135"/>
      <c r="E41" s="135"/>
      <c r="F41" s="135"/>
      <c r="G41" s="135"/>
      <c r="H41" s="135"/>
      <c r="I41" s="135"/>
      <c r="J41" s="136"/>
      <c r="K41" s="25">
        <f>IF(AD4&lt;2*R4,((R29*R34*AD4*V11)/R22),((2.4*R4*V11*R34)/R22))*0.001</f>
        <v>102.26666666666667</v>
      </c>
      <c r="L41" s="32" t="s">
        <v>50</v>
      </c>
      <c r="M41" s="137" t="str">
        <f>IF(AD5&lt;2*$R$4,"Rasgamento controlando o dimensionamento","Estado limite de ovalização controlando o dimensionamento")</f>
        <v>Estado limite de ovalização controlando o dimensionamento</v>
      </c>
      <c r="N41" s="137"/>
      <c r="O41" s="137"/>
      <c r="P41" s="137"/>
    </row>
    <row r="42" spans="2:24" x14ac:dyDescent="0.25">
      <c r="B42" s="26" t="s">
        <v>129</v>
      </c>
      <c r="C42" s="134" t="s">
        <v>140</v>
      </c>
      <c r="D42" s="135"/>
      <c r="E42" s="135"/>
      <c r="F42" s="135"/>
      <c r="G42" s="135"/>
      <c r="H42" s="135"/>
      <c r="I42" s="135"/>
      <c r="J42" s="136"/>
      <c r="K42" s="25">
        <f>IF(AD5&lt;2*R4,((R29*(R34/10)*(AD5/10)*(V11/10))/R22),((2.4*(R4/10)*(V11/10)*(R34/10))/R22))</f>
        <v>201.38666666666666</v>
      </c>
      <c r="L42" s="32" t="s">
        <v>50</v>
      </c>
      <c r="M42" s="137" t="str">
        <f>IF(AD4&lt;2*$R$4,"Rasgamento controlando o dimensionamento","Estado limite de ovalização controlando o dimensionamento")</f>
        <v>Rasgamento controlando o dimensionamento</v>
      </c>
      <c r="N42" s="137"/>
      <c r="O42" s="137"/>
      <c r="P42" s="137"/>
    </row>
    <row r="43" spans="2:24" x14ac:dyDescent="0.25">
      <c r="B43" s="26" t="s">
        <v>103</v>
      </c>
      <c r="C43" s="134" t="s">
        <v>135</v>
      </c>
      <c r="D43" s="135"/>
      <c r="E43" s="135"/>
      <c r="F43" s="135"/>
      <c r="G43" s="135"/>
      <c r="H43" s="135"/>
      <c r="I43" s="135"/>
      <c r="J43" s="136"/>
      <c r="K43" s="25">
        <f>(12*K42)+(2*K41)</f>
        <v>2621.1733333333332</v>
      </c>
      <c r="L43" s="32" t="s">
        <v>50</v>
      </c>
      <c r="M43" s="6" t="str">
        <f>IF(K43&gt;$V$16,"OK","Erro")</f>
        <v>OK</v>
      </c>
    </row>
    <row r="44" spans="2:24" x14ac:dyDescent="0.25">
      <c r="B44" s="26" t="s">
        <v>109</v>
      </c>
      <c r="C44" s="144" t="s">
        <v>141</v>
      </c>
      <c r="D44" s="145"/>
      <c r="E44" s="145"/>
      <c r="F44" s="145"/>
      <c r="G44" s="145"/>
      <c r="H44" s="145"/>
      <c r="I44" s="145"/>
      <c r="J44" s="146"/>
      <c r="K44" s="25">
        <f>(2*K39)+(12*K40)</f>
        <v>1274.3111111111109</v>
      </c>
      <c r="L44" s="32" t="s">
        <v>50</v>
      </c>
      <c r="M44" s="6" t="str">
        <f t="shared" ref="M44:M49" si="1">IF(K44&gt;$V$15,"OK","Erro")</f>
        <v>OK</v>
      </c>
    </row>
    <row r="45" spans="2:24" x14ac:dyDescent="0.25">
      <c r="B45" s="26" t="s">
        <v>98</v>
      </c>
      <c r="C45" s="138" t="s">
        <v>98</v>
      </c>
      <c r="D45" s="139"/>
      <c r="E45" s="139"/>
      <c r="F45" s="139"/>
      <c r="G45" s="139"/>
      <c r="H45" s="139"/>
      <c r="I45" s="139"/>
      <c r="J45" s="140"/>
      <c r="K45" s="56">
        <f>((0.4*(3.14*R4^2)/4)*R18*2*14/R22)*0.001</f>
        <v>691.89783703703711</v>
      </c>
      <c r="L45" s="5" t="s">
        <v>50</v>
      </c>
      <c r="M45" s="6" t="str">
        <f t="shared" si="1"/>
        <v>OK</v>
      </c>
    </row>
    <row r="46" spans="2:24" x14ac:dyDescent="0.25">
      <c r="B46" s="26" t="s">
        <v>71</v>
      </c>
      <c r="C46" s="141" t="s">
        <v>71</v>
      </c>
      <c r="D46" s="142"/>
      <c r="E46" s="142"/>
      <c r="F46" s="142"/>
      <c r="G46" s="142"/>
      <c r="H46" s="142"/>
      <c r="I46" s="142"/>
      <c r="J46" s="143"/>
      <c r="K46" s="90" t="s">
        <v>144</v>
      </c>
      <c r="L46" s="91"/>
      <c r="M46" s="92"/>
    </row>
    <row r="47" spans="2:24" x14ac:dyDescent="0.25">
      <c r="B47" s="26" t="s">
        <v>72</v>
      </c>
      <c r="C47" s="147" t="s">
        <v>72</v>
      </c>
      <c r="D47" s="148"/>
      <c r="E47" s="148"/>
      <c r="F47" s="148"/>
      <c r="G47" s="148"/>
      <c r="H47" s="148"/>
      <c r="I47" s="148"/>
      <c r="J47" s="149"/>
      <c r="K47" s="56">
        <f>(((área_do_perfil*100)-(4*V10*R6))*(1-(V11/(V4+V5+V7)))*R34/R22)*0.001</f>
        <v>901.82444444444445</v>
      </c>
      <c r="L47" s="32" t="s">
        <v>50</v>
      </c>
      <c r="M47" s="6" t="str">
        <f t="shared" si="1"/>
        <v>OK</v>
      </c>
    </row>
    <row r="48" spans="2:24" x14ac:dyDescent="0.25">
      <c r="B48" s="26" t="s">
        <v>99</v>
      </c>
      <c r="C48" s="131" t="s">
        <v>99</v>
      </c>
      <c r="D48" s="132"/>
      <c r="E48" s="132"/>
      <c r="F48" s="132"/>
      <c r="G48" s="132"/>
      <c r="H48" s="132"/>
      <c r="I48" s="132"/>
      <c r="J48" s="133"/>
      <c r="K48" s="56">
        <f>((AB7*0.6*(R34/10))+(AB8*(R34/10)))/R22</f>
        <v>861.86666666666656</v>
      </c>
      <c r="L48" s="32" t="s">
        <v>50</v>
      </c>
      <c r="M48" s="6" t="str">
        <f t="shared" si="1"/>
        <v>OK</v>
      </c>
    </row>
    <row r="49" spans="2:13" x14ac:dyDescent="0.25">
      <c r="B49" s="26" t="s">
        <v>100</v>
      </c>
      <c r="C49" s="131" t="s">
        <v>100</v>
      </c>
      <c r="D49" s="132"/>
      <c r="E49" s="132"/>
      <c r="F49" s="132"/>
      <c r="G49" s="132"/>
      <c r="H49" s="132"/>
      <c r="I49" s="132"/>
      <c r="J49" s="133"/>
      <c r="K49" s="56">
        <f>((0.6*(R33/10)*AB6)+(AB8*(R34/10)))/1.35</f>
        <v>736</v>
      </c>
      <c r="L49" s="32" t="s">
        <v>50</v>
      </c>
      <c r="M49" s="6" t="str">
        <f t="shared" si="1"/>
        <v>OK</v>
      </c>
    </row>
    <row r="50" spans="2:13" x14ac:dyDescent="0.25">
      <c r="K50" s="33">
        <f>SMALL(K44:K49,1)</f>
        <v>691.89783703703711</v>
      </c>
      <c r="L50" s="34">
        <f>ROUND(V15/K50,3)*100</f>
        <v>92.5</v>
      </c>
    </row>
    <row r="51" spans="2:13" x14ac:dyDescent="0.25">
      <c r="K51" s="33">
        <f>K43</f>
        <v>2621.1733333333332</v>
      </c>
      <c r="L51" s="34">
        <f>ROUND(V16/K43,3)*100</f>
        <v>24.4</v>
      </c>
    </row>
    <row r="56" spans="2:13" ht="15" customHeight="1" x14ac:dyDescent="0.25"/>
    <row r="57" spans="2:13" ht="15" customHeight="1" x14ac:dyDescent="0.25"/>
    <row r="58" spans="2:13" ht="15" customHeight="1" x14ac:dyDescent="0.25"/>
  </sheetData>
  <mergeCells count="47">
    <mergeCell ref="C46:J46"/>
    <mergeCell ref="C47:J47"/>
    <mergeCell ref="C48:J48"/>
    <mergeCell ref="C49:J49"/>
    <mergeCell ref="C44:J44"/>
    <mergeCell ref="M42:P42"/>
    <mergeCell ref="U33:X33"/>
    <mergeCell ref="U34:X36"/>
    <mergeCell ref="U37:X37"/>
    <mergeCell ref="C39:J39"/>
    <mergeCell ref="M39:P39"/>
    <mergeCell ref="C43:J43"/>
    <mergeCell ref="K46:M46"/>
    <mergeCell ref="C45:J45"/>
    <mergeCell ref="Q32:S32"/>
    <mergeCell ref="Q21:S21"/>
    <mergeCell ref="Q27:S28"/>
    <mergeCell ref="C2:O36"/>
    <mergeCell ref="Q2:S2"/>
    <mergeCell ref="Q13:S13"/>
    <mergeCell ref="Q15:S15"/>
    <mergeCell ref="Q16:S16"/>
    <mergeCell ref="C40:J40"/>
    <mergeCell ref="M40:P40"/>
    <mergeCell ref="C41:J41"/>
    <mergeCell ref="M41:P41"/>
    <mergeCell ref="C42:J42"/>
    <mergeCell ref="U27:X27"/>
    <mergeCell ref="U28:X28"/>
    <mergeCell ref="U29:X31"/>
    <mergeCell ref="Q31:S31"/>
    <mergeCell ref="U20:W20"/>
    <mergeCell ref="U21:W21"/>
    <mergeCell ref="Q23:S23"/>
    <mergeCell ref="U25:X25"/>
    <mergeCell ref="Q26:S26"/>
    <mergeCell ref="U26:X26"/>
    <mergeCell ref="V2:W2"/>
    <mergeCell ref="AA2:AC2"/>
    <mergeCell ref="Q3:S3"/>
    <mergeCell ref="AA3:AC3"/>
    <mergeCell ref="AA4:AC4"/>
    <mergeCell ref="AA5:AC5"/>
    <mergeCell ref="Q8:S8"/>
    <mergeCell ref="Q9:S10"/>
    <mergeCell ref="Q11:R11"/>
    <mergeCell ref="Q12:S12"/>
  </mergeCells>
  <phoneticPr fontId="3" type="noConversion"/>
  <conditionalFormatting sqref="U26:X26">
    <cfRule type="containsText" dxfId="21" priority="10" operator="containsText" text="REPROVADO">
      <formula>NOT(ISERROR(SEARCH("REPROVADO",U26)))</formula>
    </cfRule>
    <cfRule type="containsText" dxfId="20" priority="11" operator="containsText" text="APROVADO">
      <formula>NOT(ISERROR(SEARCH("APROVADO",U26)))</formula>
    </cfRule>
  </conditionalFormatting>
  <conditionalFormatting sqref="U37">
    <cfRule type="dataBar" priority="9">
      <dataBar showValue="0"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{736720DD-D656-4E36-A2F4-36D440AA0D6D}</x14:id>
        </ext>
      </extLst>
    </cfRule>
  </conditionalFormatting>
  <conditionalFormatting sqref="Y4">
    <cfRule type="containsText" dxfId="19" priority="7" operator="containsText" text="Ok">
      <formula>NOT(ISERROR(SEARCH("Ok",Y4)))</formula>
    </cfRule>
    <cfRule type="containsText" dxfId="18" priority="8" operator="containsText" text="Erro">
      <formula>NOT(ISERROR(SEARCH("Erro",Y4)))</formula>
    </cfRule>
  </conditionalFormatting>
  <conditionalFormatting sqref="Y3">
    <cfRule type="containsText" dxfId="17" priority="5" operator="containsText" text="Ok">
      <formula>NOT(ISERROR(SEARCH("Ok",Y3)))</formula>
    </cfRule>
    <cfRule type="containsText" dxfId="16" priority="6" operator="containsText" text="Erro">
      <formula>NOT(ISERROR(SEARCH("Erro",Y3)))</formula>
    </cfRule>
  </conditionalFormatting>
  <conditionalFormatting sqref="M43:M45 M47:M49">
    <cfRule type="containsText" dxfId="15" priority="3" operator="containsText" text="Ok">
      <formula>NOT(ISERROR(SEARCH("Ok",M43)))</formula>
    </cfRule>
    <cfRule type="containsText" dxfId="14" priority="4" operator="containsText" text="Erro">
      <formula>NOT(ISERROR(SEARCH("Erro",M43)))</formula>
    </cfRule>
  </conditionalFormatting>
  <conditionalFormatting sqref="Y9">
    <cfRule type="containsText" dxfId="13" priority="1" operator="containsText" text="Ok">
      <formula>NOT(ISERROR(SEARCH("Ok",Y9)))</formula>
    </cfRule>
    <cfRule type="containsText" dxfId="12" priority="2" operator="containsText" text="Erro">
      <formula>NOT(ISERROR(SEARCH("Erro",Y9)))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6720DD-D656-4E36-A2F4-36D440AA0D6D}">
            <x14:dataBar minLength="0" maxLength="100" border="1" gradient="0" direction="leftToRight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U37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159174ED-6B61-4EA4-9A5A-E933CE37559A}">
          <x14:formula1>
            <xm:f>'Material parafusos A3'!$A$2:$A$8</xm:f>
          </x14:formula1>
          <xm:sqref>Q16</xm:sqref>
        </x14:dataValidation>
        <x14:dataValidation type="list" allowBlank="1" showInputMessage="1" showErrorMessage="1" xr:uid="{A83ACB3B-5DED-4655-9C38-28AC86A22A8F}">
          <x14:formula1>
            <xm:f>'TABELA 3 COEF RESISTENCIA'!$A$2:$A$4</xm:f>
          </x14:formula1>
          <xm:sqref>Q21</xm:sqref>
        </x14:dataValidation>
        <x14:dataValidation type="list" allowBlank="1" showInputMessage="1" showErrorMessage="1" xr:uid="{F2C9AA1D-5523-4A12-A737-2CB53A042006}">
          <x14:formula1>
            <xm:f>'Tipos de Furos'!$A$2:$A$5</xm:f>
          </x14:formula1>
          <xm:sqref>Q3:S3</xm:sqref>
        </x14:dataValidation>
        <x14:dataValidation type="list" allowBlank="1" showInputMessage="1" showErrorMessage="1" xr:uid="{B22A13E4-F7A7-44A1-B0DD-FC9B3E880F18}">
          <x14:formula1>
            <xm:f>'Tipo de esforços parafusos'!$A$2:$A$4</xm:f>
          </x14:formula1>
          <xm:sqref>Q27</xm:sqref>
        </x14:dataValidation>
        <x14:dataValidation type="list" allowBlank="1" showInputMessage="1" showErrorMessage="1" xr:uid="{AF5B5386-6870-4CDA-9347-0D317AF061D7}">
          <x14:formula1>
            <xm:f>'Tensão de Materiais'!$A$2:$A$30</xm:f>
          </x14:formula1>
          <xm:sqref>Q32</xm:sqref>
        </x14:dataValidation>
        <x14:dataValidation type="list" allowBlank="1" showInputMessage="1" showErrorMessage="1" xr:uid="{4DB74BE8-C973-44D3-9926-B20142BA9F7B}">
          <x14:formula1>
            <xm:f>'Diametro e bordas padrao'!$A$2:$A$15</xm:f>
          </x14:formula1>
          <xm:sqref>V2</xm:sqref>
        </x14:dataValidation>
        <x14:dataValidation type="list" allowBlank="1" showInputMessage="1" showErrorMessage="1" xr:uid="{DFF007E9-BFDA-463F-BEC7-7E1706A7A98B}">
          <x14:formula1>
            <xm:f>'Diametro e bordas padrao'!$S$2:$S$3</xm:f>
          </x14:formula1>
          <xm:sqref>Q9</xm:sqref>
        </x14:dataValidation>
        <x14:dataValidation type="list" allowBlank="1" showInputMessage="1" showErrorMessage="1" xr:uid="{5FB29A2B-5E4A-4988-B795-915691421348}">
          <x14:formula1>
            <xm:f>'Pintura e Superficies'!$A$2:$A$3</xm:f>
          </x14:formula1>
          <xm:sqref>Q13:S13 U21:W21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2E3B-DF30-47C0-AA3D-430E2DF88AF0}">
  <dimension ref="B1:AD65"/>
  <sheetViews>
    <sheetView tabSelected="1" zoomScaleNormal="100" workbookViewId="0">
      <selection activeCell="W22" sqref="W22"/>
    </sheetView>
  </sheetViews>
  <sheetFormatPr defaultRowHeight="15" x14ac:dyDescent="0.25"/>
  <cols>
    <col min="1" max="9" width="9.140625" style="32"/>
    <col min="10" max="10" width="13" style="32" customWidth="1"/>
    <col min="11" max="22" width="9.140625" style="32"/>
    <col min="23" max="23" width="12.28515625" style="32" customWidth="1"/>
    <col min="24" max="24" width="34.85546875" style="32" customWidth="1"/>
    <col min="25" max="25" width="9.140625" style="32"/>
    <col min="26" max="26" width="1" style="32" customWidth="1"/>
    <col min="27" max="28" width="9.140625" style="32"/>
    <col min="29" max="29" width="11.85546875" style="32" customWidth="1"/>
    <col min="30" max="30" width="9.140625" style="32"/>
    <col min="31" max="31" width="7" style="32" customWidth="1"/>
    <col min="32" max="32" width="4.5703125" style="32" customWidth="1"/>
    <col min="33" max="34" width="9.140625" style="32"/>
    <col min="35" max="35" width="13.85546875" style="32" customWidth="1"/>
    <col min="36" max="16384" width="9.140625" style="32"/>
  </cols>
  <sheetData>
    <row r="1" spans="3:30" x14ac:dyDescent="0.25">
      <c r="Z1" s="87"/>
    </row>
    <row r="2" spans="3:30" ht="15.75" x14ac:dyDescent="0.25"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  <c r="R2" s="166" t="s">
        <v>85</v>
      </c>
      <c r="S2" s="167"/>
      <c r="T2" s="4" t="s">
        <v>115</v>
      </c>
      <c r="U2" s="117" t="s">
        <v>12</v>
      </c>
      <c r="V2" s="118"/>
      <c r="Z2" s="87"/>
      <c r="AA2" s="79">
        <v>1</v>
      </c>
      <c r="AB2" s="94" t="s">
        <v>20</v>
      </c>
      <c r="AC2" s="94"/>
      <c r="AD2" s="94"/>
    </row>
    <row r="3" spans="3:30" x14ac:dyDescent="0.25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  <c r="T3" s="4" t="s">
        <v>0</v>
      </c>
      <c r="U3" s="2">
        <v>60</v>
      </c>
      <c r="V3" s="3" t="s">
        <v>8</v>
      </c>
      <c r="W3" s="6" t="str">
        <f>IF(AND(IF(AB9="Borda laminada ou cortada no maçarico",VLOOKUP(U2,'Diametro e bordas padrao'!A2:D15,4,0),VLOOKUP(U2,'Diametro e bordas padrao'!A2:D15,3,0))&lt;borda_esquerda,IF(12*U9&gt;150,150,12*U9)&gt;borda_esquerda),"OK","Erro")</f>
        <v>OK</v>
      </c>
      <c r="X3" s="28" t="str">
        <f>_xlfn.CONCAT("Minimo e Máximo permitido: entre ",IF(AB9="Borda laminada ou cortada no maçarico",VLOOKUP(U2,'Diametro e bordas padrao'!A2:D15,4,0),VLOOKUP(U2,'Diametro e bordas padrao'!A2:D15,3,0))," a ",IF(12*U9&gt;150,150,12*U9),"mm")</f>
        <v>Minimo e Máximo permitido: entre 32 a 108mm</v>
      </c>
      <c r="Z3" s="87"/>
      <c r="AB3" s="95" t="s">
        <v>57</v>
      </c>
      <c r="AC3" s="96"/>
      <c r="AD3" s="97"/>
    </row>
    <row r="4" spans="3:30" x14ac:dyDescent="0.25"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5"/>
      <c r="T4" s="4" t="s">
        <v>1</v>
      </c>
      <c r="U4" s="2">
        <v>80</v>
      </c>
      <c r="V4" s="3" t="s">
        <v>8</v>
      </c>
      <c r="W4" s="6" t="str">
        <f>IF(AND(ROUND(2.7*AC4,0)&lt;=U7,U7&lt;=IF(AND(AB13="Sim",24*U10&gt;300),300,IF(AND(AB13="Sim",24*U10&lt;300),24*U10,IF(AND(AB13="Não",14*U10&gt;180),180,14*U10)))),"OK","Erro")</f>
        <v>OK</v>
      </c>
      <c r="X4" s="28" t="str">
        <f>_xlfn.CONCAT("Minimo e máximo permitido: entre ",ROUND(2.7*AC4,0)," ","e ",IF(AND(AB13="Sim",24*U9&gt;300),300,IF(AND(AB13="Sim",24*U9&lt;300),24*U9,IF(AND(AB13="Não",14*U9&gt;180),180,14*U9))),"mm")</f>
        <v>Minimo e máximo permitido: entre 51 e 126mm</v>
      </c>
      <c r="Z4" s="87"/>
      <c r="AB4" s="21" t="s">
        <v>52</v>
      </c>
      <c r="AC4" s="32">
        <f>VLOOKUP(U2,'Diametro e bordas padrao'!A2:B15,2,0)</f>
        <v>19.049999999999997</v>
      </c>
      <c r="AD4" s="32" t="s">
        <v>8</v>
      </c>
    </row>
    <row r="5" spans="3:30" x14ac:dyDescent="0.25"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  <c r="T5" s="4" t="s">
        <v>2</v>
      </c>
      <c r="U5" s="2">
        <f>$U$4</f>
        <v>80</v>
      </c>
      <c r="V5" s="3" t="s">
        <v>8</v>
      </c>
      <c r="Z5" s="87"/>
      <c r="AB5" s="14" t="s">
        <v>51</v>
      </c>
      <c r="AC5" s="32">
        <f>AC4+1.5</f>
        <v>20.549999999999997</v>
      </c>
      <c r="AD5" s="32" t="s">
        <v>8</v>
      </c>
    </row>
    <row r="6" spans="3:30" x14ac:dyDescent="0.25"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R6" s="166" t="s">
        <v>87</v>
      </c>
      <c r="S6" s="167"/>
      <c r="T6" s="4" t="s">
        <v>3</v>
      </c>
      <c r="U6" s="2">
        <v>306</v>
      </c>
      <c r="V6" s="3" t="s">
        <v>8</v>
      </c>
      <c r="Z6" s="87"/>
      <c r="AB6" s="14" t="s">
        <v>73</v>
      </c>
      <c r="AC6" s="32">
        <f>AC4+3.5</f>
        <v>22.549999999999997</v>
      </c>
      <c r="AD6" s="32" t="s">
        <v>8</v>
      </c>
    </row>
    <row r="7" spans="3:30" x14ac:dyDescent="0.25"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T7" s="4" t="s">
        <v>4</v>
      </c>
      <c r="U7" s="2">
        <f>$U$4</f>
        <v>80</v>
      </c>
      <c r="V7" s="3" t="s">
        <v>8</v>
      </c>
      <c r="Z7" s="87"/>
    </row>
    <row r="8" spans="3:30" ht="15.75" x14ac:dyDescent="0.25"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R8" s="168" t="s">
        <v>143</v>
      </c>
      <c r="S8" s="169"/>
      <c r="T8" s="4" t="s">
        <v>5</v>
      </c>
      <c r="U8" s="2">
        <v>25</v>
      </c>
      <c r="V8" s="3" t="s">
        <v>8</v>
      </c>
      <c r="Z8" s="87"/>
      <c r="AA8" s="79">
        <v>2</v>
      </c>
      <c r="AB8" s="94" t="s">
        <v>91</v>
      </c>
      <c r="AC8" s="94"/>
      <c r="AD8" s="94"/>
    </row>
    <row r="9" spans="3:30" ht="15" customHeight="1" x14ac:dyDescent="0.25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R9" s="168" t="s">
        <v>124</v>
      </c>
      <c r="S9" s="169"/>
      <c r="T9" s="4" t="s">
        <v>6</v>
      </c>
      <c r="U9" s="2">
        <v>9</v>
      </c>
      <c r="V9" s="3" t="s">
        <v>8</v>
      </c>
      <c r="W9" s="6" t="str">
        <f>IF(U9&lt;U10,"Erro","OK")</f>
        <v>OK</v>
      </c>
      <c r="Z9" s="87"/>
      <c r="AB9" s="156" t="s">
        <v>18</v>
      </c>
      <c r="AC9" s="157"/>
      <c r="AD9" s="158"/>
    </row>
    <row r="10" spans="3:30" x14ac:dyDescent="0.25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  <c r="R10" s="168" t="s">
        <v>123</v>
      </c>
      <c r="S10" s="169"/>
      <c r="T10" s="4" t="s">
        <v>7</v>
      </c>
      <c r="U10" s="2">
        <v>8</v>
      </c>
      <c r="V10" s="3" t="s">
        <v>8</v>
      </c>
      <c r="Z10" s="87"/>
    </row>
    <row r="11" spans="3:30" x14ac:dyDescent="0.25"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  <c r="R11" s="168" t="s">
        <v>96</v>
      </c>
      <c r="S11" s="169"/>
      <c r="T11" s="4" t="s">
        <v>69</v>
      </c>
      <c r="U11" s="2">
        <v>17.7</v>
      </c>
      <c r="V11" s="3" t="s">
        <v>8</v>
      </c>
      <c r="Z11" s="87"/>
    </row>
    <row r="12" spans="3:30" ht="15.75" x14ac:dyDescent="0.25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/>
      <c r="T12" s="4" t="s">
        <v>76</v>
      </c>
      <c r="U12" s="2">
        <f>(U6-(3*U14))/2</f>
        <v>81</v>
      </c>
      <c r="V12" s="3" t="s">
        <v>8</v>
      </c>
      <c r="Z12" s="87"/>
      <c r="AA12" s="79">
        <v>3</v>
      </c>
      <c r="AB12" s="94" t="s">
        <v>92</v>
      </c>
      <c r="AC12" s="94"/>
      <c r="AD12" s="94"/>
    </row>
    <row r="13" spans="3:30" x14ac:dyDescent="0.25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5"/>
      <c r="T13" s="4" t="s">
        <v>127</v>
      </c>
      <c r="U13" s="2">
        <f>excentricidade</f>
        <v>81</v>
      </c>
      <c r="V13" s="3" t="s">
        <v>8</v>
      </c>
      <c r="Z13" s="87"/>
      <c r="AB13" s="95" t="s">
        <v>94</v>
      </c>
      <c r="AC13" s="96"/>
      <c r="AD13" s="97"/>
    </row>
    <row r="14" spans="3:30" x14ac:dyDescent="0.25"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5"/>
      <c r="Q14" s="160" t="s">
        <v>142</v>
      </c>
      <c r="R14" s="160"/>
      <c r="S14" s="161"/>
      <c r="T14" s="4" t="s">
        <v>130</v>
      </c>
      <c r="U14" s="2">
        <v>48</v>
      </c>
      <c r="V14" s="3" t="s">
        <v>8</v>
      </c>
      <c r="Z14" s="87"/>
    </row>
    <row r="15" spans="3:30" ht="15.75" x14ac:dyDescent="0.25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5"/>
      <c r="Q15" s="160" t="s">
        <v>145</v>
      </c>
      <c r="R15" s="160"/>
      <c r="S15" s="161"/>
      <c r="T15" s="22" t="s">
        <v>77</v>
      </c>
      <c r="U15" s="2">
        <v>640</v>
      </c>
      <c r="V15" s="3" t="s">
        <v>50</v>
      </c>
      <c r="Z15" s="87"/>
      <c r="AA15" s="79">
        <v>4</v>
      </c>
      <c r="AB15" s="94" t="s">
        <v>150</v>
      </c>
      <c r="AC15" s="94"/>
      <c r="AD15" s="94"/>
    </row>
    <row r="16" spans="3:30" x14ac:dyDescent="0.25"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5"/>
      <c r="Q16" s="160" t="s">
        <v>158</v>
      </c>
      <c r="R16" s="160"/>
      <c r="S16" s="161"/>
      <c r="T16" s="22" t="s">
        <v>77</v>
      </c>
      <c r="U16" s="81">
        <f>640/1.4</f>
        <v>457.14285714285717</v>
      </c>
      <c r="V16" s="3" t="s">
        <v>50</v>
      </c>
      <c r="Z16" s="87"/>
      <c r="AB16" s="159" t="s">
        <v>152</v>
      </c>
      <c r="AC16" s="159"/>
      <c r="AD16" s="159"/>
    </row>
    <row r="17" spans="3:30" x14ac:dyDescent="0.25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5"/>
      <c r="Q17" s="160" t="s">
        <v>165</v>
      </c>
      <c r="R17" s="160"/>
      <c r="S17" s="161"/>
      <c r="T17" s="80" t="s">
        <v>157</v>
      </c>
      <c r="U17" s="23">
        <v>20</v>
      </c>
      <c r="V17" s="24" t="s">
        <v>50</v>
      </c>
      <c r="Z17" s="87"/>
      <c r="AB17" s="159"/>
      <c r="AC17" s="159"/>
      <c r="AD17" s="159"/>
    </row>
    <row r="18" spans="3:30" x14ac:dyDescent="0.25"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5"/>
      <c r="T18" s="22" t="s">
        <v>104</v>
      </c>
      <c r="U18" s="31">
        <v>640</v>
      </c>
      <c r="V18" s="3" t="s">
        <v>50</v>
      </c>
      <c r="Z18" s="87"/>
    </row>
    <row r="19" spans="3:30" ht="15" customHeight="1" x14ac:dyDescent="0.25"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  <c r="T19" s="122" t="s">
        <v>131</v>
      </c>
      <c r="U19" s="122"/>
      <c r="V19" s="122"/>
      <c r="W19" s="70">
        <f>U3-(AC5/2)</f>
        <v>49.725000000000001</v>
      </c>
      <c r="X19" s="32" t="s">
        <v>8</v>
      </c>
      <c r="Z19" s="87"/>
      <c r="AA19" s="79">
        <v>5</v>
      </c>
      <c r="AB19" s="94" t="s">
        <v>21</v>
      </c>
      <c r="AC19" s="94"/>
      <c r="AD19" s="94"/>
    </row>
    <row r="20" spans="3:30" ht="15" customHeight="1" x14ac:dyDescent="0.25"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T20" s="122" t="s">
        <v>132</v>
      </c>
      <c r="U20" s="122"/>
      <c r="V20" s="122"/>
      <c r="W20" s="70">
        <f>U4-AC5</f>
        <v>59.45</v>
      </c>
      <c r="X20" s="32" t="s">
        <v>8</v>
      </c>
      <c r="Z20" s="87"/>
      <c r="AB20" s="95" t="s">
        <v>33</v>
      </c>
      <c r="AC20" s="96"/>
      <c r="AD20" s="97"/>
    </row>
    <row r="21" spans="3:30" ht="15" customHeight="1" x14ac:dyDescent="0.25"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5"/>
      <c r="T21" s="153" t="s">
        <v>133</v>
      </c>
      <c r="U21" s="154"/>
      <c r="V21" s="155"/>
      <c r="W21" s="70">
        <f>U8-(AC5/2)</f>
        <v>14.725000000000001</v>
      </c>
      <c r="X21" s="32" t="s">
        <v>8</v>
      </c>
      <c r="Z21" s="87"/>
      <c r="AB21" s="21" t="s">
        <v>25</v>
      </c>
      <c r="AC21" s="9">
        <f>VLOOKUP(AB20,'Material parafusos A3'!$A$2:$E$8,2,FALSE)</f>
        <v>635</v>
      </c>
      <c r="AD21" s="10" t="s">
        <v>42</v>
      </c>
    </row>
    <row r="22" spans="3:30" x14ac:dyDescent="0.25"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5"/>
      <c r="T22" s="153" t="s">
        <v>134</v>
      </c>
      <c r="U22" s="154"/>
      <c r="V22" s="155"/>
      <c r="W22" s="70">
        <f>U7-AC5</f>
        <v>59.45</v>
      </c>
      <c r="X22" s="51" t="s">
        <v>8</v>
      </c>
      <c r="Z22" s="87"/>
      <c r="AB22" s="14" t="s">
        <v>26</v>
      </c>
      <c r="AC22" s="11">
        <f>VLOOKUP(AB20,'Material parafusos A3'!$A$2:$E$8,3,FALSE)</f>
        <v>825</v>
      </c>
      <c r="AD22" s="12" t="s">
        <v>42</v>
      </c>
    </row>
    <row r="23" spans="3:30" x14ac:dyDescent="0.25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T23" s="49" t="s">
        <v>117</v>
      </c>
      <c r="U23" s="70">
        <f>(borda_esquerda+U4+U5+U7)*U10*2*0.01</f>
        <v>48</v>
      </c>
      <c r="V23" s="32" t="s">
        <v>114</v>
      </c>
      <c r="Z23" s="87"/>
    </row>
    <row r="24" spans="3:30" ht="15.75" x14ac:dyDescent="0.25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T24" s="49" t="s">
        <v>118</v>
      </c>
      <c r="U24" s="50">
        <f>(U3+U4+U5+U7-(3.5*AC6))*U10*2*0.01</f>
        <v>35.372000000000007</v>
      </c>
      <c r="V24" s="32" t="s">
        <v>114</v>
      </c>
      <c r="Z24" s="87"/>
      <c r="AA24" s="79">
        <v>6</v>
      </c>
      <c r="AB24" s="94" t="s">
        <v>164</v>
      </c>
      <c r="AC24" s="94"/>
      <c r="AD24" s="94"/>
    </row>
    <row r="25" spans="3:30" x14ac:dyDescent="0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T25" s="49" t="s">
        <v>119</v>
      </c>
      <c r="U25" s="50">
        <f>((3*U14)-(3*AC6))*U10*0.01</f>
        <v>6.1080000000000005</v>
      </c>
      <c r="V25" s="32" t="s">
        <v>114</v>
      </c>
      <c r="Z25" s="87"/>
      <c r="AB25" s="95" t="s">
        <v>95</v>
      </c>
      <c r="AC25" s="96"/>
      <c r="AD25" s="97"/>
    </row>
    <row r="26" spans="3:30" x14ac:dyDescent="0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5"/>
      <c r="T26" s="49" t="s">
        <v>154</v>
      </c>
      <c r="U26" s="70">
        <f>VLOOKUP(AB16,'Pintura e Superficies'!B2:C4,2,FALSE)</f>
        <v>0.5</v>
      </c>
      <c r="Z26" s="87"/>
    </row>
    <row r="27" spans="3:30" ht="15" customHeight="1" x14ac:dyDescent="0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5"/>
      <c r="T27" s="49" t="s">
        <v>149</v>
      </c>
      <c r="U27" s="70">
        <f>VLOOKUP(AB3,'Tipos de Furos'!$A$2:$B$5,2,FALSE)</f>
        <v>1</v>
      </c>
      <c r="Z27" s="87"/>
    </row>
    <row r="28" spans="3:30" ht="15.75" x14ac:dyDescent="0.25"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5"/>
      <c r="T28" s="49" t="s">
        <v>155</v>
      </c>
      <c r="U28" s="70">
        <f>IF(OR(AB20="ASTM A325 (1)",AB20="ASTM A325 (2)"),VLOOKUP(U2,'Diametro e bordas padrao'!A2:F16,5,FALSE),IF(AB20="ASTM A 490",VLOOKUP(U2,'Diametro e bordas padrao'!A2:F16,6,FALSE),0))</f>
        <v>125</v>
      </c>
      <c r="V28" s="32" t="s">
        <v>50</v>
      </c>
      <c r="W28" s="6" t="str">
        <f>IF(U28&gt;0,"OK","Erro - Tipo de Parafuso errado")</f>
        <v>OK</v>
      </c>
      <c r="Z28" s="87"/>
      <c r="AA28" s="79">
        <v>7</v>
      </c>
      <c r="AB28" s="57" t="s">
        <v>49</v>
      </c>
      <c r="AC28" s="58"/>
      <c r="AD28" s="59"/>
    </row>
    <row r="29" spans="3:30" ht="15" customHeight="1" x14ac:dyDescent="0.25"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5"/>
      <c r="T29" s="49" t="s">
        <v>156</v>
      </c>
      <c r="U29" s="70">
        <v>0</v>
      </c>
      <c r="V29" s="32" t="s">
        <v>50</v>
      </c>
      <c r="Z29" s="87"/>
      <c r="AB29" s="95" t="s">
        <v>44</v>
      </c>
      <c r="AC29" s="96"/>
      <c r="AD29" s="97"/>
    </row>
    <row r="30" spans="3:30" x14ac:dyDescent="0.25"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5"/>
      <c r="T30" s="49" t="s">
        <v>159</v>
      </c>
      <c r="U30" s="70">
        <v>1</v>
      </c>
      <c r="Z30" s="88" t="s">
        <v>50</v>
      </c>
      <c r="AB30" s="14" t="s">
        <v>46</v>
      </c>
      <c r="AC30" s="15">
        <f>VLOOKUP(AB29,'TABELA 3 COEF RESISTENCIA'!A2:C4,3,FALSE)</f>
        <v>1.35</v>
      </c>
      <c r="AD30" s="70"/>
    </row>
    <row r="31" spans="3:30" ht="15" customHeight="1" x14ac:dyDescent="0.25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  <c r="T31" s="49" t="s">
        <v>160</v>
      </c>
      <c r="U31" s="70">
        <v>1.2</v>
      </c>
      <c r="Z31" s="87"/>
      <c r="AA31" s="79">
        <v>8</v>
      </c>
      <c r="AB31" s="90" t="s">
        <v>112</v>
      </c>
      <c r="AC31" s="91"/>
      <c r="AD31" s="92"/>
    </row>
    <row r="32" spans="3:30" x14ac:dyDescent="0.25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5"/>
      <c r="Z32" s="87"/>
      <c r="AB32" s="21" t="s">
        <v>45</v>
      </c>
      <c r="AC32" s="20">
        <f>VLOOKUP(AB29,'TABELA 3 COEF RESISTENCIA'!A2:C4,2,FALSE)</f>
        <v>1.1000000000000001</v>
      </c>
    </row>
    <row r="33" spans="2:30" x14ac:dyDescent="0.25"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Z33" s="87"/>
    </row>
    <row r="34" spans="2:30" ht="15.75" x14ac:dyDescent="0.25"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5"/>
      <c r="Z34" s="87"/>
      <c r="AA34" s="79">
        <v>9</v>
      </c>
      <c r="AB34" s="57" t="s">
        <v>53</v>
      </c>
      <c r="AC34" s="58"/>
      <c r="AD34" s="59"/>
    </row>
    <row r="35" spans="2:30" ht="1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5"/>
      <c r="R35" s="74"/>
      <c r="Z35" s="87"/>
      <c r="AB35" s="63" t="s">
        <v>54</v>
      </c>
      <c r="AC35" s="64"/>
      <c r="AD35" s="65"/>
    </row>
    <row r="36" spans="2:30" ht="15" customHeight="1" x14ac:dyDescent="0.25"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5"/>
      <c r="Q36" s="73"/>
      <c r="R36" s="75"/>
      <c r="Z36" s="87"/>
      <c r="AB36" s="66"/>
      <c r="AC36" s="67"/>
      <c r="AD36" s="68"/>
    </row>
    <row r="37" spans="2:30" ht="15" customHeight="1" x14ac:dyDescent="0.25">
      <c r="Q37" s="75"/>
      <c r="R37" s="75"/>
      <c r="Z37" s="87"/>
      <c r="AB37" s="14" t="s">
        <v>61</v>
      </c>
      <c r="AC37" s="18">
        <f>IF(AND(AB3="Furo Padrão",AB35="Forças de serviço é uma limitação de projeto"),1.2,IF(AND(AB3="Furo alargado",AB35="Forças de serviço é uma limitação de projeto"),1.2,IF(AND(AB3="Furo pouco alongado",AB35="Forças de serviço é uma limitação de projeto"),1.2,IF(AND(AB3="Furo Padrão",AB35="Forças de serviço NÃO é uma limitação de projeto"),1.5,IF(AND(AB3="Furo alargado",AB35="Forças de serviço NÃO é uma limitação de projeto"),1.5,IF(AND(AB3="Furo pouco alongado",AB35="Forças de serviço NÃO é uma limitação de projeto"),1.5,IF(AND(AB3="Furo muito alongado",AB35="Furos muito alongados na direção perpendicular à da força"),1,0)))))))</f>
        <v>1.2</v>
      </c>
      <c r="AD37" s="19"/>
    </row>
    <row r="38" spans="2:30" x14ac:dyDescent="0.25">
      <c r="Q38" s="75"/>
      <c r="R38" s="75"/>
      <c r="Z38" s="87"/>
    </row>
    <row r="39" spans="2:30" ht="15.75" x14ac:dyDescent="0.25">
      <c r="B39" s="26"/>
      <c r="C39" s="144" t="s">
        <v>137</v>
      </c>
      <c r="D39" s="145"/>
      <c r="E39" s="145"/>
      <c r="F39" s="145"/>
      <c r="G39" s="145"/>
      <c r="H39" s="145"/>
      <c r="I39" s="145"/>
      <c r="J39" s="146"/>
      <c r="K39" s="25">
        <f>IF(W19&lt;2*AC4,((AC37*AC42*W19*U10)/AC30),((2.4*AC4*U10*AC42)/AC30))*0.001</f>
        <v>108.37333333333331</v>
      </c>
      <c r="L39" s="32" t="s">
        <v>50</v>
      </c>
      <c r="N39" s="137" t="str">
        <f>IF(W19&lt;2*$AC$4,"Rasgamento controlando o dimensionamento","Estado limite de ovalização controlando o dimensionamento")</f>
        <v>Estado limite de ovalização controlando o dimensionamento</v>
      </c>
      <c r="O39" s="137"/>
      <c r="P39" s="137"/>
      <c r="Q39" s="137"/>
      <c r="R39" s="75"/>
      <c r="U39" s="115" t="s">
        <v>89</v>
      </c>
      <c r="V39" s="116"/>
      <c r="W39" s="116"/>
      <c r="X39" s="130"/>
      <c r="Z39" s="87"/>
      <c r="AA39" s="79">
        <v>10</v>
      </c>
      <c r="AB39" s="57" t="s">
        <v>70</v>
      </c>
      <c r="AC39" s="58"/>
      <c r="AD39" s="59"/>
    </row>
    <row r="40" spans="2:30" ht="18.75" x14ac:dyDescent="0.25">
      <c r="B40" s="26"/>
      <c r="C40" s="144" t="s">
        <v>138</v>
      </c>
      <c r="D40" s="145"/>
      <c r="E40" s="145"/>
      <c r="F40" s="145"/>
      <c r="G40" s="145"/>
      <c r="H40" s="145"/>
      <c r="I40" s="145"/>
      <c r="J40" s="146"/>
      <c r="K40" s="25">
        <f>IF(W20&lt;2*AC4,((AC37*(AC42/10)*(W20/10)*(U10/10))/AC30),((2.4*(AC4/10)*(U10/10)*(AC42/10))/AC30))</f>
        <v>108.37333333333331</v>
      </c>
      <c r="L40" s="32" t="s">
        <v>50</v>
      </c>
      <c r="N40" s="137" t="str">
        <f>IF(W20&lt;2*$AC$4,"Rasgamento controlando o dimensionamento","Estado limite de ovalização controlando o dimensionamento")</f>
        <v>Estado limite de ovalização controlando o dimensionamento</v>
      </c>
      <c r="O40" s="137"/>
      <c r="P40" s="137"/>
      <c r="Q40" s="137"/>
      <c r="U40" s="127" t="str">
        <f>IF(IF(AB25="Sim",ROUND(100*LARGE(B44:B51,1),2),ROUND(100*LARGE(B44:B49,1),2))&lt;100,"APROVADO", "REPROVADO")</f>
        <v>APROVADO</v>
      </c>
      <c r="V40" s="128"/>
      <c r="W40" s="128"/>
      <c r="X40" s="129"/>
      <c r="Z40" s="87"/>
      <c r="AB40" s="60" t="s">
        <v>64</v>
      </c>
      <c r="AC40" s="61"/>
      <c r="AD40" s="62"/>
    </row>
    <row r="41" spans="2:30" x14ac:dyDescent="0.25">
      <c r="B41" s="26"/>
      <c r="C41" s="144" t="s">
        <v>141</v>
      </c>
      <c r="D41" s="145"/>
      <c r="E41" s="145"/>
      <c r="F41" s="145"/>
      <c r="G41" s="145"/>
      <c r="H41" s="145"/>
      <c r="I41" s="145"/>
      <c r="J41" s="146"/>
      <c r="K41" s="25">
        <f>(2*K39)+(12*K40)</f>
        <v>1517.2266666666662</v>
      </c>
      <c r="L41" s="32" t="s">
        <v>50</v>
      </c>
      <c r="M41" s="6" t="str">
        <f>IF(K41&gt;$U$15,"OK","Erro")</f>
        <v>OK</v>
      </c>
      <c r="U41" s="120"/>
      <c r="V41" s="120"/>
      <c r="W41" s="120"/>
      <c r="X41" s="120"/>
      <c r="Z41" s="87"/>
      <c r="AB41" s="21" t="s">
        <v>41</v>
      </c>
      <c r="AC41" s="16">
        <f>VLOOKUP(AB40,'Tensão de Materiais'!A2:C30,2,FALSE)</f>
        <v>250</v>
      </c>
      <c r="AD41" s="10" t="s">
        <v>42</v>
      </c>
    </row>
    <row r="42" spans="2:30" x14ac:dyDescent="0.25">
      <c r="B42" s="26"/>
      <c r="C42" s="134" t="s">
        <v>139</v>
      </c>
      <c r="D42" s="135"/>
      <c r="E42" s="135"/>
      <c r="F42" s="135"/>
      <c r="G42" s="135"/>
      <c r="H42" s="135"/>
      <c r="I42" s="135"/>
      <c r="J42" s="136"/>
      <c r="K42" s="25">
        <f>IF(W21&lt;2*AC4,((AC37*AC42*W21*U11)/AC30),((2.4*AC4*U11*AC42)/AC30))*0.001</f>
        <v>92.669333333333327</v>
      </c>
      <c r="L42" s="32" t="s">
        <v>50</v>
      </c>
      <c r="N42" s="137" t="str">
        <f>IF(W22&lt;2*$AC$4,"Rasgamento controlando o dimensionamento","Estado limite de ovalização controlando o dimensionamento")</f>
        <v>Estado limite de ovalização controlando o dimensionamento</v>
      </c>
      <c r="O42" s="137"/>
      <c r="P42" s="137"/>
      <c r="Q42" s="137"/>
      <c r="U42" s="115" t="s">
        <v>110</v>
      </c>
      <c r="V42" s="116"/>
      <c r="W42" s="116"/>
      <c r="X42" s="116"/>
      <c r="Z42" s="87"/>
      <c r="AB42" s="14" t="s">
        <v>68</v>
      </c>
      <c r="AC42" s="17">
        <f>VLOOKUP(AB40,'Tensão de Materiais'!A2:C30,3,FALSE)</f>
        <v>400</v>
      </c>
      <c r="AD42" s="12" t="s">
        <v>42</v>
      </c>
    </row>
    <row r="43" spans="2:30" ht="15" customHeight="1" x14ac:dyDescent="0.25">
      <c r="B43" s="26"/>
      <c r="C43" s="134" t="s">
        <v>140</v>
      </c>
      <c r="D43" s="135"/>
      <c r="E43" s="135"/>
      <c r="F43" s="135"/>
      <c r="G43" s="135"/>
      <c r="H43" s="135"/>
      <c r="I43" s="135"/>
      <c r="J43" s="136"/>
      <c r="K43" s="25">
        <f>IF(W22&lt;2*AC4,((AC37*(AC42/10)*(W22/10)*(U11/10))/AC30),((2.4*(AC4/10)*(U11/10)*(AC42/10))/AC30))</f>
        <v>239.77599999999993</v>
      </c>
      <c r="L43" s="32" t="s">
        <v>50</v>
      </c>
      <c r="N43" s="82" t="str">
        <f>IF(W21&lt;2*$AC$4,"Rasgamento controlando o dimensionamento","Estado limite de ovalização controlando o dimensionamento")</f>
        <v>Rasgamento controlando o dimensionamento</v>
      </c>
      <c r="O43" s="83"/>
      <c r="P43" s="83"/>
      <c r="Q43" s="84"/>
      <c r="U43" s="106" t="str">
        <f>_xlfn.CONCAT((VLOOKUP(K61,CHOOSE({1,2},K53:K60,C53:C60),2,0))," ","com"," ","limitação de "," ",ROUND(K61,0),Z30)</f>
        <v>Carga de resitencia por atrito (Necessário usar parafuso de Alta resistencia) / Total com limitação de  583KN</v>
      </c>
      <c r="V43" s="107"/>
      <c r="W43" s="107"/>
      <c r="X43" s="108"/>
      <c r="Z43" s="87"/>
    </row>
    <row r="44" spans="2:30" ht="15.75" x14ac:dyDescent="0.25">
      <c r="B44" s="89">
        <f>U18/K44</f>
        <v>0.20896931111525188</v>
      </c>
      <c r="C44" s="134" t="s">
        <v>135</v>
      </c>
      <c r="D44" s="135"/>
      <c r="E44" s="135"/>
      <c r="F44" s="135"/>
      <c r="G44" s="135"/>
      <c r="H44" s="135"/>
      <c r="I44" s="135"/>
      <c r="J44" s="136"/>
      <c r="K44" s="25">
        <f>(12*K43)+(2*K42)</f>
        <v>3062.6506666666655</v>
      </c>
      <c r="L44" s="32" t="s">
        <v>50</v>
      </c>
      <c r="M44" s="6" t="str">
        <f>IF(K44&gt;$U$18,"OK","Erro")</f>
        <v>OK</v>
      </c>
      <c r="U44" s="109"/>
      <c r="V44" s="110"/>
      <c r="W44" s="110"/>
      <c r="X44" s="111"/>
      <c r="Z44" s="87"/>
      <c r="AA44" s="79">
        <v>11</v>
      </c>
      <c r="AB44" s="57" t="s">
        <v>144</v>
      </c>
      <c r="AC44" s="58"/>
      <c r="AD44" s="59"/>
    </row>
    <row r="45" spans="2:30" x14ac:dyDescent="0.25">
      <c r="B45" s="162">
        <f>IF(AB25="Sim",U15/SMALL(K46:K49,1),U15/SMALL(K45:K49,1))</f>
        <v>0.89596814335490294</v>
      </c>
      <c r="C45" s="138" t="s">
        <v>98</v>
      </c>
      <c r="D45" s="139"/>
      <c r="E45" s="139"/>
      <c r="F45" s="139"/>
      <c r="G45" s="139"/>
      <c r="H45" s="139"/>
      <c r="I45" s="139"/>
      <c r="J45" s="140"/>
      <c r="K45" s="56">
        <f>((0.4*(3.14*AC4^2)/4)*AC22*2*14/AC30)*0.001</f>
        <v>1949.8348099999998</v>
      </c>
      <c r="L45" s="5" t="s">
        <v>50</v>
      </c>
      <c r="M45" s="6" t="str">
        <f>IF(K45&gt;$U$15,"OK","Erro")</f>
        <v>OK</v>
      </c>
      <c r="U45" s="112"/>
      <c r="V45" s="113"/>
      <c r="W45" s="113"/>
      <c r="X45" s="114"/>
      <c r="Z45" s="87"/>
      <c r="AB45" s="60"/>
      <c r="AC45" s="61"/>
      <c r="AD45" s="62"/>
    </row>
    <row r="46" spans="2:30" x14ac:dyDescent="0.25">
      <c r="B46" s="162"/>
      <c r="C46" s="141" t="s">
        <v>71</v>
      </c>
      <c r="D46" s="142"/>
      <c r="E46" s="142"/>
      <c r="F46" s="142"/>
      <c r="G46" s="142"/>
      <c r="H46" s="142"/>
      <c r="I46" s="142"/>
      <c r="J46" s="143"/>
      <c r="K46" s="56">
        <f>(1*AC46)*(AC41/10)/AC32</f>
        <v>888.63636363636351</v>
      </c>
      <c r="L46" s="32" t="s">
        <v>50</v>
      </c>
      <c r="M46" s="6" t="str">
        <f>IF(K46&gt;$U$15,"OK","Erro")</f>
        <v>OK</v>
      </c>
      <c r="Z46" s="87"/>
      <c r="AB46" s="32" t="s">
        <v>113</v>
      </c>
      <c r="AC46" s="32">
        <v>39.1</v>
      </c>
    </row>
    <row r="47" spans="2:30" x14ac:dyDescent="0.25">
      <c r="B47" s="162"/>
      <c r="C47" s="147" t="s">
        <v>72</v>
      </c>
      <c r="D47" s="148"/>
      <c r="E47" s="148"/>
      <c r="F47" s="148"/>
      <c r="G47" s="148"/>
      <c r="H47" s="148"/>
      <c r="I47" s="148"/>
      <c r="J47" s="149"/>
      <c r="K47" s="56">
        <f>(((área_do_perfil*100)-(4*U10*AC6))*(1-(U11/(U4+U5+U7)))*AC42/AC30)*0.001</f>
        <v>875.03866666666681</v>
      </c>
      <c r="L47" s="32" t="s">
        <v>50</v>
      </c>
      <c r="M47" s="6" t="str">
        <f>IF(K47&gt;$U$15,"OK","Erro")</f>
        <v>OK</v>
      </c>
      <c r="U47" s="124" t="s">
        <v>88</v>
      </c>
      <c r="V47" s="125"/>
      <c r="W47" s="125"/>
      <c r="X47" s="126"/>
      <c r="Z47" s="87"/>
    </row>
    <row r="48" spans="2:30" x14ac:dyDescent="0.25">
      <c r="B48" s="162"/>
      <c r="C48" s="131" t="s">
        <v>99</v>
      </c>
      <c r="D48" s="132"/>
      <c r="E48" s="132"/>
      <c r="F48" s="132"/>
      <c r="G48" s="132"/>
      <c r="H48" s="132"/>
      <c r="I48" s="132"/>
      <c r="J48" s="133"/>
      <c r="K48" s="56">
        <f>((U24*0.6*(AC42/10))+(U25*(AC42/10)))/AC30</f>
        <v>809.81333333333328</v>
      </c>
      <c r="L48" s="32" t="s">
        <v>50</v>
      </c>
      <c r="M48" s="6" t="str">
        <f>IF(K48&gt;$U$15,"OK","Erro")</f>
        <v>OK</v>
      </c>
      <c r="U48" s="106" t="str">
        <f>_xlfn.CONCAT("Você usou ",IF(AB25="Sim",ROUND(100*LARGE(B44:B51,1),2),ROUND(100*LARGE(B44:B49,1),2)),"% da resistência disponível")</f>
        <v>Você usou 89,6% da resistência disponível</v>
      </c>
      <c r="V48" s="107"/>
      <c r="W48" s="107"/>
      <c r="X48" s="108"/>
      <c r="Z48" s="87"/>
    </row>
    <row r="49" spans="2:26" x14ac:dyDescent="0.25">
      <c r="B49" s="162"/>
      <c r="C49" s="131" t="s">
        <v>100</v>
      </c>
      <c r="D49" s="132"/>
      <c r="E49" s="132"/>
      <c r="F49" s="132"/>
      <c r="G49" s="132"/>
      <c r="H49" s="132"/>
      <c r="I49" s="132"/>
      <c r="J49" s="133"/>
      <c r="K49" s="56">
        <f>((0.6*(AC41/10)*U23)+(U25*(AC42/10)))/1.35</f>
        <v>714.31111111111113</v>
      </c>
      <c r="L49" s="32" t="s">
        <v>50</v>
      </c>
      <c r="M49" s="6" t="str">
        <f>IF(K49&gt;$U$15,"OK","Erro")</f>
        <v>OK</v>
      </c>
      <c r="U49" s="109"/>
      <c r="V49" s="110"/>
      <c r="W49" s="110"/>
      <c r="X49" s="111"/>
      <c r="Z49" s="87"/>
    </row>
    <row r="50" spans="2:26" x14ac:dyDescent="0.25">
      <c r="B50" s="162">
        <f>U16/K51</f>
        <v>0.78367346938775506</v>
      </c>
      <c r="C50" s="163" t="s">
        <v>161</v>
      </c>
      <c r="D50" s="164"/>
      <c r="E50" s="164"/>
      <c r="F50" s="164"/>
      <c r="G50" s="164"/>
      <c r="H50" s="164"/>
      <c r="I50" s="164"/>
      <c r="J50" s="165"/>
      <c r="K50" s="56">
        <f>IF(AB3="Furo Padrão",(0.8*U26*U27*U28*U30/U31)*(1-(U29/(0.8*U28))),(1.13*U26*U27*U28*U30/U31)*(1-(U29/(1.13*U28))))</f>
        <v>41.666666666666671</v>
      </c>
      <c r="L50" s="32" t="s">
        <v>50</v>
      </c>
      <c r="U50" s="112"/>
      <c r="V50" s="113"/>
      <c r="W50" s="113"/>
      <c r="X50" s="114"/>
      <c r="Z50" s="87"/>
    </row>
    <row r="51" spans="2:26" x14ac:dyDescent="0.25">
      <c r="B51" s="162"/>
      <c r="C51" s="163" t="s">
        <v>162</v>
      </c>
      <c r="D51" s="164"/>
      <c r="E51" s="164"/>
      <c r="F51" s="164"/>
      <c r="G51" s="164"/>
      <c r="H51" s="164"/>
      <c r="I51" s="164"/>
      <c r="J51" s="165"/>
      <c r="K51" s="56">
        <f>IF(AB3="Furo Padrão",(0.8*U26*U27*U28*U30/U31)*(1-(U29/(0.8*U28))),(1.13*U26*U27*U28*U30/U31)*(1-(U29/(1.13*U28))))*14</f>
        <v>583.33333333333337</v>
      </c>
      <c r="L51" s="32" t="s">
        <v>50</v>
      </c>
      <c r="M51" s="6" t="str">
        <f>IF(K51&gt;$U$16,"OK","Erro")</f>
        <v>OK</v>
      </c>
      <c r="U51" s="123">
        <f>U15/K61</f>
        <v>1.097142857142857</v>
      </c>
      <c r="V51" s="123"/>
      <c r="W51" s="123"/>
      <c r="X51" s="123"/>
      <c r="Z51" s="87"/>
    </row>
    <row r="52" spans="2:26" x14ac:dyDescent="0.25">
      <c r="Z52" s="87"/>
    </row>
    <row r="53" spans="2:26" x14ac:dyDescent="0.25">
      <c r="C53" s="26" t="str">
        <f t="shared" ref="C53:K53" si="0">C41</f>
        <v>Resistência total do perfil U</v>
      </c>
      <c r="D53" s="26">
        <f t="shared" si="0"/>
        <v>0</v>
      </c>
      <c r="E53" s="26">
        <f t="shared" si="0"/>
        <v>0</v>
      </c>
      <c r="F53" s="26">
        <f t="shared" si="0"/>
        <v>0</v>
      </c>
      <c r="G53" s="26">
        <f t="shared" si="0"/>
        <v>0</v>
      </c>
      <c r="H53" s="26">
        <f t="shared" si="0"/>
        <v>0</v>
      </c>
      <c r="I53" s="26">
        <f t="shared" si="0"/>
        <v>0</v>
      </c>
      <c r="J53" s="26">
        <f t="shared" si="0"/>
        <v>0</v>
      </c>
      <c r="K53" s="26">
        <f t="shared" si="0"/>
        <v>1517.2266666666662</v>
      </c>
      <c r="L53" s="85"/>
    </row>
    <row r="54" spans="2:26" x14ac:dyDescent="0.25">
      <c r="C54" s="26" t="str">
        <f t="shared" ref="C54:K54" si="1">C44</f>
        <v>Resistência total da chapa gusset</v>
      </c>
      <c r="D54" s="26">
        <f t="shared" si="1"/>
        <v>0</v>
      </c>
      <c r="E54" s="26">
        <f t="shared" si="1"/>
        <v>0</v>
      </c>
      <c r="F54" s="26">
        <f t="shared" si="1"/>
        <v>0</v>
      </c>
      <c r="G54" s="26">
        <f t="shared" si="1"/>
        <v>0</v>
      </c>
      <c r="H54" s="26">
        <f t="shared" si="1"/>
        <v>0</v>
      </c>
      <c r="I54" s="26">
        <f t="shared" si="1"/>
        <v>0</v>
      </c>
      <c r="J54" s="26">
        <f t="shared" si="1"/>
        <v>0</v>
      </c>
      <c r="K54" s="26">
        <f t="shared" si="1"/>
        <v>3062.6506666666655</v>
      </c>
      <c r="L54" s="85"/>
    </row>
    <row r="55" spans="2:26" x14ac:dyDescent="0.25">
      <c r="C55" s="26" t="str">
        <f t="shared" ref="C55:K55" si="2">C45</f>
        <v>Resistência total ao corte duplo dos parafusos</v>
      </c>
      <c r="D55" s="26">
        <f t="shared" si="2"/>
        <v>0</v>
      </c>
      <c r="E55" s="26">
        <f t="shared" si="2"/>
        <v>0</v>
      </c>
      <c r="F55" s="26">
        <f t="shared" si="2"/>
        <v>0</v>
      </c>
      <c r="G55" s="26">
        <f t="shared" si="2"/>
        <v>0</v>
      </c>
      <c r="H55" s="26">
        <f t="shared" si="2"/>
        <v>0</v>
      </c>
      <c r="I55" s="26">
        <f t="shared" si="2"/>
        <v>0</v>
      </c>
      <c r="J55" s="26">
        <f t="shared" si="2"/>
        <v>0</v>
      </c>
      <c r="K55" s="26">
        <f t="shared" si="2"/>
        <v>1949.8348099999998</v>
      </c>
      <c r="L55" s="85"/>
    </row>
    <row r="56" spans="2:26" ht="15" customHeight="1" x14ac:dyDescent="0.25">
      <c r="C56" s="26" t="str">
        <f t="shared" ref="C56:K56" si="3">C46</f>
        <v>Resistência a tração na seção bruta</v>
      </c>
      <c r="D56" s="26">
        <f t="shared" si="3"/>
        <v>0</v>
      </c>
      <c r="E56" s="26">
        <f t="shared" si="3"/>
        <v>0</v>
      </c>
      <c r="F56" s="26">
        <f t="shared" si="3"/>
        <v>0</v>
      </c>
      <c r="G56" s="26">
        <f t="shared" si="3"/>
        <v>0</v>
      </c>
      <c r="H56" s="26">
        <f t="shared" si="3"/>
        <v>0</v>
      </c>
      <c r="I56" s="26">
        <f t="shared" si="3"/>
        <v>0</v>
      </c>
      <c r="J56" s="26">
        <f t="shared" si="3"/>
        <v>0</v>
      </c>
      <c r="K56" s="26">
        <f t="shared" si="3"/>
        <v>888.63636363636351</v>
      </c>
      <c r="L56" s="85"/>
    </row>
    <row r="57" spans="2:26" ht="15" customHeight="1" x14ac:dyDescent="0.25">
      <c r="C57" s="26" t="str">
        <f t="shared" ref="C57:K57" si="4">C47</f>
        <v>Resistência a tração na seção liquida</v>
      </c>
      <c r="D57" s="26">
        <f t="shared" si="4"/>
        <v>0</v>
      </c>
      <c r="E57" s="26">
        <f t="shared" si="4"/>
        <v>0</v>
      </c>
      <c r="F57" s="26">
        <f t="shared" si="4"/>
        <v>0</v>
      </c>
      <c r="G57" s="26">
        <f t="shared" si="4"/>
        <v>0</v>
      </c>
      <c r="H57" s="26">
        <f t="shared" si="4"/>
        <v>0</v>
      </c>
      <c r="I57" s="26">
        <f t="shared" si="4"/>
        <v>0</v>
      </c>
      <c r="J57" s="26">
        <f t="shared" si="4"/>
        <v>0</v>
      </c>
      <c r="K57" s="26">
        <f t="shared" si="4"/>
        <v>875.03866666666681</v>
      </c>
      <c r="L57" s="85"/>
      <c r="X57" s="86"/>
    </row>
    <row r="58" spans="2:26" ht="15" customHeight="1" x14ac:dyDescent="0.25">
      <c r="C58" s="26" t="str">
        <f t="shared" ref="C58:K58" si="5">C48</f>
        <v>Resistência do bloco de Cisalhamento chapa principal'</v>
      </c>
      <c r="D58" s="26">
        <f t="shared" si="5"/>
        <v>0</v>
      </c>
      <c r="E58" s="26">
        <f t="shared" si="5"/>
        <v>0</v>
      </c>
      <c r="F58" s="26">
        <f t="shared" si="5"/>
        <v>0</v>
      </c>
      <c r="G58" s="26">
        <f t="shared" si="5"/>
        <v>0</v>
      </c>
      <c r="H58" s="26">
        <f t="shared" si="5"/>
        <v>0</v>
      </c>
      <c r="I58" s="26">
        <f t="shared" si="5"/>
        <v>0</v>
      </c>
      <c r="J58" s="26">
        <f t="shared" si="5"/>
        <v>0</v>
      </c>
      <c r="K58" s="26">
        <f t="shared" si="5"/>
        <v>809.81333333333328</v>
      </c>
      <c r="L58" s="85"/>
    </row>
    <row r="59" spans="2:26" x14ac:dyDescent="0.25">
      <c r="C59" s="26" t="str">
        <f t="shared" ref="C59:K59" si="6">C49</f>
        <v>Resistência do bloco de Cisalhamento chapa principal''</v>
      </c>
      <c r="D59" s="26">
        <f t="shared" si="6"/>
        <v>0</v>
      </c>
      <c r="E59" s="26">
        <f t="shared" si="6"/>
        <v>0</v>
      </c>
      <c r="F59" s="26">
        <f t="shared" si="6"/>
        <v>0</v>
      </c>
      <c r="G59" s="26">
        <f t="shared" si="6"/>
        <v>0</v>
      </c>
      <c r="H59" s="26">
        <f t="shared" si="6"/>
        <v>0</v>
      </c>
      <c r="I59" s="26">
        <f t="shared" si="6"/>
        <v>0</v>
      </c>
      <c r="J59" s="26">
        <f t="shared" si="6"/>
        <v>0</v>
      </c>
      <c r="K59" s="26">
        <f t="shared" si="6"/>
        <v>714.31111111111113</v>
      </c>
      <c r="L59" s="85"/>
    </row>
    <row r="60" spans="2:26" x14ac:dyDescent="0.25">
      <c r="C60" s="26" t="str">
        <f t="shared" ref="C60:K60" si="7">C51</f>
        <v>Carga de resitencia por atrito (Necessário usar parafuso de Alta resistencia) / Total</v>
      </c>
      <c r="D60" s="26">
        <f t="shared" si="7"/>
        <v>0</v>
      </c>
      <c r="E60" s="26">
        <f t="shared" si="7"/>
        <v>0</v>
      </c>
      <c r="F60" s="26">
        <f t="shared" si="7"/>
        <v>0</v>
      </c>
      <c r="G60" s="26">
        <f t="shared" si="7"/>
        <v>0</v>
      </c>
      <c r="H60" s="26">
        <f t="shared" si="7"/>
        <v>0</v>
      </c>
      <c r="I60" s="26">
        <f t="shared" si="7"/>
        <v>0</v>
      </c>
      <c r="J60" s="26">
        <f t="shared" si="7"/>
        <v>0</v>
      </c>
      <c r="K60" s="26">
        <f t="shared" si="7"/>
        <v>583.33333333333337</v>
      </c>
      <c r="L60" s="85"/>
    </row>
    <row r="61" spans="2:26" x14ac:dyDescent="0.25">
      <c r="C61" s="26"/>
      <c r="D61" s="26"/>
      <c r="E61" s="26"/>
      <c r="F61" s="26"/>
      <c r="G61" s="26"/>
      <c r="H61" s="26"/>
      <c r="I61" s="26"/>
      <c r="J61" s="26"/>
      <c r="K61" s="33">
        <f>IF(AB25="Sim",SMALL(K53:K60,1),SMALL(K53:K59,1))</f>
        <v>583.33333333333337</v>
      </c>
      <c r="L61" s="85"/>
    </row>
    <row r="62" spans="2:26" x14ac:dyDescent="0.25"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2:26" x14ac:dyDescent="0.25"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2:26" x14ac:dyDescent="0.25"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3:12" x14ac:dyDescent="0.25">
      <c r="C65" s="85"/>
      <c r="D65" s="85"/>
      <c r="E65" s="85"/>
      <c r="F65" s="85"/>
      <c r="G65" s="85"/>
      <c r="H65" s="85"/>
      <c r="I65" s="85"/>
      <c r="J65" s="85"/>
      <c r="K65" s="85"/>
      <c r="L65" s="85"/>
    </row>
  </sheetData>
  <mergeCells count="56">
    <mergeCell ref="Q17:S17"/>
    <mergeCell ref="R2:S2"/>
    <mergeCell ref="R6:S6"/>
    <mergeCell ref="R8:S8"/>
    <mergeCell ref="R9:S9"/>
    <mergeCell ref="R10:S10"/>
    <mergeCell ref="R11:S11"/>
    <mergeCell ref="B45:B49"/>
    <mergeCell ref="B50:B51"/>
    <mergeCell ref="C44:J44"/>
    <mergeCell ref="C43:J43"/>
    <mergeCell ref="C51:J51"/>
    <mergeCell ref="C49:J49"/>
    <mergeCell ref="C50:J50"/>
    <mergeCell ref="C41:J41"/>
    <mergeCell ref="AB24:AD24"/>
    <mergeCell ref="AB25:AD25"/>
    <mergeCell ref="U40:X40"/>
    <mergeCell ref="U39:X39"/>
    <mergeCell ref="C2:O36"/>
    <mergeCell ref="AB2:AD2"/>
    <mergeCell ref="U2:V2"/>
    <mergeCell ref="T19:V19"/>
    <mergeCell ref="AB3:AD3"/>
    <mergeCell ref="T20:V20"/>
    <mergeCell ref="T21:V21"/>
    <mergeCell ref="T22:V22"/>
    <mergeCell ref="Q14:S14"/>
    <mergeCell ref="Q15:S15"/>
    <mergeCell ref="Q16:S16"/>
    <mergeCell ref="U51:X51"/>
    <mergeCell ref="C39:J39"/>
    <mergeCell ref="N39:Q39"/>
    <mergeCell ref="C40:J40"/>
    <mergeCell ref="N40:Q40"/>
    <mergeCell ref="U41:X41"/>
    <mergeCell ref="U42:X42"/>
    <mergeCell ref="U43:X45"/>
    <mergeCell ref="C45:J45"/>
    <mergeCell ref="C46:J46"/>
    <mergeCell ref="C47:J47"/>
    <mergeCell ref="C48:J48"/>
    <mergeCell ref="C42:J42"/>
    <mergeCell ref="N42:Q42"/>
    <mergeCell ref="U47:X47"/>
    <mergeCell ref="U48:X50"/>
    <mergeCell ref="AB8:AD8"/>
    <mergeCell ref="AB9:AD9"/>
    <mergeCell ref="AB29:AD29"/>
    <mergeCell ref="AB31:AD31"/>
    <mergeCell ref="AB12:AD12"/>
    <mergeCell ref="AB13:AD13"/>
    <mergeCell ref="AB19:AD19"/>
    <mergeCell ref="AB20:AD20"/>
    <mergeCell ref="AB15:AD15"/>
    <mergeCell ref="AB16:AD17"/>
  </mergeCells>
  <conditionalFormatting sqref="U40:X40">
    <cfRule type="containsText" dxfId="11" priority="16" operator="containsText" text="REPROVADO">
      <formula>NOT(ISERROR(SEARCH("REPROVADO",U40)))</formula>
    </cfRule>
    <cfRule type="containsText" dxfId="10" priority="17" operator="containsText" text="APROVADO">
      <formula>NOT(ISERROR(SEARCH("APROVADO",U40)))</formula>
    </cfRule>
  </conditionalFormatting>
  <conditionalFormatting sqref="U51">
    <cfRule type="dataBar" priority="15">
      <dataBar showValue="0"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{D37A8CF4-E568-4153-BF0D-7A910206D43E}</x14:id>
        </ext>
      </extLst>
    </cfRule>
  </conditionalFormatting>
  <conditionalFormatting sqref="W4 M41 M44:M49">
    <cfRule type="containsText" dxfId="9" priority="13" operator="containsText" text="Ok">
      <formula>NOT(ISERROR(SEARCH("Ok",M4)))</formula>
    </cfRule>
    <cfRule type="containsText" dxfId="8" priority="14" operator="containsText" text="Erro">
      <formula>NOT(ISERROR(SEARCH("Erro",M4)))</formula>
    </cfRule>
  </conditionalFormatting>
  <conditionalFormatting sqref="W3">
    <cfRule type="containsText" dxfId="7" priority="11" operator="containsText" text="Ok">
      <formula>NOT(ISERROR(SEARCH("Ok",W3)))</formula>
    </cfRule>
    <cfRule type="containsText" dxfId="6" priority="12" operator="containsText" text="Erro">
      <formula>NOT(ISERROR(SEARCH("Erro",W3)))</formula>
    </cfRule>
  </conditionalFormatting>
  <conditionalFormatting sqref="W9">
    <cfRule type="containsText" dxfId="5" priority="7" operator="containsText" text="Ok">
      <formula>NOT(ISERROR(SEARCH("Ok",W9)))</formula>
    </cfRule>
    <cfRule type="containsText" dxfId="4" priority="8" operator="containsText" text="Erro">
      <formula>NOT(ISERROR(SEARCH("Erro",W9)))</formula>
    </cfRule>
  </conditionalFormatting>
  <conditionalFormatting sqref="M51">
    <cfRule type="containsText" dxfId="3" priority="5" operator="containsText" text="Ok">
      <formula>NOT(ISERROR(SEARCH("Ok",M51)))</formula>
    </cfRule>
    <cfRule type="containsText" dxfId="2" priority="6" operator="containsText" text="Erro">
      <formula>NOT(ISERROR(SEARCH("Erro",M51)))</formula>
    </cfRule>
  </conditionalFormatting>
  <conditionalFormatting sqref="W28">
    <cfRule type="containsText" dxfId="1" priority="3" operator="containsText" text="Ok">
      <formula>NOT(ISERROR(SEARCH("Ok",W28)))</formula>
    </cfRule>
    <cfRule type="containsText" dxfId="0" priority="4" operator="containsText" text="Erro">
      <formula>NOT(ISERROR(SEARCH("Erro",W28)))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7A8CF4-E568-4153-BF0D-7A910206D43E}">
            <x14:dataBar minLength="0" maxLength="100" border="1" gradient="0" direction="leftToRight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U51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14378315-B5C6-4D56-AA5A-CEBFC704CD68}">
          <x14:formula1>
            <xm:f>'Pintura e Superficies'!$A$2:$A$3</xm:f>
          </x14:formula1>
          <xm:sqref>AB13:AD13 AB45:AD45 AB25:AD25</xm:sqref>
        </x14:dataValidation>
        <x14:dataValidation type="list" allowBlank="1" showInputMessage="1" showErrorMessage="1" xr:uid="{0FC96718-1542-4782-94E5-760BB4685B78}">
          <x14:formula1>
            <xm:f>'Diametro e bordas padrao'!$S$2:$S$3</xm:f>
          </x14:formula1>
          <xm:sqref>AB9</xm:sqref>
        </x14:dataValidation>
        <x14:dataValidation type="list" allowBlank="1" showInputMessage="1" showErrorMessage="1" xr:uid="{432AC245-CE25-4EE6-B737-4EA01E439018}">
          <x14:formula1>
            <xm:f>'Diametro e bordas padrao'!$A$2:$A$15</xm:f>
          </x14:formula1>
          <xm:sqref>U2</xm:sqref>
        </x14:dataValidation>
        <x14:dataValidation type="list" allowBlank="1" showInputMessage="1" showErrorMessage="1" xr:uid="{52848E4B-65D5-4E59-8697-1E23D0D246FA}">
          <x14:formula1>
            <xm:f>'Tensão de Materiais'!$A$2:$A$30</xm:f>
          </x14:formula1>
          <xm:sqref>AB40</xm:sqref>
        </x14:dataValidation>
        <x14:dataValidation type="list" allowBlank="1" showInputMessage="1" showErrorMessage="1" xr:uid="{20BF00CA-5B61-4DB9-8A04-706721E48F69}">
          <x14:formula1>
            <xm:f>'Tipo de esforços parafusos'!$A$2:$A$4</xm:f>
          </x14:formula1>
          <xm:sqref>AB35</xm:sqref>
        </x14:dataValidation>
        <x14:dataValidation type="list" allowBlank="1" showInputMessage="1" showErrorMessage="1" xr:uid="{1292A738-CCEC-4468-8540-7B0B1CD07A48}">
          <x14:formula1>
            <xm:f>'Tipos de Furos'!$A$2:$A$5</xm:f>
          </x14:formula1>
          <xm:sqref>AB3:AD3</xm:sqref>
        </x14:dataValidation>
        <x14:dataValidation type="list" allowBlank="1" showInputMessage="1" showErrorMessage="1" xr:uid="{A7F54BD0-8991-4C7A-8043-4C7C00A9C8D0}">
          <x14:formula1>
            <xm:f>'TABELA 3 COEF RESISTENCIA'!$A$2:$A$4</xm:f>
          </x14:formula1>
          <xm:sqref>AB29</xm:sqref>
        </x14:dataValidation>
        <x14:dataValidation type="list" allowBlank="1" showInputMessage="1" showErrorMessage="1" xr:uid="{B0336137-EFB8-4B7F-88B8-8B0EB22F2D80}">
          <x14:formula1>
            <xm:f>'Material parafusos A3'!$A$2:$A$8</xm:f>
          </x14:formula1>
          <xm:sqref>AB20</xm:sqref>
        </x14:dataValidation>
        <x14:dataValidation type="list" allowBlank="1" showInputMessage="1" showErrorMessage="1" xr:uid="{CFDE8D67-12D6-4116-B1F7-52877837FE17}">
          <x14:formula1>
            <xm:f>'Pintura e Superficies'!$B$2:$B$4</xm:f>
          </x14:formula1>
          <xm:sqref>AB16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1261-4312-44B3-AF3F-81B7217527D1}">
  <dimension ref="A1:C5"/>
  <sheetViews>
    <sheetView workbookViewId="0">
      <selection activeCell="F50" sqref="F50"/>
    </sheetView>
  </sheetViews>
  <sheetFormatPr defaultRowHeight="15" x14ac:dyDescent="0.25"/>
  <cols>
    <col min="1" max="1" width="20" bestFit="1" customWidth="1"/>
  </cols>
  <sheetData>
    <row r="1" spans="1:3" x14ac:dyDescent="0.25">
      <c r="A1" t="s">
        <v>63</v>
      </c>
      <c r="B1" t="s">
        <v>41</v>
      </c>
      <c r="C1" t="s">
        <v>68</v>
      </c>
    </row>
    <row r="2" spans="1:3" x14ac:dyDescent="0.25">
      <c r="A2" t="s">
        <v>64</v>
      </c>
      <c r="B2">
        <v>250</v>
      </c>
      <c r="C2">
        <v>400</v>
      </c>
    </row>
    <row r="3" spans="1:3" x14ac:dyDescent="0.25">
      <c r="A3" t="s">
        <v>65</v>
      </c>
      <c r="B3">
        <v>350</v>
      </c>
      <c r="C3">
        <v>450</v>
      </c>
    </row>
    <row r="4" spans="1:3" x14ac:dyDescent="0.25">
      <c r="A4" t="s">
        <v>66</v>
      </c>
      <c r="B4">
        <v>350</v>
      </c>
      <c r="C4">
        <v>485</v>
      </c>
    </row>
    <row r="5" spans="1:3" x14ac:dyDescent="0.25">
      <c r="A5" t="s">
        <v>67</v>
      </c>
      <c r="B5">
        <v>415</v>
      </c>
      <c r="C5">
        <v>520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52CA-778E-46F6-8023-109B5EDF5B7F}">
  <dimension ref="A1:B5"/>
  <sheetViews>
    <sheetView workbookViewId="0">
      <selection activeCell="A38" sqref="A38"/>
    </sheetView>
  </sheetViews>
  <sheetFormatPr defaultRowHeight="15" x14ac:dyDescent="0.25"/>
  <cols>
    <col min="1" max="1" width="19.7109375" bestFit="1" customWidth="1"/>
  </cols>
  <sheetData>
    <row r="1" spans="1:2" x14ac:dyDescent="0.25">
      <c r="A1" s="77" t="s">
        <v>56</v>
      </c>
      <c r="B1" s="77" t="s">
        <v>149</v>
      </c>
    </row>
    <row r="2" spans="1:2" x14ac:dyDescent="0.25">
      <c r="A2" s="71" t="s">
        <v>57</v>
      </c>
      <c r="B2" s="6">
        <v>1</v>
      </c>
    </row>
    <row r="3" spans="1:2" x14ac:dyDescent="0.25">
      <c r="A3" s="71" t="s">
        <v>58</v>
      </c>
      <c r="B3" s="6">
        <v>0.85</v>
      </c>
    </row>
    <row r="4" spans="1:2" x14ac:dyDescent="0.25">
      <c r="A4" s="71" t="s">
        <v>59</v>
      </c>
      <c r="B4" s="6">
        <v>0.85</v>
      </c>
    </row>
    <row r="5" spans="1:2" x14ac:dyDescent="0.25">
      <c r="A5" s="71" t="s">
        <v>60</v>
      </c>
      <c r="B5" s="6">
        <v>0.7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C099-E368-44AC-AE62-63817D676E1C}">
  <dimension ref="A1:C4"/>
  <sheetViews>
    <sheetView workbookViewId="0">
      <selection activeCell="B16" sqref="B16"/>
    </sheetView>
  </sheetViews>
  <sheetFormatPr defaultRowHeight="15" x14ac:dyDescent="0.25"/>
  <cols>
    <col min="2" max="2" width="61.28515625" bestFit="1" customWidth="1"/>
  </cols>
  <sheetData>
    <row r="1" spans="1:3" x14ac:dyDescent="0.25">
      <c r="A1" s="69" t="s">
        <v>93</v>
      </c>
      <c r="B1" s="76" t="s">
        <v>150</v>
      </c>
      <c r="C1" s="78" t="s">
        <v>154</v>
      </c>
    </row>
    <row r="2" spans="1:3" x14ac:dyDescent="0.25">
      <c r="A2" s="31" t="s">
        <v>95</v>
      </c>
      <c r="B2" s="71" t="s">
        <v>151</v>
      </c>
      <c r="C2" s="6">
        <v>0.35</v>
      </c>
    </row>
    <row r="3" spans="1:3" x14ac:dyDescent="0.25">
      <c r="A3" s="31" t="s">
        <v>94</v>
      </c>
      <c r="B3" s="71" t="s">
        <v>152</v>
      </c>
      <c r="C3" s="6">
        <v>0.5</v>
      </c>
    </row>
    <row r="4" spans="1:3" x14ac:dyDescent="0.25">
      <c r="B4" s="71" t="s">
        <v>153</v>
      </c>
      <c r="C4" s="6">
        <v>0.2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A9D1-A663-48F6-ACF6-4ED1DBAD0C8C}">
  <dimension ref="A1:E8"/>
  <sheetViews>
    <sheetView workbookViewId="0">
      <selection activeCell="A8" sqref="A8"/>
    </sheetView>
  </sheetViews>
  <sheetFormatPr defaultRowHeight="15" x14ac:dyDescent="0.25"/>
  <cols>
    <col min="1" max="1" width="22.42578125" customWidth="1"/>
  </cols>
  <sheetData>
    <row r="1" spans="1:5" x14ac:dyDescent="0.25">
      <c r="A1" t="s">
        <v>22</v>
      </c>
      <c r="B1" t="s">
        <v>25</v>
      </c>
      <c r="C1" t="s">
        <v>26</v>
      </c>
      <c r="D1" s="170" t="s">
        <v>27</v>
      </c>
      <c r="E1" s="170"/>
    </row>
    <row r="2" spans="1:5" x14ac:dyDescent="0.25">
      <c r="A2" t="s">
        <v>23</v>
      </c>
      <c r="B2" s="1" t="s">
        <v>24</v>
      </c>
      <c r="C2">
        <v>415</v>
      </c>
      <c r="D2" s="1" t="s">
        <v>24</v>
      </c>
      <c r="E2" t="s">
        <v>28</v>
      </c>
    </row>
    <row r="3" spans="1:5" x14ac:dyDescent="0.25">
      <c r="A3" t="s">
        <v>30</v>
      </c>
      <c r="B3">
        <v>235</v>
      </c>
      <c r="C3">
        <v>400</v>
      </c>
      <c r="D3" t="s">
        <v>29</v>
      </c>
      <c r="E3" t="s">
        <v>24</v>
      </c>
    </row>
    <row r="4" spans="1:5" x14ac:dyDescent="0.25">
      <c r="A4" t="s">
        <v>33</v>
      </c>
      <c r="B4">
        <v>635</v>
      </c>
      <c r="C4">
        <v>825</v>
      </c>
      <c r="D4" t="s">
        <v>31</v>
      </c>
      <c r="E4" t="s">
        <v>32</v>
      </c>
    </row>
    <row r="5" spans="1:5" x14ac:dyDescent="0.25">
      <c r="A5" t="s">
        <v>34</v>
      </c>
      <c r="B5">
        <v>560</v>
      </c>
      <c r="C5">
        <v>725</v>
      </c>
      <c r="D5" t="s">
        <v>35</v>
      </c>
      <c r="E5" t="s">
        <v>36</v>
      </c>
    </row>
    <row r="6" spans="1:5" x14ac:dyDescent="0.25">
      <c r="A6" t="s">
        <v>37</v>
      </c>
      <c r="B6">
        <v>640</v>
      </c>
      <c r="C6">
        <v>800</v>
      </c>
      <c r="D6" t="s">
        <v>29</v>
      </c>
      <c r="E6" t="s">
        <v>24</v>
      </c>
    </row>
    <row r="7" spans="1:5" x14ac:dyDescent="0.25">
      <c r="A7" t="s">
        <v>38</v>
      </c>
      <c r="B7">
        <v>895</v>
      </c>
      <c r="C7">
        <v>1035</v>
      </c>
      <c r="D7" t="s">
        <v>39</v>
      </c>
      <c r="E7" t="s">
        <v>40</v>
      </c>
    </row>
    <row r="8" spans="1:5" x14ac:dyDescent="0.25">
      <c r="A8" t="s">
        <v>163</v>
      </c>
      <c r="B8">
        <v>900</v>
      </c>
      <c r="C8">
        <v>1000</v>
      </c>
      <c r="D8" t="s">
        <v>29</v>
      </c>
      <c r="E8" t="s">
        <v>24</v>
      </c>
    </row>
  </sheetData>
  <mergeCells count="1">
    <mergeCell ref="D1:E1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04F1-F733-4B47-BD01-3EFA78DF2E33}">
  <dimension ref="A1:A4"/>
  <sheetViews>
    <sheetView workbookViewId="0">
      <selection activeCell="H6" sqref="H6"/>
    </sheetView>
  </sheetViews>
  <sheetFormatPr defaultRowHeight="15" x14ac:dyDescent="0.25"/>
  <cols>
    <col min="1" max="1" width="53.42578125" bestFit="1" customWidth="1"/>
  </cols>
  <sheetData>
    <row r="1" spans="1:1" x14ac:dyDescent="0.25">
      <c r="A1" t="s">
        <v>53</v>
      </c>
    </row>
    <row r="2" spans="1:1" x14ac:dyDescent="0.25">
      <c r="A2" t="s">
        <v>55</v>
      </c>
    </row>
    <row r="3" spans="1:1" x14ac:dyDescent="0.25">
      <c r="A3" t="s">
        <v>54</v>
      </c>
    </row>
    <row r="4" spans="1:1" x14ac:dyDescent="0.25">
      <c r="A4" t="s">
        <v>62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TIPO T1</vt:lpstr>
      <vt:lpstr>TIPO T2</vt:lpstr>
      <vt:lpstr>TIPO T3</vt:lpstr>
      <vt:lpstr>TIPO T4</vt:lpstr>
      <vt:lpstr>Tensão de Materiais</vt:lpstr>
      <vt:lpstr>Tipos de Furos</vt:lpstr>
      <vt:lpstr>Pintura e Superficies</vt:lpstr>
      <vt:lpstr>Material parafusos A3</vt:lpstr>
      <vt:lpstr>Tipo de esforços parafusos</vt:lpstr>
      <vt:lpstr>Diametro e bordas padrao</vt:lpstr>
      <vt:lpstr>TABELA 1 COEF AÇÕES</vt:lpstr>
      <vt:lpstr>TABELA 3 COEF RESISTENCIA</vt:lpstr>
      <vt:lpstr>'TIPO T4'!área_do_perfil</vt:lpstr>
      <vt:lpstr>área_do_perfil</vt:lpstr>
      <vt:lpstr>borda_esqueda</vt:lpstr>
      <vt:lpstr>'TIPO T4'!borda_esquerda</vt:lpstr>
      <vt:lpstr>borda_esquerda</vt:lpstr>
      <vt:lpstr>borda_esquerda_t1</vt:lpstr>
      <vt:lpstr>borda_esquerda_t2</vt:lpstr>
      <vt:lpstr>'TIPO T4'!borda_esquerda_t3</vt:lpstr>
      <vt:lpstr>borda_esquerda_t3</vt:lpstr>
      <vt:lpstr>CG</vt:lpstr>
      <vt:lpstr>'TIPO T4'!excentricidade</vt:lpstr>
      <vt:lpstr>excentricidade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Benzor Engenharia</cp:lastModifiedBy>
  <dcterms:created xsi:type="dcterms:W3CDTF">2021-08-03T17:51:13Z</dcterms:created>
  <dcterms:modified xsi:type="dcterms:W3CDTF">2022-08-13T05:10:46Z</dcterms:modified>
</cp:coreProperties>
</file>